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-350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16.95</v>
      </c>
      <c r="K2" t="n">
        <v>16.95</v>
      </c>
      <c r="L2" t="n">
        <v>16.95</v>
      </c>
    </row>
    <row r="3">
      <c r="A3" s="1">
        <f>Hyperlink("https://www.wallsandfloors.co.uk/rustic-wood-tiles-oak-wood-tiles","Product")</f>
        <v/>
      </c>
      <c r="B3" s="1" t="inlineStr">
        <is>
          <t>11883</t>
        </is>
      </c>
      <c r="C3" s="1" t="inlineStr">
        <is>
          <t>Rustic Oak Wood Effect Tiles</t>
        </is>
      </c>
      <c r="D3" s="1" t="inlineStr">
        <is>
          <t>615x205x9mm</t>
        </is>
      </c>
      <c r="E3" s="1" t="n">
        <v>16.95</v>
      </c>
      <c r="F3" s="1" t="n">
        <v>-154</v>
      </c>
      <c r="G3" s="1" t="inlineStr">
        <is>
          <t>SQM</t>
        </is>
      </c>
      <c r="H3" s="1" t="inlineStr">
        <is>
          <t>Ceramic</t>
        </is>
      </c>
      <c r="I3" s="1" t="inlineStr">
        <is>
          <t>Matt</t>
        </is>
      </c>
      <c r="J3" t="n">
        <v>16.95</v>
      </c>
      <c r="K3" t="n">
        <v>16.95</v>
      </c>
      <c r="L3" t="n">
        <v>16.95</v>
      </c>
    </row>
    <row r="4">
      <c r="A4" s="1">
        <f>Hyperlink("https://www.wallsandfloors.co.uk/matt-carrara-marble-effect-60x30-tiles","Product")</f>
        <v/>
      </c>
      <c r="B4" s="1" t="inlineStr">
        <is>
          <t>36531</t>
        </is>
      </c>
      <c r="C4" s="1" t="inlineStr">
        <is>
          <t>Cappella Matt Carrara Marble Effect Tiles</t>
        </is>
      </c>
      <c r="D4" s="1" t="inlineStr">
        <is>
          <t>600x300x8mm</t>
        </is>
      </c>
      <c r="E4" s="1" t="n">
        <v>17.95</v>
      </c>
      <c r="F4" s="1" t="n">
        <v>-141</v>
      </c>
      <c r="G4" s="1" t="inlineStr">
        <is>
          <t>SQM</t>
        </is>
      </c>
      <c r="H4" s="1" t="inlineStr">
        <is>
          <t>Porcelain</t>
        </is>
      </c>
      <c r="I4" s="1" t="inlineStr">
        <is>
          <t>Matt</t>
        </is>
      </c>
      <c r="J4" t="n">
        <v>17.95</v>
      </c>
      <c r="K4" t="n">
        <v>17.95</v>
      </c>
      <c r="L4" t="n">
        <v>17.95</v>
      </c>
    </row>
    <row r="5">
      <c r="A5" s="1">
        <f>Hyperlink("https://www.wallsandfloors.co.uk/piquancy-imbue-tiles","Product")</f>
        <v/>
      </c>
      <c r="B5" s="1" t="inlineStr">
        <is>
          <t>24735</t>
        </is>
      </c>
      <c r="C5" s="1" t="inlineStr">
        <is>
          <t>Imbue Vintage Pattern Tiles</t>
        </is>
      </c>
      <c r="D5" s="1" t="inlineStr">
        <is>
          <t>450x450x11.5mm</t>
        </is>
      </c>
      <c r="E5" s="1" t="n">
        <v>26.95</v>
      </c>
      <c r="F5" s="1" t="n">
        <v>-123</v>
      </c>
      <c r="G5" s="1" t="inlineStr">
        <is>
          <t>SQM</t>
        </is>
      </c>
      <c r="H5" s="1" t="inlineStr">
        <is>
          <t>Ceramic</t>
        </is>
      </c>
      <c r="I5" s="1" t="inlineStr">
        <is>
          <t>Matt</t>
        </is>
      </c>
      <c r="J5" t="n">
        <v>26.95</v>
      </c>
      <c r="K5" t="n">
        <v>26.95</v>
      </c>
      <c r="L5" t="n">
        <v>26.95</v>
      </c>
    </row>
    <row r="6">
      <c r="A6" s="1">
        <f>Hyperlink("https://www.wallsandfloors.co.uk/form-ivory-polished-800x800","Product")</f>
        <v/>
      </c>
      <c r="B6" s="1" t="inlineStr">
        <is>
          <t>44322</t>
        </is>
      </c>
      <c r="C6" s="1" t="inlineStr">
        <is>
          <t>Form Ivory Polished Tiles</t>
        </is>
      </c>
      <c r="D6" s="1" t="inlineStr">
        <is>
          <t>800x800x9mm</t>
        </is>
      </c>
      <c r="E6" s="1" t="n">
        <v>19.95</v>
      </c>
      <c r="F6" s="1" t="n">
        <v>-120</v>
      </c>
      <c r="G6" s="1" t="inlineStr">
        <is>
          <t>SQM</t>
        </is>
      </c>
      <c r="H6" s="1" t="inlineStr">
        <is>
          <t>Porcelain</t>
        </is>
      </c>
      <c r="I6" s="1" t="inlineStr">
        <is>
          <t>Polished</t>
        </is>
      </c>
      <c r="J6" t="n">
        <v>19.95</v>
      </c>
      <c r="K6" t="n">
        <v>19.95</v>
      </c>
      <c r="L6" t="n">
        <v>19.95</v>
      </c>
    </row>
    <row r="7">
      <c r="A7" s="1">
        <f>Hyperlink("https://www.wallsandfloors.co.uk/reclaimed-wood-effect-tiles-rustic-blue-wood-plank-tiles","Product")</f>
        <v/>
      </c>
      <c r="B7" s="1" t="inlineStr">
        <is>
          <t>14935</t>
        </is>
      </c>
      <c r="C7" s="1" t="inlineStr">
        <is>
          <t>Rustic Blue Reclaimed Wood Effect Tiles</t>
        </is>
      </c>
      <c r="D7" s="1" t="inlineStr">
        <is>
          <t>600x150x9.8mm</t>
        </is>
      </c>
      <c r="E7" s="1" t="n">
        <v>20.95</v>
      </c>
      <c r="F7" s="1" t="n">
        <v>-114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20.95</v>
      </c>
      <c r="K7" t="inlineStr"/>
      <c r="L7" t="n">
        <v>20.95</v>
      </c>
    </row>
    <row r="8">
      <c r="A8" s="1">
        <f>Hyperlink("https://www.wallsandfloors.co.uk/icaria-plus-blanco-595x595x20-tiles","Product")</f>
        <v/>
      </c>
      <c r="B8" s="1" t="inlineStr">
        <is>
          <t>44089</t>
        </is>
      </c>
      <c r="C8" s="1" t="inlineStr">
        <is>
          <t>Icaria Plus Blanco Porcelain Paving Slabs</t>
        </is>
      </c>
      <c r="D8" s="1" t="inlineStr">
        <is>
          <t>595x595x20mm</t>
        </is>
      </c>
      <c r="E8" s="1" t="n">
        <v>25.95</v>
      </c>
      <c r="F8" s="1" t="n">
        <v>-96</v>
      </c>
      <c r="G8" s="1" t="inlineStr">
        <is>
          <t>SQM</t>
        </is>
      </c>
      <c r="H8" s="1" t="inlineStr">
        <is>
          <t>Porcelain</t>
        </is>
      </c>
      <c r="I8" s="1" t="inlineStr">
        <is>
          <t>Matt</t>
        </is>
      </c>
      <c r="J8" t="inlineStr"/>
      <c r="K8" t="n">
        <v>25.95</v>
      </c>
      <c r="L8" t="n">
        <v>25.95</v>
      </c>
    </row>
    <row r="9">
      <c r="A9" s="1">
        <f>Hyperlink("https://www.wallsandfloors.co.uk/antique-smooth-crackle-metro-tiles-porte-maillot-crackle-grey-metro-tiles","Product")</f>
        <v/>
      </c>
      <c r="B9" s="1" t="inlineStr">
        <is>
          <t>11337</t>
        </is>
      </c>
      <c r="C9" s="1" t="inlineStr">
        <is>
          <t>Porte Maillot Grey Crackle Flat Metro Tiles</t>
        </is>
      </c>
      <c r="D9" s="1" t="inlineStr">
        <is>
          <t>150x75x7mm</t>
        </is>
      </c>
      <c r="E9" s="1" t="n">
        <v>40.95</v>
      </c>
      <c r="F9" s="1" t="n">
        <v>-96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n">
        <v>40.95</v>
      </c>
      <c r="K9" t="n">
        <v>40.95</v>
      </c>
      <c r="L9" t="n">
        <v>40.95</v>
      </c>
    </row>
    <row r="10">
      <c r="A10" s="1">
        <f>Hyperlink("https://www.wallsandfloors.co.uk/harran-antique-vintage-blue-pattern-floor-tiles","Product")</f>
        <v/>
      </c>
      <c r="B10" s="1" t="inlineStr">
        <is>
          <t>44246</t>
        </is>
      </c>
      <c r="C10" s="1" t="inlineStr">
        <is>
          <t>Harran Antique Vintage Blue Pattern Floor Tiles</t>
        </is>
      </c>
      <c r="D10" s="1" t="inlineStr">
        <is>
          <t>450x450x8.8mm</t>
        </is>
      </c>
      <c r="E10" s="1" t="n">
        <v>11.25</v>
      </c>
      <c r="F10" s="1" t="n">
        <v>-89</v>
      </c>
      <c r="G10" s="1" t="inlineStr">
        <is>
          <t>SQM</t>
        </is>
      </c>
      <c r="H10" s="1" t="inlineStr">
        <is>
          <t>Ceramic</t>
        </is>
      </c>
      <c r="I10" s="1" t="inlineStr">
        <is>
          <t>Matt</t>
        </is>
      </c>
      <c r="J10" t="inlineStr"/>
      <c r="K10" t="n">
        <v>11.25</v>
      </c>
      <c r="L10" t="n">
        <v>11.25</v>
      </c>
    </row>
    <row r="11">
      <c r="A11" s="1">
        <f>Hyperlink("https://www.wallsandfloors.co.uk/metro-200x100-tiles-white-chapel-gloss-ct-tiles","Product")</f>
        <v/>
      </c>
      <c r="B11" s="1" t="inlineStr">
        <is>
          <t>44307</t>
        </is>
      </c>
      <c r="C11" s="1" t="inlineStr">
        <is>
          <t>Whitechapel Gloss White Metro Tiles</t>
        </is>
      </c>
      <c r="D11" s="1" t="inlineStr">
        <is>
          <t>200x100x7mm</t>
        </is>
      </c>
      <c r="E11" s="1" t="n">
        <v>10.95</v>
      </c>
      <c r="F11" s="1" t="n">
        <v>-87</v>
      </c>
      <c r="G11" s="1" t="inlineStr">
        <is>
          <t>SQM</t>
        </is>
      </c>
      <c r="H11" s="1" t="inlineStr">
        <is>
          <t>Ceramic</t>
        </is>
      </c>
      <c r="I11" s="1" t="inlineStr">
        <is>
          <t>Gloss</t>
        </is>
      </c>
      <c r="J11" t="n">
        <v>10.95</v>
      </c>
      <c r="K11" t="n">
        <v>10.95</v>
      </c>
      <c r="L11" t="n">
        <v>10.95</v>
      </c>
    </row>
    <row r="12">
      <c r="A12" s="1">
        <f>Hyperlink("https://www.wallsandfloors.co.uk/lounge-tiles-matt-ivory-60x60-tiles","Product")</f>
        <v/>
      </c>
      <c r="B12" s="1" t="inlineStr">
        <is>
          <t>11200</t>
        </is>
      </c>
      <c r="C12" s="1" t="inlineStr">
        <is>
          <t>Lounge Matt Ivory Tiles</t>
        </is>
      </c>
      <c r="D12" s="1" t="inlineStr">
        <is>
          <t>600x600x9mm</t>
        </is>
      </c>
      <c r="E12" s="1" t="n">
        <v>28.95</v>
      </c>
      <c r="F12" s="1" t="n">
        <v>-87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28.95</v>
      </c>
      <c r="K12" t="n">
        <v>28.95</v>
      </c>
      <c r="L12" t="n">
        <v>28.95</v>
      </c>
    </row>
    <row r="13">
      <c r="A13" s="1">
        <f>Hyperlink("https://www.wallsandfloors.co.uk/coast-tiles-oyster-shell-60x30-tiles","Product")</f>
        <v/>
      </c>
      <c r="B13" s="1" t="inlineStr">
        <is>
          <t>14320</t>
        </is>
      </c>
      <c r="C13" s="1" t="inlineStr">
        <is>
          <t>Coast Oyster Shell Stone Effect Tiles</t>
        </is>
      </c>
      <c r="D13" s="1" t="inlineStr">
        <is>
          <t>613x303x7mm</t>
        </is>
      </c>
      <c r="E13" s="1" t="n">
        <v>17.95</v>
      </c>
      <c r="F13" s="1" t="n">
        <v>-78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Matt</t>
        </is>
      </c>
      <c r="J13" t="n">
        <v>17.95</v>
      </c>
      <c r="K13" t="n">
        <v>17.95</v>
      </c>
      <c r="L13" t="n">
        <v>17.95</v>
      </c>
    </row>
    <row r="14">
      <c r="A14" s="1">
        <f>Hyperlink("https://www.wallsandfloors.co.uk/pinoso-marble-effect-silver-60x30-tiles","Product")</f>
        <v/>
      </c>
      <c r="B14" s="1" t="inlineStr">
        <is>
          <t>44467</t>
        </is>
      </c>
      <c r="C14" s="1" t="inlineStr">
        <is>
          <t>Pinoso Marble Effect Silver Tiles</t>
        </is>
      </c>
      <c r="D14" s="1" t="inlineStr">
        <is>
          <t>600x300x9mm</t>
        </is>
      </c>
      <c r="E14" s="1" t="n">
        <v>12.95</v>
      </c>
      <c r="F14" s="1" t="n">
        <v>-73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Gloss</t>
        </is>
      </c>
      <c r="J14" t="n">
        <v>12.95</v>
      </c>
      <c r="K14" t="n">
        <v>12.95</v>
      </c>
      <c r="L14" t="n">
        <v>12.95</v>
      </c>
    </row>
    <row r="15">
      <c r="A15" s="1">
        <f>Hyperlink("https://www.wallsandfloors.co.uk/madagascan-ipil-tree-tiles-oak-wood-effect-tiles","Product")</f>
        <v/>
      </c>
      <c r="B15" s="1" t="inlineStr">
        <is>
          <t>14685</t>
        </is>
      </c>
      <c r="C15" s="1" t="inlineStr">
        <is>
          <t>Madagascan Ipil Oak Wood Effect Tiles</t>
        </is>
      </c>
      <c r="D15" s="1" t="inlineStr">
        <is>
          <t>1200x230x8mm</t>
        </is>
      </c>
      <c r="E15" s="1" t="n">
        <v>23.95</v>
      </c>
      <c r="F15" s="1" t="n">
        <v>-72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23.95</v>
      </c>
      <c r="K15" t="inlineStr"/>
      <c r="L15" t="n">
        <v>23.95</v>
      </c>
    </row>
    <row r="16">
      <c r="A16" s="1">
        <f>Hyperlink("https://www.wallsandfloors.co.uk/arcadia-dark-chocolate-luxury-vinyl-tiles","Product")</f>
        <v/>
      </c>
      <c r="B16" s="1" t="inlineStr">
        <is>
          <t>41404</t>
        </is>
      </c>
      <c r="C16" s="1" t="inlineStr">
        <is>
          <t>Arcadia Dark Chocolate Luxury Vinyl Tiles</t>
        </is>
      </c>
      <c r="D16" s="1" t="inlineStr">
        <is>
          <t>1235x178x4mm</t>
        </is>
      </c>
      <c r="E16" s="1" t="n">
        <v>32.95</v>
      </c>
      <c r="F16" s="1" t="n">
        <v>-70</v>
      </c>
      <c r="G16" s="1" t="inlineStr">
        <is>
          <t>SQM</t>
        </is>
      </c>
      <c r="H16" s="1" t="inlineStr">
        <is>
          <t>Vinyl</t>
        </is>
      </c>
      <c r="I16" s="1" t="inlineStr">
        <is>
          <t>Matt</t>
        </is>
      </c>
      <c r="J16" t="n">
        <v>32.95</v>
      </c>
      <c r="K16" t="n">
        <v>32.95</v>
      </c>
      <c r="L16" t="n">
        <v>32.95</v>
      </c>
    </row>
    <row r="17">
      <c r="A17" s="1">
        <f>Hyperlink("https://www.wallsandfloors.co.uk/gloss-carrara-marble-effect-60x60-tiles","Product")</f>
        <v/>
      </c>
      <c r="B17" s="1" t="inlineStr">
        <is>
          <t>36582</t>
        </is>
      </c>
      <c r="C17" s="1" t="inlineStr">
        <is>
          <t>Cappella Gloss Carrara Marble Effect Tiles</t>
        </is>
      </c>
      <c r="D17" s="1" t="inlineStr">
        <is>
          <t>605x605x8mm</t>
        </is>
      </c>
      <c r="E17" s="1" t="n">
        <v>17.95</v>
      </c>
      <c r="F17" s="1" t="n">
        <v>-66</v>
      </c>
      <c r="G17" s="1" t="inlineStr">
        <is>
          <t>SQM</t>
        </is>
      </c>
      <c r="H17" s="1" t="inlineStr">
        <is>
          <t>Porcelain</t>
        </is>
      </c>
      <c r="I17" s="1" t="inlineStr">
        <is>
          <t>Gloss</t>
        </is>
      </c>
      <c r="J17" t="n">
        <v>17.95</v>
      </c>
      <c r="K17" t="n">
        <v>17.95</v>
      </c>
      <c r="L17" t="n">
        <v>17.95</v>
      </c>
    </row>
    <row r="18">
      <c r="A18" s="1">
        <f>Hyperlink("https://www.wallsandfloors.co.uk/gloss-carrara-marble-effect-60x30-tiles","Product")</f>
        <v/>
      </c>
      <c r="B18" s="1" t="inlineStr">
        <is>
          <t>36530</t>
        </is>
      </c>
      <c r="C18" s="1" t="inlineStr">
        <is>
          <t>Cappella Gloss Carrara Marble Effect Tiles</t>
        </is>
      </c>
      <c r="D18" s="1" t="inlineStr">
        <is>
          <t>600x300x8mm</t>
        </is>
      </c>
      <c r="E18" s="1" t="n">
        <v>17.95</v>
      </c>
      <c r="F18" s="1" t="n">
        <v>-59</v>
      </c>
      <c r="G18" s="1" t="inlineStr">
        <is>
          <t>SQM</t>
        </is>
      </c>
      <c r="H18" s="1" t="inlineStr">
        <is>
          <t>Porcelain</t>
        </is>
      </c>
      <c r="I18" s="1" t="inlineStr">
        <is>
          <t>Gloss</t>
        </is>
      </c>
      <c r="J18" t="n">
        <v>17.95</v>
      </c>
      <c r="K18" t="n">
        <v>17.95</v>
      </c>
      <c r="L18" t="n">
        <v>17.95</v>
      </c>
    </row>
    <row r="19">
      <c r="A19" s="1">
        <f>Hyperlink("https://www.wallsandfloors.co.uk/trax-velvet-moon-1-8-slab-tiles","Product")</f>
        <v/>
      </c>
      <c r="B19" s="1" t="inlineStr">
        <is>
          <t>40432</t>
        </is>
      </c>
      <c r="C19" s="1" t="inlineStr">
        <is>
          <t>Trax Velvet Moon Porcelain Paving Slabs</t>
        </is>
      </c>
      <c r="D19" s="1" t="inlineStr">
        <is>
          <t>797x797x18mm</t>
        </is>
      </c>
      <c r="E19" s="1" t="n">
        <v>38.95</v>
      </c>
      <c r="F19" s="1" t="n">
        <v>-59</v>
      </c>
      <c r="G19" s="1" t="inlineStr">
        <is>
          <t>SQM</t>
        </is>
      </c>
      <c r="H19" s="1" t="inlineStr">
        <is>
          <t>Porcelain</t>
        </is>
      </c>
      <c r="I19" s="1" t="inlineStr">
        <is>
          <t>Matt</t>
        </is>
      </c>
      <c r="J19" t="n">
        <v>38.95</v>
      </c>
      <c r="K19" t="inlineStr"/>
      <c r="L19" t="n">
        <v>38.95</v>
      </c>
    </row>
    <row r="20">
      <c r="A20" s="1">
        <f>Hyperlink("https://www.wallsandfloors.co.uk/rhian-30x10-tiles-blanco-gloss-30x10-tiles-8363","Product")</f>
        <v/>
      </c>
      <c r="B20" s="1" t="inlineStr">
        <is>
          <t>8363</t>
        </is>
      </c>
      <c r="C20" s="1" t="inlineStr">
        <is>
          <t>Rhian Blanco White Gloss Tiles</t>
        </is>
      </c>
      <c r="D20" s="1" t="inlineStr">
        <is>
          <t>300x100x7mm</t>
        </is>
      </c>
      <c r="E20" s="1" t="n">
        <v>23.95</v>
      </c>
      <c r="F20" s="1" t="n">
        <v>-56</v>
      </c>
      <c r="G20" s="1" t="inlineStr">
        <is>
          <t>SQM</t>
        </is>
      </c>
      <c r="H20" s="1" t="inlineStr">
        <is>
          <t>Ceramic</t>
        </is>
      </c>
      <c r="I20" s="1" t="inlineStr">
        <is>
          <t>Gloss</t>
        </is>
      </c>
      <c r="J20" t="n">
        <v>23.95</v>
      </c>
      <c r="K20" t="n">
        <v>23.95</v>
      </c>
      <c r="L20" t="n">
        <v>23.95</v>
      </c>
    </row>
    <row r="21">
      <c r="A21" s="1">
        <f>Hyperlink("https://www.wallsandfloors.co.uk/grey-1215x195-tiles","Product")</f>
        <v/>
      </c>
      <c r="B21" s="1" t="inlineStr">
        <is>
          <t>36533</t>
        </is>
      </c>
      <c r="C21" s="1" t="inlineStr">
        <is>
          <t>Muniellos Grey Wood Effect Tiles</t>
        </is>
      </c>
      <c r="D21" s="1" t="inlineStr">
        <is>
          <t>1215x195x10.5mm</t>
        </is>
      </c>
      <c r="E21" s="1" t="n">
        <v>35.95</v>
      </c>
      <c r="F21" s="1" t="n">
        <v>-53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n">
        <v>35.95</v>
      </c>
      <c r="K21" t="n">
        <v>35.95</v>
      </c>
      <c r="L21" t="n">
        <v>35.95</v>
      </c>
    </row>
    <row r="22">
      <c r="A22" s="1">
        <f>Hyperlink("https://www.wallsandfloors.co.uk/mini-metro-150x75-tiles-elephant-castle-grey-tiles","Product")</f>
        <v/>
      </c>
      <c r="B22" s="1" t="inlineStr">
        <is>
          <t>8387</t>
        </is>
      </c>
      <c r="C22" s="1" t="inlineStr">
        <is>
          <t>Elephant and Castle Gloss Grey Mini Metro Tiles</t>
        </is>
      </c>
      <c r="D22" s="1" t="inlineStr">
        <is>
          <t>150x75x7mm</t>
        </is>
      </c>
      <c r="E22" s="1" t="n">
        <v>25.95</v>
      </c>
      <c r="F22" s="1" t="n">
        <v>-51</v>
      </c>
      <c r="G22" s="1" t="inlineStr">
        <is>
          <t>SQM</t>
        </is>
      </c>
      <c r="H22" s="1" t="inlineStr">
        <is>
          <t>Ceramic</t>
        </is>
      </c>
      <c r="I22" s="1" t="inlineStr">
        <is>
          <t>Gloss</t>
        </is>
      </c>
      <c r="J22" t="n">
        <v>25.95</v>
      </c>
      <c r="K22" t="inlineStr"/>
      <c r="L22" t="n">
        <v>25.95</v>
      </c>
    </row>
    <row r="23">
      <c r="A23" s="1">
        <f>Hyperlink("https://www.wallsandfloors.co.uk/rondelle-snowdrop-marble-effect-tiles","Product")</f>
        <v/>
      </c>
      <c r="B23" s="1" t="inlineStr">
        <is>
          <t>41061</t>
        </is>
      </c>
      <c r="C23" s="1" t="inlineStr">
        <is>
          <t>Rondelle Snowdrop Marble Effect Tiles</t>
        </is>
      </c>
      <c r="D23" s="1" t="inlineStr">
        <is>
          <t>600x600x9mm</t>
        </is>
      </c>
      <c r="E23" s="1" t="n">
        <v>12.95</v>
      </c>
      <c r="F23" s="1" t="n">
        <v>-51</v>
      </c>
      <c r="G23" s="1" t="inlineStr">
        <is>
          <t>SQM</t>
        </is>
      </c>
      <c r="H23" s="1" t="inlineStr">
        <is>
          <t>Porcelain</t>
        </is>
      </c>
      <c r="I23" s="1" t="inlineStr">
        <is>
          <t>Gloss</t>
        </is>
      </c>
      <c r="J23" t="n">
        <v>12.95</v>
      </c>
      <c r="K23" t="n">
        <v>12.95</v>
      </c>
      <c r="L23" t="n">
        <v>12.95</v>
      </c>
    </row>
    <row r="24">
      <c r="A24" s="1">
        <f>Hyperlink("https://www.wallsandfloors.co.uk/titanic-wave-polished-alabaster-white-60x60-tiles","Product")</f>
        <v/>
      </c>
      <c r="B24" s="1" t="inlineStr">
        <is>
          <t>39143</t>
        </is>
      </c>
      <c r="C24" s="1" t="inlineStr">
        <is>
          <t>Titanic Wave Polished Alabaster White 60X60 Tiles</t>
        </is>
      </c>
      <c r="D24" s="1" t="inlineStr">
        <is>
          <t>600x600x9mm</t>
        </is>
      </c>
      <c r="E24" s="1" t="n">
        <v>26.95</v>
      </c>
      <c r="F24" s="1" t="n">
        <v>-47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Polished</t>
        </is>
      </c>
      <c r="J24" t="inlineStr"/>
      <c r="K24" t="n">
        <v>26.95</v>
      </c>
      <c r="L24" t="n">
        <v>26.95</v>
      </c>
    </row>
    <row r="25">
      <c r="A25" s="1">
        <f>Hyperlink("https://www.wallsandfloors.co.uk/rhian-30x10-tiles-blanco-matt-tiles","Product")</f>
        <v/>
      </c>
      <c r="B25" s="1" t="inlineStr">
        <is>
          <t>8364</t>
        </is>
      </c>
      <c r="C25" s="1" t="inlineStr">
        <is>
          <t>Rhian Blanco White Matt Brick Tiles</t>
        </is>
      </c>
      <c r="D25" s="1" t="inlineStr">
        <is>
          <t>300x100x7mm</t>
        </is>
      </c>
      <c r="E25" s="1" t="n">
        <v>23.95</v>
      </c>
      <c r="F25" s="1" t="n">
        <v>-45</v>
      </c>
      <c r="G25" s="1" t="inlineStr">
        <is>
          <t>SQM</t>
        </is>
      </c>
      <c r="H25" s="1" t="inlineStr">
        <is>
          <t>Ceramic</t>
        </is>
      </c>
      <c r="I25" s="1" t="inlineStr">
        <is>
          <t>Matt</t>
        </is>
      </c>
      <c r="J25" t="n">
        <v>23.95</v>
      </c>
      <c r="K25" t="n">
        <v>23.95</v>
      </c>
      <c r="L25" t="n">
        <v>23.95</v>
      </c>
    </row>
    <row r="26">
      <c r="A26" s="1">
        <f>Hyperlink("https://www.wallsandfloors.co.uk/linear-tiles-white-matt-linear-tiles","Product")</f>
        <v/>
      </c>
      <c r="B26" s="1" t="inlineStr">
        <is>
          <t>13921</t>
        </is>
      </c>
      <c r="C26" s="1" t="inlineStr">
        <is>
          <t>Linear White Matt Brick Tiles</t>
        </is>
      </c>
      <c r="D26" s="1" t="inlineStr">
        <is>
          <t>300x100x8mm</t>
        </is>
      </c>
      <c r="E26" s="1" t="n">
        <v>18.95</v>
      </c>
      <c r="F26" s="1" t="n">
        <v>-42</v>
      </c>
      <c r="G26" s="1" t="inlineStr">
        <is>
          <t>SQM</t>
        </is>
      </c>
      <c r="H26" s="1" t="inlineStr">
        <is>
          <t>Ceramic</t>
        </is>
      </c>
      <c r="I26" s="1" t="inlineStr">
        <is>
          <t>Matt</t>
        </is>
      </c>
      <c r="J26" t="n">
        <v>18.95</v>
      </c>
      <c r="K26" t="n">
        <v>18.95</v>
      </c>
      <c r="L26" t="n">
        <v>18.95</v>
      </c>
    </row>
    <row r="27">
      <c r="A27" s="1">
        <f>Hyperlink("https://www.wallsandfloors.co.uk/keystone-tiles-stone-tiles","Product")</f>
        <v/>
      </c>
      <c r="B27" s="1" t="inlineStr">
        <is>
          <t>12088</t>
        </is>
      </c>
      <c r="C27" s="1" t="inlineStr">
        <is>
          <t>Lockstone Stone Tiles</t>
        </is>
      </c>
      <c r="D27" s="1" t="inlineStr">
        <is>
          <t>600x400x9mm</t>
        </is>
      </c>
      <c r="E27" s="1" t="n">
        <v>18.95</v>
      </c>
      <c r="F27" s="1" t="n">
        <v>-42</v>
      </c>
      <c r="G27" s="1" t="inlineStr">
        <is>
          <t>SQM</t>
        </is>
      </c>
      <c r="H27" s="1" t="inlineStr">
        <is>
          <t>Porcelain</t>
        </is>
      </c>
      <c r="I27" s="1" t="inlineStr">
        <is>
          <t>Matt</t>
        </is>
      </c>
      <c r="J27" t="n">
        <v>18.95</v>
      </c>
      <c r="K27" t="n">
        <v>18.95</v>
      </c>
      <c r="L27" t="n">
        <v>18.95</v>
      </c>
    </row>
    <row r="28">
      <c r="A28" s="1">
        <f>Hyperlink("https://www.wallsandfloors.co.uk/samanea-wood-effect-tiles-oak-wood-suar-tile","Product")</f>
        <v/>
      </c>
      <c r="B28" s="1" t="inlineStr">
        <is>
          <t>13853</t>
        </is>
      </c>
      <c r="C28" s="1" t="inlineStr">
        <is>
          <t>Samanea Oak Suar Wood Effect Tiles</t>
        </is>
      </c>
      <c r="D28" s="1" t="inlineStr">
        <is>
          <t>950x240x9mm</t>
        </is>
      </c>
      <c r="E28" s="1" t="n">
        <v>20.95</v>
      </c>
      <c r="F28" s="1" t="n">
        <v>-38</v>
      </c>
      <c r="G28" s="1" t="inlineStr">
        <is>
          <t>SQM</t>
        </is>
      </c>
      <c r="H28" s="1" t="inlineStr">
        <is>
          <t>Ceramic</t>
        </is>
      </c>
      <c r="I28" s="1" t="inlineStr">
        <is>
          <t>Matt</t>
        </is>
      </c>
      <c r="J28" t="n">
        <v>20.95</v>
      </c>
      <c r="K28" t="inlineStr"/>
      <c r="L28" t="n">
        <v>20.95</v>
      </c>
    </row>
    <row r="29">
      <c r="A29" s="1">
        <f>Hyperlink("https://www.wallsandfloors.co.uk/toolshed-tile-adhesive-kwik-flex-grey-floor-tile-adhesive","Product")</f>
        <v/>
      </c>
      <c r="B29" s="1" t="inlineStr">
        <is>
          <t>10447</t>
        </is>
      </c>
      <c r="C29" s="1" t="inlineStr">
        <is>
          <t>Kwik Flex Grey Floor Tile Adhesive</t>
        </is>
      </c>
      <c r="D29" s="1" t="inlineStr">
        <is>
          <t>20 Kg</t>
        </is>
      </c>
      <c r="E29" s="1" t="n">
        <v>19.95</v>
      </c>
      <c r="F29" s="1" t="n">
        <v>-37</v>
      </c>
      <c r="G29" s="1" t="inlineStr"/>
      <c r="H29" s="1" t="inlineStr">
        <is>
          <t>Adhesive</t>
        </is>
      </c>
      <c r="I29" s="1" t="inlineStr">
        <is>
          <t>-</t>
        </is>
      </c>
      <c r="J29" t="n">
        <v>19.95</v>
      </c>
      <c r="K29" t="n">
        <v>19.95</v>
      </c>
      <c r="L29" t="n">
        <v>19.95</v>
      </c>
    </row>
    <row r="30">
      <c r="A30" s="1">
        <f>Hyperlink("https://www.wallsandfloors.co.uk/courtyard-slate-silver-peony-slate-effect-tiles","Product")</f>
        <v/>
      </c>
      <c r="B30" s="1" t="inlineStr">
        <is>
          <t>24751</t>
        </is>
      </c>
      <c r="C30" s="1" t="inlineStr">
        <is>
          <t>Courtyard Silver Peony Slate Effect Tiles</t>
        </is>
      </c>
      <c r="D30" s="1" t="inlineStr">
        <is>
          <t>598x297x7.5mm</t>
        </is>
      </c>
      <c r="E30" s="1" t="n">
        <v>14.95</v>
      </c>
      <c r="F30" s="1" t="n">
        <v>-36</v>
      </c>
      <c r="G30" s="1" t="inlineStr">
        <is>
          <t>SQM</t>
        </is>
      </c>
      <c r="H30" s="1" t="inlineStr">
        <is>
          <t>Porcelain</t>
        </is>
      </c>
      <c r="I30" s="1" t="inlineStr">
        <is>
          <t>Matt</t>
        </is>
      </c>
      <c r="J30" t="n">
        <v>14.95</v>
      </c>
      <c r="K30" t="n">
        <v>14.95</v>
      </c>
      <c r="L30" t="n">
        <v>14.95</v>
      </c>
    </row>
    <row r="31">
      <c r="A31" s="1">
        <f>Hyperlink("https://www.wallsandfloors.co.uk/scintilla-olive-tiles","Product")</f>
        <v/>
      </c>
      <c r="B31" s="1" t="inlineStr">
        <is>
          <t>39078</t>
        </is>
      </c>
      <c r="C31" s="1" t="inlineStr">
        <is>
          <t>Scintilla Olive Green Star Pattern Tiles</t>
        </is>
      </c>
      <c r="D31" s="1" t="inlineStr">
        <is>
          <t>450x450x10.5mm</t>
        </is>
      </c>
      <c r="E31" s="1" t="n">
        <v>19.95</v>
      </c>
      <c r="F31" s="1" t="n">
        <v>-32</v>
      </c>
      <c r="G31" s="1" t="inlineStr">
        <is>
          <t>SQM</t>
        </is>
      </c>
      <c r="H31" s="1" t="inlineStr">
        <is>
          <t>Ceramic</t>
        </is>
      </c>
      <c r="I31" s="1" t="inlineStr">
        <is>
          <t>Matt</t>
        </is>
      </c>
      <c r="J31" t="n">
        <v>19.95</v>
      </c>
      <c r="K31" t="n">
        <v>19.95</v>
      </c>
      <c r="L31" t="n">
        <v>19.95</v>
      </c>
    </row>
    <row r="32">
      <c r="A32" s="1">
        <f>Hyperlink("https://www.wallsandfloors.co.uk/scintilla-paprika-tiles","Product")</f>
        <v/>
      </c>
      <c r="B32" s="1" t="inlineStr">
        <is>
          <t>39077</t>
        </is>
      </c>
      <c r="C32" s="1" t="inlineStr">
        <is>
          <t>Scintilla Paprika Orange Star Pattern Tiles</t>
        </is>
      </c>
      <c r="D32" s="1" t="inlineStr">
        <is>
          <t>450x450x10.5mm</t>
        </is>
      </c>
      <c r="E32" s="1" t="n">
        <v>19.95</v>
      </c>
      <c r="F32" s="1" t="n">
        <v>-30</v>
      </c>
      <c r="G32" s="1" t="inlineStr">
        <is>
          <t>SQM</t>
        </is>
      </c>
      <c r="H32" s="1" t="inlineStr">
        <is>
          <t>Ceramic</t>
        </is>
      </c>
      <c r="I32" s="1" t="inlineStr">
        <is>
          <t>Matt</t>
        </is>
      </c>
      <c r="J32" t="n">
        <v>19.95</v>
      </c>
      <c r="K32" t="inlineStr"/>
      <c r="L32" t="n">
        <v>19.95</v>
      </c>
    </row>
    <row r="33">
      <c r="A33" s="1">
        <f>Hyperlink("https://www.wallsandfloors.co.uk/country-farmhouse-multicolour-slate-tiles-multicolour-slate-random-tiles","Product")</f>
        <v/>
      </c>
      <c r="B33" s="1" t="inlineStr">
        <is>
          <t>12114</t>
        </is>
      </c>
      <c r="C33" s="1" t="inlineStr">
        <is>
          <t>Country Farmhouse Mixed Multicolour Slate Tiles</t>
        </is>
      </c>
      <c r="D33" s="1" t="inlineStr">
        <is>
          <t>Mixed  (1 pack = 0.725 sqm)</t>
        </is>
      </c>
      <c r="E33" s="1" t="n">
        <v>16.95</v>
      </c>
      <c r="F33" s="1" t="n">
        <v>-30</v>
      </c>
      <c r="G33" s="1" t="inlineStr">
        <is>
          <t>SQM</t>
        </is>
      </c>
      <c r="H33" s="1" t="inlineStr">
        <is>
          <t>Slate</t>
        </is>
      </c>
      <c r="I33" s="1" t="inlineStr">
        <is>
          <t>Matt</t>
        </is>
      </c>
      <c r="J33" t="n">
        <v>16.95</v>
      </c>
      <c r="K33" t="n">
        <v>16.95</v>
      </c>
      <c r="L33" t="n">
        <v>16.95</v>
      </c>
    </row>
    <row r="34">
      <c r="A34" s="1">
        <f>Hyperlink("https://www.wallsandfloors.co.uk/lissome-tiles-chalk-30x7-5-gloss-tile","Product")</f>
        <v/>
      </c>
      <c r="B34" s="1" t="inlineStr">
        <is>
          <t>13601</t>
        </is>
      </c>
      <c r="C34" s="1" t="inlineStr">
        <is>
          <t>Lissome Gloss Chalk White Metro Tiles</t>
        </is>
      </c>
      <c r="D34" s="1" t="inlineStr">
        <is>
          <t>300x75x7.4mm</t>
        </is>
      </c>
      <c r="E34" s="1" t="n">
        <v>21</v>
      </c>
      <c r="F34" s="1" t="n">
        <v>-28</v>
      </c>
      <c r="G34" s="1" t="inlineStr">
        <is>
          <t>SQM</t>
        </is>
      </c>
      <c r="H34" s="1" t="inlineStr">
        <is>
          <t>Ceramic</t>
        </is>
      </c>
      <c r="I34" s="1" t="inlineStr">
        <is>
          <t>Gloss</t>
        </is>
      </c>
      <c r="J34" t="n">
        <v>21</v>
      </c>
      <c r="K34" t="inlineStr"/>
      <c r="L34" t="n">
        <v>21</v>
      </c>
    </row>
    <row r="35">
      <c r="A35" s="1">
        <f>Hyperlink("https://www.wallsandfloors.co.uk/gloss-carrara-marble-effect-120x60-tiles","Product")</f>
        <v/>
      </c>
      <c r="B35" s="1" t="inlineStr">
        <is>
          <t>40658</t>
        </is>
      </c>
      <c r="C35" s="1" t="inlineStr">
        <is>
          <t>Cappella Gloss Carrara Marble Effect Tiles</t>
        </is>
      </c>
      <c r="D35" s="1" t="inlineStr">
        <is>
          <t>1200x600x10mm</t>
        </is>
      </c>
      <c r="E35" s="1" t="n">
        <v>27.95</v>
      </c>
      <c r="F35" s="1" t="n">
        <v>-28</v>
      </c>
      <c r="G35" s="1" t="inlineStr">
        <is>
          <t>SQM</t>
        </is>
      </c>
      <c r="H35" s="1" t="inlineStr">
        <is>
          <t>Porcelain</t>
        </is>
      </c>
      <c r="I35" s="1" t="inlineStr">
        <is>
          <t>Polished</t>
        </is>
      </c>
      <c r="J35" t="n">
        <v>27.95</v>
      </c>
      <c r="K35" t="n">
        <v>27.95</v>
      </c>
      <c r="L35" t="n">
        <v>27.95</v>
      </c>
    </row>
    <row r="36">
      <c r="A36" s="1">
        <f>Hyperlink("https://www.wallsandfloors.co.uk/tiveden-teka-wood-effect-tiles","Product")</f>
        <v/>
      </c>
      <c r="B36" s="1" t="inlineStr">
        <is>
          <t>41848</t>
        </is>
      </c>
      <c r="C36" s="1" t="inlineStr">
        <is>
          <t>Tiveden Teka Wood Effect Tiles</t>
        </is>
      </c>
      <c r="D36" s="1" t="inlineStr">
        <is>
          <t>1195x225x8.7mm</t>
        </is>
      </c>
      <c r="E36" s="1" t="n">
        <v>27.95</v>
      </c>
      <c r="F36" s="1" t="n">
        <v>-27</v>
      </c>
      <c r="G36" s="1" t="inlineStr">
        <is>
          <t>SQM</t>
        </is>
      </c>
      <c r="H36" s="1" t="inlineStr">
        <is>
          <t>Porcelain</t>
        </is>
      </c>
      <c r="I36" s="1" t="inlineStr">
        <is>
          <t>Matt</t>
        </is>
      </c>
      <c r="J36" t="n">
        <v>27.95</v>
      </c>
      <c r="K36" t="n">
        <v>27.95</v>
      </c>
      <c r="L36" t="n">
        <v>27.95</v>
      </c>
    </row>
    <row r="37">
      <c r="A37" s="1">
        <f>Hyperlink("https://www.wallsandfloors.co.uk/rustic-metro-tiles-white-gloss-tiles","Product")</f>
        <v/>
      </c>
      <c r="B37" s="1" t="inlineStr">
        <is>
          <t>12174</t>
        </is>
      </c>
      <c r="C37" s="1" t="inlineStr">
        <is>
          <t>White Rustic Metro Tiles</t>
        </is>
      </c>
      <c r="D37" s="1" t="inlineStr">
        <is>
          <t>150x75x7mm</t>
        </is>
      </c>
      <c r="E37" s="1" t="n">
        <v>20.95</v>
      </c>
      <c r="F37" s="1" t="n">
        <v>-27</v>
      </c>
      <c r="G37" s="1" t="inlineStr">
        <is>
          <t>SQM</t>
        </is>
      </c>
      <c r="H37" s="1" t="inlineStr">
        <is>
          <t>Ceramic</t>
        </is>
      </c>
      <c r="I37" s="1" t="inlineStr">
        <is>
          <t>Gloss</t>
        </is>
      </c>
      <c r="J37" t="n">
        <v>20.95</v>
      </c>
      <c r="K37" t="n">
        <v>20.95</v>
      </c>
      <c r="L37" t="n">
        <v>20.95</v>
      </c>
    </row>
    <row r="38">
      <c r="A38" s="1">
        <f>Hyperlink("https://www.wallsandfloors.co.uk/piquancy-cynosure-tiles","Product")</f>
        <v/>
      </c>
      <c r="B38" s="1" t="inlineStr">
        <is>
          <t>24743</t>
        </is>
      </c>
      <c r="C38" s="1" t="inlineStr">
        <is>
          <t>Cynosure Vintage Pattern Tiles</t>
        </is>
      </c>
      <c r="D38" s="1" t="inlineStr">
        <is>
          <t>450x450x11.5mm</t>
        </is>
      </c>
      <c r="E38" s="1" t="n">
        <v>26.95</v>
      </c>
      <c r="F38" s="1" t="n">
        <v>-26</v>
      </c>
      <c r="G38" s="1" t="inlineStr">
        <is>
          <t>SQM</t>
        </is>
      </c>
      <c r="H38" s="1" t="inlineStr">
        <is>
          <t>Ceramic</t>
        </is>
      </c>
      <c r="I38" s="1" t="inlineStr">
        <is>
          <t>Matt</t>
        </is>
      </c>
      <c r="J38" t="n">
        <v>26.95</v>
      </c>
      <c r="K38" t="n">
        <v>26.95</v>
      </c>
      <c r="L38" t="n">
        <v>26.95</v>
      </c>
    </row>
    <row r="39">
      <c r="A39" s="1">
        <f>Hyperlink("https://www.wallsandfloors.co.uk/churchill-snow-midnight-chequer-mosaic-tiles","Product")</f>
        <v/>
      </c>
      <c r="B39" s="1" t="inlineStr">
        <is>
          <t>41056</t>
        </is>
      </c>
      <c r="C39" s="1" t="inlineStr">
        <is>
          <t>Churchill Snow &amp; Midnight Chequer Mosaic Tiles</t>
        </is>
      </c>
      <c r="D39" s="1" t="inlineStr">
        <is>
          <t>291x291x6mm</t>
        </is>
      </c>
      <c r="E39" s="1" t="n">
        <v>5.95</v>
      </c>
      <c r="F39" s="1" t="n">
        <v>-25</v>
      </c>
      <c r="G39" s="1" t="inlineStr">
        <is>
          <t>Sheet</t>
        </is>
      </c>
      <c r="H39" s="1" t="inlineStr">
        <is>
          <t>Porcelain</t>
        </is>
      </c>
      <c r="I39" s="1" t="inlineStr">
        <is>
          <t>Matt</t>
        </is>
      </c>
      <c r="J39" t="n">
        <v>5.95</v>
      </c>
      <c r="K39" t="inlineStr"/>
      <c r="L39" t="n">
        <v>5.95</v>
      </c>
    </row>
    <row r="40">
      <c r="A40" s="1">
        <f>Hyperlink("https://www.wallsandfloors.co.uk/toolshed-tile-adhesive-kwik-grip-15-wall-tile-adhesive","Product")</f>
        <v/>
      </c>
      <c r="B40" s="1" t="inlineStr">
        <is>
          <t>9199</t>
        </is>
      </c>
      <c r="C40" s="1" t="inlineStr">
        <is>
          <t>Kwik Grip 15 Wall Tile Adhesive</t>
        </is>
      </c>
      <c r="D40" s="1" t="inlineStr">
        <is>
          <t>15 Ltr</t>
        </is>
      </c>
      <c r="E40" s="1" t="n">
        <v>19.95</v>
      </c>
      <c r="F40" s="1" t="n">
        <v>-23</v>
      </c>
      <c r="G40" s="1" t="inlineStr">
        <is>
          <t>Unit</t>
        </is>
      </c>
      <c r="H40" s="1" t="inlineStr">
        <is>
          <t>Adhesive</t>
        </is>
      </c>
      <c r="I40" s="1" t="inlineStr">
        <is>
          <t>-</t>
        </is>
      </c>
      <c r="J40" t="n">
        <v>19.95</v>
      </c>
      <c r="K40" t="n">
        <v>19.95</v>
      </c>
      <c r="L40" t="n">
        <v>19.95</v>
      </c>
    </row>
    <row r="41">
      <c r="A41" s="1">
        <f>Hyperlink("https://www.wallsandfloors.co.uk/victorian-green-metro-tiles","Product")</f>
        <v/>
      </c>
      <c r="B41" s="1" t="inlineStr">
        <is>
          <t>44215</t>
        </is>
      </c>
      <c r="C41" s="1" t="inlineStr">
        <is>
          <t>Victorian Green Metro Tiles</t>
        </is>
      </c>
      <c r="D41" s="1" t="inlineStr">
        <is>
          <t>200x100x6.8mm</t>
        </is>
      </c>
      <c r="E41" s="1" t="n">
        <v>26.95</v>
      </c>
      <c r="F41" s="1" t="n">
        <v>-23</v>
      </c>
      <c r="G41" s="1" t="inlineStr">
        <is>
          <t>SQM</t>
        </is>
      </c>
      <c r="H41" s="1" t="inlineStr">
        <is>
          <t>Ceramic</t>
        </is>
      </c>
      <c r="I41" s="1" t="inlineStr">
        <is>
          <t>Gloss</t>
        </is>
      </c>
      <c r="J41" t="n">
        <v>26.95</v>
      </c>
      <c r="K41" t="n">
        <v>26.95</v>
      </c>
      <c r="L41" t="n">
        <v>26.95</v>
      </c>
    </row>
    <row r="42">
      <c r="A42" s="1">
        <f>Hyperlink("https://www.wallsandfloors.co.uk/metro-smooth-150x75-tiles-white-chapel-brick-gloss-tiles","Product")</f>
        <v/>
      </c>
      <c r="B42" s="1" t="inlineStr">
        <is>
          <t>10725</t>
        </is>
      </c>
      <c r="C42" s="1" t="inlineStr">
        <is>
          <t>Whitechapel Gloss White Flat Mini Metro Tiles</t>
        </is>
      </c>
      <c r="D42" s="1" t="inlineStr">
        <is>
          <t>150x75x7mm</t>
        </is>
      </c>
      <c r="E42" s="1" t="n">
        <v>20.95</v>
      </c>
      <c r="F42" s="1" t="n">
        <v>-23</v>
      </c>
      <c r="G42" s="1" t="inlineStr">
        <is>
          <t>SQM</t>
        </is>
      </c>
      <c r="H42" s="1" t="inlineStr">
        <is>
          <t>Ceramic</t>
        </is>
      </c>
      <c r="I42" s="1" t="inlineStr">
        <is>
          <t>Gloss</t>
        </is>
      </c>
      <c r="J42" t="n">
        <v>20.95</v>
      </c>
      <c r="K42" t="inlineStr"/>
      <c r="L42" t="n">
        <v>20.95</v>
      </c>
    </row>
    <row r="43">
      <c r="A43" s="1">
        <f>Hyperlink("https://www.wallsandfloors.co.uk/titanium-anti-slip-tiles-tethys-structured-30x30-anti-slip-tiles","Product")</f>
        <v/>
      </c>
      <c r="B43" s="1" t="inlineStr">
        <is>
          <t>14185</t>
        </is>
      </c>
      <c r="C43" s="1" t="inlineStr">
        <is>
          <t>Titanium Tethys Structured Anti-Slip Tiles</t>
        </is>
      </c>
      <c r="D43" s="1" t="inlineStr">
        <is>
          <t>300x300x9mm</t>
        </is>
      </c>
      <c r="E43" s="1" t="n">
        <v>20.95</v>
      </c>
      <c r="F43" s="1" t="n">
        <v>-23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Matt</t>
        </is>
      </c>
      <c r="J43" t="n">
        <v>20.95</v>
      </c>
      <c r="K43" t="n">
        <v>20.95</v>
      </c>
      <c r="L43" t="n">
        <v>20.95</v>
      </c>
    </row>
    <row r="44">
      <c r="A44" s="1">
        <f>Hyperlink("https://www.wallsandfloors.co.uk/sherwood-natural-20mm-wood-effect-tiles","Product")</f>
        <v/>
      </c>
      <c r="B44" s="1" t="inlineStr">
        <is>
          <t>44426</t>
        </is>
      </c>
      <c r="C44" s="1" t="inlineStr">
        <is>
          <t>Sherwood Natural Wood Effect Porcelain Paving Slabs</t>
        </is>
      </c>
      <c r="D44" s="1" t="inlineStr">
        <is>
          <t>1195x295x20mm</t>
        </is>
      </c>
      <c r="E44" s="1" t="n">
        <v>48.95</v>
      </c>
      <c r="F44" s="1" t="n">
        <v>-22</v>
      </c>
      <c r="G44" s="1" t="inlineStr">
        <is>
          <t>SQM</t>
        </is>
      </c>
      <c r="H44" s="1" t="inlineStr">
        <is>
          <t>Porcelain</t>
        </is>
      </c>
      <c r="I44" s="1" t="inlineStr">
        <is>
          <t>Matt</t>
        </is>
      </c>
      <c r="J44" t="n">
        <v>48.95</v>
      </c>
      <c r="K44" t="n">
        <v>48.95</v>
      </c>
      <c r="L44" t="n">
        <v>48.95</v>
      </c>
    </row>
    <row r="45">
      <c r="A45" s="1">
        <f>Hyperlink("https://www.wallsandfloors.co.uk/country-farmhouse-multicolour-slate-tiles-multicolour-slate-30x30-tiles","Product")</f>
        <v/>
      </c>
      <c r="B45" s="1" t="inlineStr">
        <is>
          <t>12112</t>
        </is>
      </c>
      <c r="C45" s="1" t="inlineStr">
        <is>
          <t>Country Farmhouse Multicolour Slate Tiles</t>
        </is>
      </c>
      <c r="D45" s="1" t="inlineStr">
        <is>
          <t>300x300x7-12mm</t>
        </is>
      </c>
      <c r="E45" s="1" t="n">
        <v>17.95</v>
      </c>
      <c r="F45" s="1" t="n">
        <v>-20</v>
      </c>
      <c r="G45" s="1" t="inlineStr">
        <is>
          <t>SQM</t>
        </is>
      </c>
      <c r="H45" s="1" t="inlineStr">
        <is>
          <t>Slate</t>
        </is>
      </c>
      <c r="I45" s="1" t="inlineStr">
        <is>
          <t>Matt</t>
        </is>
      </c>
      <c r="J45" t="n">
        <v>17.95</v>
      </c>
      <c r="K45" t="n">
        <v>17.95</v>
      </c>
      <c r="L45" t="n">
        <v>17.95</v>
      </c>
    </row>
    <row r="46">
      <c r="A46" s="1">
        <f>Hyperlink("https://www.wallsandfloors.co.uk/cognac-triangle-50x50x70mm-tiles","Product")</f>
        <v/>
      </c>
      <c r="B46" s="1" t="inlineStr">
        <is>
          <t>990166</t>
        </is>
      </c>
      <c r="C46" s="1" t="inlineStr">
        <is>
          <t>Cognac Triangle Tiles</t>
        </is>
      </c>
      <c r="D46" s="1" t="inlineStr">
        <is>
          <t>50x50x70mm</t>
        </is>
      </c>
      <c r="E46" s="1" t="n">
        <v>1.31</v>
      </c>
      <c r="F46" s="1" t="n">
        <v>-20</v>
      </c>
      <c r="G46" s="1" t="inlineStr">
        <is>
          <t>SQM</t>
        </is>
      </c>
      <c r="H46" s="1" t="inlineStr">
        <is>
          <t>Porcelain</t>
        </is>
      </c>
      <c r="I46" s="1" t="inlineStr">
        <is>
          <t>Matt</t>
        </is>
      </c>
      <c r="J46" t="n">
        <v>1.31</v>
      </c>
      <c r="K46" t="n">
        <v>1.31</v>
      </c>
      <c r="L46" t="n">
        <v>1.31</v>
      </c>
    </row>
    <row r="47">
      <c r="A47" s="1">
        <f>Hyperlink("https://www.wallsandfloors.co.uk/raku-blue-tiles","Product")</f>
        <v/>
      </c>
      <c r="B47" s="1" t="inlineStr">
        <is>
          <t>44472</t>
        </is>
      </c>
      <c r="C47" s="1" t="inlineStr">
        <is>
          <t>Raku Blue Tiles</t>
        </is>
      </c>
      <c r="D47" s="1" t="inlineStr">
        <is>
          <t>400x200x10.3mm</t>
        </is>
      </c>
      <c r="E47" s="1" t="n">
        <v>33.95</v>
      </c>
      <c r="F47" s="1" t="n">
        <v>-20</v>
      </c>
      <c r="G47" s="1" t="inlineStr">
        <is>
          <t>SQM</t>
        </is>
      </c>
      <c r="H47" s="1" t="inlineStr">
        <is>
          <t>Ceramic</t>
        </is>
      </c>
      <c r="I47" s="1" t="inlineStr">
        <is>
          <t>Matt</t>
        </is>
      </c>
      <c r="J47" t="n">
        <v>33.95</v>
      </c>
      <c r="K47" t="n">
        <v>33.95</v>
      </c>
      <c r="L47" t="n">
        <v>33.95</v>
      </c>
    </row>
    <row r="48">
      <c r="A48" s="1">
        <f>Hyperlink("https://www.wallsandfloors.co.uk/devine-whites-tiles-satin-white-wall-40x20-tiles","Product")</f>
        <v/>
      </c>
      <c r="B48" s="1" t="inlineStr">
        <is>
          <t>13341</t>
        </is>
      </c>
      <c r="C48" s="1" t="inlineStr">
        <is>
          <t>Devine Satin White Wall Tiles</t>
        </is>
      </c>
      <c r="D48" s="1" t="inlineStr">
        <is>
          <t>400x200x7mm</t>
        </is>
      </c>
      <c r="E48" s="1" t="n">
        <v>15.95</v>
      </c>
      <c r="F48" s="1" t="n">
        <v>-20</v>
      </c>
      <c r="G48" s="1" t="inlineStr">
        <is>
          <t>SQM</t>
        </is>
      </c>
      <c r="H48" s="1" t="inlineStr">
        <is>
          <t>Ceramic</t>
        </is>
      </c>
      <c r="I48" s="1" t="inlineStr">
        <is>
          <t>Satin</t>
        </is>
      </c>
      <c r="J48" t="inlineStr"/>
      <c r="K48" t="n">
        <v>15.95</v>
      </c>
      <c r="L48" t="n">
        <v>15.95</v>
      </c>
    </row>
    <row r="49">
      <c r="A49" s="1">
        <f>Hyperlink("https://www.wallsandfloors.co.uk/aleutian-tiles-mountain-white-gloss-60x30-tiles","Product")</f>
        <v/>
      </c>
      <c r="B49" s="1" t="inlineStr">
        <is>
          <t>34993</t>
        </is>
      </c>
      <c r="C49" s="1" t="inlineStr">
        <is>
          <t>Aleutian Mountain White Gloss Tiles</t>
        </is>
      </c>
      <c r="D49" s="1" t="inlineStr">
        <is>
          <t>600x300x10mm</t>
        </is>
      </c>
      <c r="E49" s="1" t="n">
        <v>17.95</v>
      </c>
      <c r="F49" s="1" t="n">
        <v>-18</v>
      </c>
      <c r="G49" s="1" t="inlineStr">
        <is>
          <t>SQM</t>
        </is>
      </c>
      <c r="H49" s="1" t="inlineStr">
        <is>
          <t>Porcelain</t>
        </is>
      </c>
      <c r="I49" s="1" t="inlineStr">
        <is>
          <t>Gloss</t>
        </is>
      </c>
      <c r="J49" t="n">
        <v>17.95</v>
      </c>
      <c r="K49" t="n">
        <v>17.95</v>
      </c>
      <c r="L49" t="n">
        <v>17.95</v>
      </c>
    </row>
    <row r="50">
      <c r="A50" s="1">
        <f>Hyperlink("https://www.wallsandfloors.co.uk/vena-diana-flat-gloss-30x10-tiles","Product")</f>
        <v/>
      </c>
      <c r="B50" s="1" t="inlineStr">
        <is>
          <t>37746</t>
        </is>
      </c>
      <c r="C50" s="1" t="inlineStr">
        <is>
          <t>Vena Biana Flat Gloss Tiles</t>
        </is>
      </c>
      <c r="D50" s="1" t="inlineStr">
        <is>
          <t>300x100x7.5mm</t>
        </is>
      </c>
      <c r="E50" s="1" t="n">
        <v>23.15</v>
      </c>
      <c r="F50" s="1" t="n">
        <v>-18</v>
      </c>
      <c r="G50" s="1" t="inlineStr">
        <is>
          <t>SQM</t>
        </is>
      </c>
      <c r="H50" s="1" t="inlineStr">
        <is>
          <t>Ceramic</t>
        </is>
      </c>
      <c r="I50" s="1" t="inlineStr">
        <is>
          <t>Gloss</t>
        </is>
      </c>
      <c r="J50" t="n">
        <v>23.15</v>
      </c>
      <c r="K50" t="inlineStr"/>
      <c r="L50" t="n">
        <v>23.15</v>
      </c>
    </row>
    <row r="51">
      <c r="A51" s="1">
        <f>Hyperlink("https://www.wallsandfloors.co.uk/soho-nero-tiles","Product")</f>
        <v/>
      </c>
      <c r="B51" s="1" t="inlineStr">
        <is>
          <t>38591</t>
        </is>
      </c>
      <c r="C51" s="1" t="inlineStr">
        <is>
          <t>Soho Nero Black Marble Effect Tiles</t>
        </is>
      </c>
      <c r="D51" s="1" t="inlineStr">
        <is>
          <t>185x185x8mm</t>
        </is>
      </c>
      <c r="E51" s="1" t="n">
        <v>34.95</v>
      </c>
      <c r="F51" s="1" t="n">
        <v>-17</v>
      </c>
      <c r="G51" s="1" t="inlineStr">
        <is>
          <t>SQM</t>
        </is>
      </c>
      <c r="H51" s="1" t="inlineStr">
        <is>
          <t>Porcelain</t>
        </is>
      </c>
      <c r="I51" s="1" t="inlineStr">
        <is>
          <t>Matt</t>
        </is>
      </c>
      <c r="J51" t="n">
        <v>34.95</v>
      </c>
      <c r="K51" t="n">
        <v>34.95</v>
      </c>
      <c r="L51" t="n">
        <v>34.95</v>
      </c>
    </row>
    <row r="52">
      <c r="A52" s="1">
        <f>Hyperlink("https://www.wallsandfloors.co.uk/blue-mix-split-face-wood-tiles","Product")</f>
        <v/>
      </c>
      <c r="B52" s="1" t="inlineStr">
        <is>
          <t>14936</t>
        </is>
      </c>
      <c r="C52" s="1" t="inlineStr">
        <is>
          <t>Blue Mix Split Face Wood Tiles</t>
        </is>
      </c>
      <c r="D52" s="1" t="inlineStr">
        <is>
          <t>450x250x12mm</t>
        </is>
      </c>
      <c r="E52" s="1" t="n">
        <v>30.95</v>
      </c>
      <c r="F52" s="1" t="n">
        <v>-17</v>
      </c>
      <c r="G52" s="1" t="inlineStr">
        <is>
          <t>SQM</t>
        </is>
      </c>
      <c r="H52" s="1" t="inlineStr">
        <is>
          <t>Porcelain</t>
        </is>
      </c>
      <c r="I52" s="1" t="inlineStr">
        <is>
          <t>Matt</t>
        </is>
      </c>
      <c r="J52" t="n">
        <v>30.95</v>
      </c>
      <c r="K52" t="n">
        <v>30.95</v>
      </c>
      <c r="L52" t="n">
        <v>30.95</v>
      </c>
    </row>
    <row r="53">
      <c r="A53" s="1">
        <f>Hyperlink("https://www.wallsandfloors.co.uk/diablo-travertine-effect-tiles-beige-stone-effect-tiles","Product")</f>
        <v/>
      </c>
      <c r="B53" s="1" t="inlineStr">
        <is>
          <t>15287</t>
        </is>
      </c>
      <c r="C53" s="1" t="inlineStr">
        <is>
          <t>Diablo Beige Travertine Effect Tiles</t>
        </is>
      </c>
      <c r="D53" s="1" t="inlineStr">
        <is>
          <t>600x400x7.5mm</t>
        </is>
      </c>
      <c r="E53" s="1" t="n">
        <v>20.95</v>
      </c>
      <c r="F53" s="1" t="n">
        <v>-17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Matt</t>
        </is>
      </c>
      <c r="J53" t="n">
        <v>20.95</v>
      </c>
      <c r="K53" t="n">
        <v>20.95</v>
      </c>
      <c r="L53" t="n">
        <v>20.95</v>
      </c>
    </row>
    <row r="54">
      <c r="A54" s="1">
        <f>Hyperlink("https://www.wallsandfloors.co.uk/picket-bevelled-mint-tiles","Product")</f>
        <v/>
      </c>
      <c r="B54" s="1" t="inlineStr">
        <is>
          <t>44238</t>
        </is>
      </c>
      <c r="C54" s="1" t="inlineStr">
        <is>
          <t>Pickett™ Bevelled Mint Tiles</t>
        </is>
      </c>
      <c r="D54" s="1" t="inlineStr">
        <is>
          <t>300x100x8.2mm</t>
        </is>
      </c>
      <c r="E54" s="1" t="n">
        <v>34.95</v>
      </c>
      <c r="F54" s="1" t="n">
        <v>-17</v>
      </c>
      <c r="G54" s="1" t="inlineStr">
        <is>
          <t>SQM</t>
        </is>
      </c>
      <c r="H54" s="1" t="inlineStr">
        <is>
          <t>Ceramic</t>
        </is>
      </c>
      <c r="I54" s="1" t="inlineStr">
        <is>
          <t>Gloss</t>
        </is>
      </c>
      <c r="J54" t="n">
        <v>34.95</v>
      </c>
      <c r="K54" t="inlineStr"/>
      <c r="L54" t="n">
        <v>34.95</v>
      </c>
    </row>
    <row r="55">
      <c r="A55" s="1">
        <f>Hyperlink("https://www.wallsandfloors.co.uk/quarry-red-tiles-red-plain-15x15-hexagon-quarry-tiles","Product")</f>
        <v/>
      </c>
      <c r="B55" s="1" t="inlineStr">
        <is>
          <t>15458</t>
        </is>
      </c>
      <c r="C55" s="1" t="inlineStr">
        <is>
          <t>Red Plain Hexagon Quarry Tiles</t>
        </is>
      </c>
      <c r="D55" s="1" t="inlineStr">
        <is>
          <t>150x150x8.5mm</t>
        </is>
      </c>
      <c r="E55" s="1" t="n">
        <v>23.95</v>
      </c>
      <c r="F55" s="1" t="n">
        <v>-16</v>
      </c>
      <c r="G55" s="1" t="inlineStr">
        <is>
          <t>SQM</t>
        </is>
      </c>
      <c r="H55" s="1" t="inlineStr">
        <is>
          <t>Clay</t>
        </is>
      </c>
      <c r="I55" s="1" t="inlineStr">
        <is>
          <t>Matt</t>
        </is>
      </c>
      <c r="J55" t="n">
        <v>23.95</v>
      </c>
      <c r="K55" t="n">
        <v>23.95</v>
      </c>
      <c r="L55" t="n">
        <v>23.95</v>
      </c>
    </row>
    <row r="56">
      <c r="A56" s="1">
        <f>Hyperlink("https://www.wallsandfloors.co.uk/soho-satin-tiles","Product")</f>
        <v/>
      </c>
      <c r="B56" s="1" t="inlineStr">
        <is>
          <t>38592</t>
        </is>
      </c>
      <c r="C56" s="1" t="inlineStr">
        <is>
          <t>Soho Satin White Marble Effect Tiles</t>
        </is>
      </c>
      <c r="D56" s="1" t="inlineStr">
        <is>
          <t>185x185x8mm</t>
        </is>
      </c>
      <c r="E56" s="1" t="n">
        <v>34.95</v>
      </c>
      <c r="F56" s="1" t="n">
        <v>-16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Matt</t>
        </is>
      </c>
      <c r="J56" t="inlineStr"/>
      <c r="K56" t="n">
        <v>34.95</v>
      </c>
      <c r="L56" t="n">
        <v>34.95</v>
      </c>
    </row>
    <row r="57">
      <c r="A57" s="1">
        <f>Hyperlink("https://www.wallsandfloors.co.uk/memoir-encaustic-effect-tiles-saltaire-scored-tiles","Product")</f>
        <v/>
      </c>
      <c r="B57" s="1" t="inlineStr">
        <is>
          <t>15387</t>
        </is>
      </c>
      <c r="C57" s="1" t="inlineStr">
        <is>
          <t>Memoir Encaustic Saltaire Pattern Tiles</t>
        </is>
      </c>
      <c r="D57" s="1" t="inlineStr">
        <is>
          <t>450x450x10mm</t>
        </is>
      </c>
      <c r="E57" s="1" t="n">
        <v>20.95</v>
      </c>
      <c r="F57" s="1" t="n">
        <v>-15</v>
      </c>
      <c r="G57" s="1" t="inlineStr">
        <is>
          <t>SQM</t>
        </is>
      </c>
      <c r="H57" s="1" t="inlineStr">
        <is>
          <t>Ceramic</t>
        </is>
      </c>
      <c r="I57" s="1" t="inlineStr">
        <is>
          <t>Matt</t>
        </is>
      </c>
      <c r="J57" t="n">
        <v>20.95</v>
      </c>
      <c r="K57" t="n">
        <v>20.95</v>
      </c>
      <c r="L57" t="n">
        <v>20.95</v>
      </c>
    </row>
    <row r="58">
      <c r="A58" s="1">
        <f>Hyperlink("https://www.wallsandfloors.co.uk/picket-bevelled-navy-tiles","Product")</f>
        <v/>
      </c>
      <c r="B58" s="1" t="inlineStr">
        <is>
          <t>44216</t>
        </is>
      </c>
      <c r="C58" s="1" t="inlineStr">
        <is>
          <t>Pickett™ Bevelled Navy Tiles</t>
        </is>
      </c>
      <c r="D58" s="1" t="inlineStr">
        <is>
          <t>300x100x8.2mm</t>
        </is>
      </c>
      <c r="E58" s="1" t="n">
        <v>34.95</v>
      </c>
      <c r="F58" s="1" t="n">
        <v>-15</v>
      </c>
      <c r="G58" s="1" t="inlineStr">
        <is>
          <t>SQM</t>
        </is>
      </c>
      <c r="H58" s="1" t="inlineStr">
        <is>
          <t>Ceramic</t>
        </is>
      </c>
      <c r="I58" s="1" t="inlineStr">
        <is>
          <t>Gloss</t>
        </is>
      </c>
      <c r="J58" t="n">
        <v>34.95</v>
      </c>
      <c r="K58" t="n">
        <v>34.95</v>
      </c>
      <c r="L58" t="n">
        <v>34.95</v>
      </c>
    </row>
    <row r="59">
      <c r="A59" s="1">
        <f>Hyperlink("https://www.wallsandfloors.co.uk/kingsley-blue-tiles","Product")</f>
        <v/>
      </c>
      <c r="B59" s="1" t="inlineStr">
        <is>
          <t>41858</t>
        </is>
      </c>
      <c r="C59" s="1" t="inlineStr">
        <is>
          <t>Kingsley Blue Pattern Tiles</t>
        </is>
      </c>
      <c r="D59" s="1" t="inlineStr">
        <is>
          <t>450x450x8.5mm</t>
        </is>
      </c>
      <c r="E59" s="1" t="n">
        <v>29.95</v>
      </c>
      <c r="F59" s="1" t="n">
        <v>-15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29.95</v>
      </c>
      <c r="K59" t="n">
        <v>29.95</v>
      </c>
      <c r="L59" t="n">
        <v>29.95</v>
      </c>
    </row>
    <row r="60">
      <c r="A60" s="1">
        <f>Hyperlink("https://www.wallsandfloors.co.uk/toolshed-tile-adhesive-kwik-grip-ice-white-wall-tile-adhesive","Product")</f>
        <v/>
      </c>
      <c r="B60" s="1" t="inlineStr">
        <is>
          <t>13765</t>
        </is>
      </c>
      <c r="C60" s="1" t="inlineStr">
        <is>
          <t>Kwik Grip Ice White Wall Tile Adhesive</t>
        </is>
      </c>
      <c r="D60" s="1" t="inlineStr">
        <is>
          <t>10 Ltr</t>
        </is>
      </c>
      <c r="E60" s="1" t="n">
        <v>22.95</v>
      </c>
      <c r="F60" s="1" t="n">
        <v>-15</v>
      </c>
      <c r="G60" s="1" t="inlineStr"/>
      <c r="H60" s="1" t="inlineStr">
        <is>
          <t>Adhesive</t>
        </is>
      </c>
      <c r="I60" s="1" t="inlineStr">
        <is>
          <t>-</t>
        </is>
      </c>
      <c r="J60" t="n">
        <v>22.95</v>
      </c>
      <c r="K60" t="inlineStr"/>
      <c r="L60" t="n">
        <v>22.95</v>
      </c>
    </row>
    <row r="61">
      <c r="A61" s="1">
        <f>Hyperlink("https://www.wallsandfloors.co.uk/scintilla-silver-grey-star-pattern-tiles","Product")</f>
        <v/>
      </c>
      <c r="B61" s="1" t="inlineStr">
        <is>
          <t>43853</t>
        </is>
      </c>
      <c r="C61" s="1" t="inlineStr">
        <is>
          <t>Scintilla Silver Grey Star Pattern Tiles</t>
        </is>
      </c>
      <c r="D61" s="1" t="inlineStr">
        <is>
          <t>450x450x10.5mm</t>
        </is>
      </c>
      <c r="E61" s="1" t="n">
        <v>19.95</v>
      </c>
      <c r="F61" s="1" t="n">
        <v>-15</v>
      </c>
      <c r="G61" s="1" t="inlineStr">
        <is>
          <t>SQM</t>
        </is>
      </c>
      <c r="H61" s="1" t="inlineStr">
        <is>
          <t>Ceramic</t>
        </is>
      </c>
      <c r="I61" s="1" t="inlineStr">
        <is>
          <t>Matt</t>
        </is>
      </c>
      <c r="J61" t="n">
        <v>19.95</v>
      </c>
      <c r="K61" t="n">
        <v>19.95</v>
      </c>
      <c r="L61" t="n">
        <v>19.95</v>
      </c>
    </row>
    <row r="62">
      <c r="A62" s="1">
        <f>Hyperlink("https://www.wallsandfloors.co.uk/metro-200x100-tiles-chalk-farm-matt-white-tiles","Product")</f>
        <v/>
      </c>
      <c r="B62" s="1" t="inlineStr">
        <is>
          <t>8403</t>
        </is>
      </c>
      <c r="C62" s="1" t="inlineStr">
        <is>
          <t>Metro Chalk Farm White Matt Tiles</t>
        </is>
      </c>
      <c r="D62" s="1" t="inlineStr">
        <is>
          <t>200x100x7mm</t>
        </is>
      </c>
      <c r="E62" s="1" t="n">
        <v>17.95</v>
      </c>
      <c r="F62" s="1" t="n">
        <v>-14</v>
      </c>
      <c r="G62" s="1" t="inlineStr">
        <is>
          <t>SQM</t>
        </is>
      </c>
      <c r="H62" s="1" t="inlineStr">
        <is>
          <t>Ceramic</t>
        </is>
      </c>
      <c r="I62" s="1" t="inlineStr">
        <is>
          <t>Matt</t>
        </is>
      </c>
      <c r="J62" t="n">
        <v>17.95</v>
      </c>
      <c r="K62" t="n">
        <v>17.95</v>
      </c>
      <c r="L62" t="n">
        <v>17.95</v>
      </c>
    </row>
    <row r="63">
      <c r="A63" s="1">
        <f>Hyperlink("https://www.wallsandfloors.co.uk/cava-victorian-unglazed-150x150-quarry-tiles-black-quarry-tiles","Product")</f>
        <v/>
      </c>
      <c r="B63" s="1" t="inlineStr">
        <is>
          <t>13072</t>
        </is>
      </c>
      <c r="C63" s="1" t="inlineStr">
        <is>
          <t>Cava Victorian Black Quarry Tiles</t>
        </is>
      </c>
      <c r="D63" s="1" t="inlineStr">
        <is>
          <t>150x150x8mm</t>
        </is>
      </c>
      <c r="E63" s="1" t="n">
        <v>39.95</v>
      </c>
      <c r="F63" s="1" t="n">
        <v>-13</v>
      </c>
      <c r="G63" s="1" t="inlineStr">
        <is>
          <t>SQM</t>
        </is>
      </c>
      <c r="H63" s="1" t="inlineStr">
        <is>
          <t>Porcelain</t>
        </is>
      </c>
      <c r="I63" s="1" t="inlineStr">
        <is>
          <t>Matt</t>
        </is>
      </c>
      <c r="J63" t="n">
        <v>39.95</v>
      </c>
      <c r="K63" t="n">
        <v>39.95</v>
      </c>
      <c r="L63" t="n">
        <v>39.95</v>
      </c>
    </row>
    <row r="64">
      <c r="A64" s="1">
        <f>Hyperlink("https://www.wallsandfloors.co.uk/mr-jones-charcoal-tiles-58825","Product")</f>
        <v/>
      </c>
      <c r="B64" s="1" t="inlineStr">
        <is>
          <t>43419</t>
        </is>
      </c>
      <c r="C64" s="1" t="inlineStr">
        <is>
          <t>Mr Jones Charcoal Tiles</t>
        </is>
      </c>
      <c r="D64" s="1" t="inlineStr">
        <is>
          <t>450x450x9mm</t>
        </is>
      </c>
      <c r="E64" s="1" t="n">
        <v>17.95</v>
      </c>
      <c r="F64" s="1" t="n">
        <v>-13</v>
      </c>
      <c r="G64" s="1" t="inlineStr">
        <is>
          <t>SQM</t>
        </is>
      </c>
      <c r="H64" s="1" t="inlineStr">
        <is>
          <t>Ceramic</t>
        </is>
      </c>
      <c r="I64" s="1" t="inlineStr">
        <is>
          <t>Matt</t>
        </is>
      </c>
      <c r="J64" t="n">
        <v>17.95</v>
      </c>
      <c r="K64" t="inlineStr"/>
      <c r="L64" t="n">
        <v>17.95</v>
      </c>
    </row>
    <row r="65">
      <c r="A65" s="1">
        <f>Hyperlink("https://www.wallsandfloors.co.uk/aquarelle-300x100-tiles-mint-tiles","Product")</f>
        <v/>
      </c>
      <c r="B65" s="1" t="inlineStr">
        <is>
          <t>15410</t>
        </is>
      </c>
      <c r="C65" s="1" t="inlineStr">
        <is>
          <t>Aquarelle Mint Blue Tiles</t>
        </is>
      </c>
      <c r="D65" s="1" t="inlineStr">
        <is>
          <t>300x100x8mm</t>
        </is>
      </c>
      <c r="E65" s="1" t="n">
        <v>29.95</v>
      </c>
      <c r="F65" s="1" t="n">
        <v>-13</v>
      </c>
      <c r="G65" s="1" t="inlineStr">
        <is>
          <t>SQM</t>
        </is>
      </c>
      <c r="H65" s="1" t="inlineStr">
        <is>
          <t>Ceramic</t>
        </is>
      </c>
      <c r="I65" s="1" t="inlineStr">
        <is>
          <t>Gloss</t>
        </is>
      </c>
      <c r="J65" t="n">
        <v>29.95</v>
      </c>
      <c r="K65" t="inlineStr"/>
      <c r="L65" t="n">
        <v>29.95</v>
      </c>
    </row>
    <row r="66">
      <c r="A66" s="1">
        <f>Hyperlink("https://www.wallsandfloors.co.uk/marvel-tiles-timber-wolf-pale-grey-gloss-tiles","Product")</f>
        <v/>
      </c>
      <c r="B66" s="1" t="inlineStr">
        <is>
          <t>13697</t>
        </is>
      </c>
      <c r="C66" s="1" t="inlineStr">
        <is>
          <t>Marvel Gloss Timber Wolf Pale Grey Wall Tiles</t>
        </is>
      </c>
      <c r="D66" s="1" t="inlineStr">
        <is>
          <t>148x148x6mm</t>
        </is>
      </c>
      <c r="E66" s="1" t="n">
        <v>23.95</v>
      </c>
      <c r="F66" s="1" t="n">
        <v>-13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n">
        <v>23.95</v>
      </c>
      <c r="K66" t="n">
        <v>23.95</v>
      </c>
      <c r="L66" t="n">
        <v>23.95</v>
      </c>
    </row>
    <row r="67">
      <c r="A67" s="1">
        <f>Hyperlink("https://www.wallsandfloors.co.uk/aragon-terracotta-red-quarry-tiles-flat-20x20-tiles-13314","Product")</f>
        <v/>
      </c>
      <c r="B67" s="1" t="inlineStr">
        <is>
          <t>13314</t>
        </is>
      </c>
      <c r="C67" s="1" t="inlineStr">
        <is>
          <t>Aragon Flat Red Quarry Tiles</t>
        </is>
      </c>
      <c r="D67" s="1" t="inlineStr">
        <is>
          <t>200x200x12mm</t>
        </is>
      </c>
      <c r="E67" s="1" t="n">
        <v>50.95</v>
      </c>
      <c r="F67" s="1" t="n">
        <v>-13</v>
      </c>
      <c r="G67" s="1" t="inlineStr">
        <is>
          <t>SQM</t>
        </is>
      </c>
      <c r="H67" s="1" t="inlineStr">
        <is>
          <t>Clay</t>
        </is>
      </c>
      <c r="I67" s="1" t="inlineStr">
        <is>
          <t>Matt</t>
        </is>
      </c>
      <c r="J67" t="inlineStr"/>
      <c r="K67" t="n">
        <v>50.95</v>
      </c>
      <c r="L67" t="n">
        <v>50.95</v>
      </c>
    </row>
    <row r="68">
      <c r="A68" s="1">
        <f>Hyperlink("https://www.wallsandfloors.co.uk/troverta-ash-60x30-tiles","Product")</f>
        <v/>
      </c>
      <c r="B68" s="1" t="inlineStr">
        <is>
          <t>43327</t>
        </is>
      </c>
      <c r="C68" s="1" t="inlineStr">
        <is>
          <t>Troverta Ash Tiles</t>
        </is>
      </c>
      <c r="D68" s="1" t="inlineStr">
        <is>
          <t>600x300x8.5mm</t>
        </is>
      </c>
      <c r="E68" s="1" t="n">
        <v>20.95</v>
      </c>
      <c r="F68" s="1" t="n">
        <v>-13</v>
      </c>
      <c r="G68" s="1" t="inlineStr">
        <is>
          <t>SQM</t>
        </is>
      </c>
      <c r="H68" s="1" t="inlineStr">
        <is>
          <t>Ceramic</t>
        </is>
      </c>
      <c r="I68" s="1" t="inlineStr">
        <is>
          <t>Matt</t>
        </is>
      </c>
      <c r="J68" t="n">
        <v>20.95</v>
      </c>
      <c r="K68" t="inlineStr"/>
      <c r="L68" t="n">
        <v>20.95</v>
      </c>
    </row>
    <row r="69">
      <c r="A69" s="1">
        <f>Hyperlink("https://www.wallsandfloors.co.uk/boutique-brick-chiffon-hand-crafted-metro-tiles","Product")</f>
        <v/>
      </c>
      <c r="B69" s="1" t="inlineStr">
        <is>
          <t>34249</t>
        </is>
      </c>
      <c r="C69" s="1" t="inlineStr">
        <is>
          <t>Chiffon Hand Crafted Metro Tiles</t>
        </is>
      </c>
      <c r="D69" s="1" t="inlineStr">
        <is>
          <t>300x75x10mm</t>
        </is>
      </c>
      <c r="E69" s="1" t="n">
        <v>35.95</v>
      </c>
      <c r="F69" s="1" t="n">
        <v>-12</v>
      </c>
      <c r="G69" s="1" t="inlineStr">
        <is>
          <t>SQM</t>
        </is>
      </c>
      <c r="H69" s="1" t="inlineStr">
        <is>
          <t>Ceramic</t>
        </is>
      </c>
      <c r="I69" s="1" t="inlineStr">
        <is>
          <t>Gloss</t>
        </is>
      </c>
      <c r="J69" t="n">
        <v>35.95</v>
      </c>
      <c r="K69" t="n">
        <v>35.95</v>
      </c>
      <c r="L69" t="n">
        <v>35.95</v>
      </c>
    </row>
    <row r="70">
      <c r="A70" s="1">
        <f>Hyperlink("https://www.wallsandfloors.co.uk/rustic-metro-300x100-almond-gloss-tiles","Product")</f>
        <v/>
      </c>
      <c r="B70" s="1" t="inlineStr">
        <is>
          <t>15082</t>
        </is>
      </c>
      <c r="C70" s="1" t="inlineStr">
        <is>
          <t>Almond Rustic Metro Tiles</t>
        </is>
      </c>
      <c r="D70" s="1" t="inlineStr">
        <is>
          <t>300x100x7mm</t>
        </is>
      </c>
      <c r="E70" s="1" t="n">
        <v>20.95</v>
      </c>
      <c r="F70" s="1" t="n">
        <v>-12</v>
      </c>
      <c r="G70" s="1" t="inlineStr">
        <is>
          <t>SQM</t>
        </is>
      </c>
      <c r="H70" s="1" t="inlineStr">
        <is>
          <t>Ceramic</t>
        </is>
      </c>
      <c r="I70" s="1" t="inlineStr">
        <is>
          <t>Gloss</t>
        </is>
      </c>
      <c r="J70" t="n">
        <v>20.95</v>
      </c>
      <c r="K70" t="n">
        <v>20.95</v>
      </c>
      <c r="L70" t="n">
        <v>20.95</v>
      </c>
    </row>
    <row r="71">
      <c r="A71" s="1">
        <f>Hyperlink("https://www.wallsandfloors.co.uk/mini-metro-150x75-tiles-white-chapel-tiles","Product")</f>
        <v/>
      </c>
      <c r="B71" s="1" t="inlineStr">
        <is>
          <t>8377</t>
        </is>
      </c>
      <c r="C71" s="1" t="inlineStr">
        <is>
          <t>Whitechapel Gloss White Mini Metro Tiles</t>
        </is>
      </c>
      <c r="D71" s="1" t="inlineStr">
        <is>
          <t>150x75x7mm</t>
        </is>
      </c>
      <c r="E71" s="1" t="n">
        <v>23.95</v>
      </c>
      <c r="F71" s="1" t="n">
        <v>-12</v>
      </c>
      <c r="G71" s="1" t="inlineStr">
        <is>
          <t>SQM</t>
        </is>
      </c>
      <c r="H71" s="1" t="inlineStr">
        <is>
          <t>Ceramic</t>
        </is>
      </c>
      <c r="I71" s="1" t="inlineStr">
        <is>
          <t>Gloss</t>
        </is>
      </c>
      <c r="J71" t="n">
        <v>23.95</v>
      </c>
      <c r="K71" t="inlineStr"/>
      <c r="L71" t="n">
        <v>23.95</v>
      </c>
    </row>
    <row r="72">
      <c r="A72" s="1">
        <f>Hyperlink("https://www.wallsandfloors.co.uk/mini-metro-150x75-tiles-chalk-farm-tiles","Product")</f>
        <v/>
      </c>
      <c r="B72" s="1" t="inlineStr">
        <is>
          <t>8380</t>
        </is>
      </c>
      <c r="C72" s="1" t="inlineStr">
        <is>
          <t>Chalk Farm White Matt Mini Metro Tiles</t>
        </is>
      </c>
      <c r="D72" s="1" t="inlineStr">
        <is>
          <t>150x75x7mm</t>
        </is>
      </c>
      <c r="E72" s="1" t="n">
        <v>25.95</v>
      </c>
      <c r="F72" s="1" t="n">
        <v>-12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25.95</v>
      </c>
      <c r="K72" t="n">
        <v>25.95</v>
      </c>
      <c r="L72" t="n">
        <v>25.95</v>
      </c>
    </row>
    <row r="73">
      <c r="A73" s="1">
        <f>Hyperlink("https://www.wallsandfloors.co.uk/cava-victorian-unglazed-150x150-quarry-tiles-white-quarry-tiles","Product")</f>
        <v/>
      </c>
      <c r="B73" s="1" t="inlineStr">
        <is>
          <t>13075</t>
        </is>
      </c>
      <c r="C73" s="1" t="inlineStr">
        <is>
          <t>Cava Victorian White Quarry Tiles</t>
        </is>
      </c>
      <c r="D73" s="1" t="inlineStr">
        <is>
          <t>150x150x8mm</t>
        </is>
      </c>
      <c r="E73" s="1" t="n">
        <v>39.95</v>
      </c>
      <c r="F73" s="1" t="n">
        <v>-12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Matt</t>
        </is>
      </c>
      <c r="J73" t="n">
        <v>39.95</v>
      </c>
      <c r="K73" t="n">
        <v>39.95</v>
      </c>
      <c r="L73" t="n">
        <v>39.95</v>
      </c>
    </row>
    <row r="74">
      <c r="A74" s="1">
        <f>Hyperlink("https://www.wallsandfloors.co.uk/ledbury-black-tiles","Product")</f>
        <v/>
      </c>
      <c r="B74" s="1" t="inlineStr">
        <is>
          <t>41138</t>
        </is>
      </c>
      <c r="C74" s="1" t="inlineStr">
        <is>
          <t>Ledbury Charcoal Black Pattern Tiles</t>
        </is>
      </c>
      <c r="D74" s="1" t="inlineStr">
        <is>
          <t>450x450x10mm</t>
        </is>
      </c>
      <c r="E74" s="1" t="n">
        <v>18.95</v>
      </c>
      <c r="F74" s="1" t="n">
        <v>-12</v>
      </c>
      <c r="G74" s="1" t="inlineStr">
        <is>
          <t>SQM</t>
        </is>
      </c>
      <c r="H74" s="1" t="inlineStr">
        <is>
          <t>Ceramic</t>
        </is>
      </c>
      <c r="I74" s="1" t="inlineStr">
        <is>
          <t>Satin</t>
        </is>
      </c>
      <c r="J74" t="n">
        <v>18.95</v>
      </c>
      <c r="K74" t="n">
        <v>18.95</v>
      </c>
      <c r="L74" t="n">
        <v>18.95</v>
      </c>
    </row>
    <row r="75">
      <c r="A75" s="1">
        <f>Hyperlink("https://www.wallsandfloors.co.uk/innocence-whites-white-smooth-matt-400x250-tile","Product")</f>
        <v/>
      </c>
      <c r="B75" s="1" t="inlineStr">
        <is>
          <t>13335</t>
        </is>
      </c>
      <c r="C75" s="1" t="inlineStr">
        <is>
          <t>Innocence White Smooth Matt Tiles</t>
        </is>
      </c>
      <c r="D75" s="1" t="inlineStr">
        <is>
          <t>400x250x7mm</t>
        </is>
      </c>
      <c r="E75" s="1" t="n">
        <v>13.95</v>
      </c>
      <c r="F75" s="1" t="n">
        <v>-11</v>
      </c>
      <c r="G75" s="1" t="inlineStr">
        <is>
          <t>SQM</t>
        </is>
      </c>
      <c r="H75" s="1" t="inlineStr">
        <is>
          <t>Ceramic</t>
        </is>
      </c>
      <c r="I75" s="1" t="inlineStr">
        <is>
          <t>Matt</t>
        </is>
      </c>
      <c r="J75" t="n">
        <v>13.95</v>
      </c>
      <c r="K75" t="n">
        <v>13.95</v>
      </c>
      <c r="L75" t="n">
        <v>13.95</v>
      </c>
    </row>
    <row r="76">
      <c r="A76" s="1">
        <f>Hyperlink("https://www.wallsandfloors.co.uk/kingdom-tiles-province-60x60-tiles","Product")</f>
        <v/>
      </c>
      <c r="B76" s="1" t="inlineStr">
        <is>
          <t>14428</t>
        </is>
      </c>
      <c r="C76" s="1" t="inlineStr">
        <is>
          <t>Kingdom Province 60x60 Grey Concrete Effect Tiles</t>
        </is>
      </c>
      <c r="D76" s="1" t="inlineStr">
        <is>
          <t>600x600x8mm</t>
        </is>
      </c>
      <c r="E76" s="1" t="n">
        <v>19.8</v>
      </c>
      <c r="F76" s="1" t="n">
        <v>-11</v>
      </c>
      <c r="G76" s="1" t="inlineStr">
        <is>
          <t>SQM</t>
        </is>
      </c>
      <c r="H76" s="1" t="inlineStr">
        <is>
          <t>Porcelain</t>
        </is>
      </c>
      <c r="I76" s="1" t="inlineStr">
        <is>
          <t>Matt</t>
        </is>
      </c>
      <c r="J76" t="n">
        <v>19.8</v>
      </c>
      <c r="K76" t="n">
        <v>19.8</v>
      </c>
      <c r="L76" t="n">
        <v>19.8</v>
      </c>
    </row>
    <row r="77">
      <c r="A77" s="1">
        <f>Hyperlink("https://www.wallsandfloors.co.uk/memoir-black-and-white-statement-tiles","Product")</f>
        <v/>
      </c>
      <c r="B77" s="1" t="inlineStr">
        <is>
          <t>41139</t>
        </is>
      </c>
      <c r="C77" s="1" t="inlineStr">
        <is>
          <t>Chelsea Black and White Statement Tiles</t>
        </is>
      </c>
      <c r="D77" s="1" t="inlineStr">
        <is>
          <t>450x450x10mm</t>
        </is>
      </c>
      <c r="E77" s="1" t="n">
        <v>20.95</v>
      </c>
      <c r="F77" s="1" t="n">
        <v>-11</v>
      </c>
      <c r="G77" s="1" t="inlineStr">
        <is>
          <t>SQM</t>
        </is>
      </c>
      <c r="H77" s="1" t="inlineStr">
        <is>
          <t>Ceramic</t>
        </is>
      </c>
      <c r="I77" s="1" t="inlineStr">
        <is>
          <t>Matt</t>
        </is>
      </c>
      <c r="J77" t="n">
        <v>20.95</v>
      </c>
      <c r="K77" t="n">
        <v>20.95</v>
      </c>
      <c r="L77" t="n">
        <v>20.95</v>
      </c>
    </row>
    <row r="78">
      <c r="A78" s="1">
        <f>Hyperlink("https://www.wallsandfloors.co.uk/salon-porcelain-tiles-black-matt-600x300-tiles","Product")</f>
        <v/>
      </c>
      <c r="B78" s="1" t="inlineStr">
        <is>
          <t>12655</t>
        </is>
      </c>
      <c r="C78" s="1" t="inlineStr">
        <is>
          <t>Salon Porcelain Black Matt Tiles</t>
        </is>
      </c>
      <c r="D78" s="1" t="inlineStr">
        <is>
          <t>600x300x10mm</t>
        </is>
      </c>
      <c r="E78" s="1" t="n">
        <v>29.95</v>
      </c>
      <c r="F78" s="1" t="n">
        <v>-10</v>
      </c>
      <c r="G78" s="1" t="inlineStr">
        <is>
          <t>SQM</t>
        </is>
      </c>
      <c r="H78" s="1" t="inlineStr">
        <is>
          <t>Porcelain</t>
        </is>
      </c>
      <c r="I78" s="1" t="inlineStr">
        <is>
          <t>Matt</t>
        </is>
      </c>
      <c r="J78" t="n">
        <v>29.95</v>
      </c>
      <c r="K78" t="inlineStr"/>
      <c r="L78" t="n">
        <v>29.95</v>
      </c>
    </row>
    <row r="79">
      <c r="A79" s="1">
        <f>Hyperlink("https://www.wallsandfloors.co.uk/quarry-red-tiles-plain-smooth-quarry-tiles","Product")</f>
        <v/>
      </c>
      <c r="B79" s="1" t="inlineStr">
        <is>
          <t>11487</t>
        </is>
      </c>
      <c r="C79" s="1" t="inlineStr">
        <is>
          <t>Plain Smooth Red Quarry Tiles</t>
        </is>
      </c>
      <c r="D79" s="1" t="inlineStr">
        <is>
          <t>150x150x6mm</t>
        </is>
      </c>
      <c r="E79" s="1" t="n">
        <v>19.95</v>
      </c>
      <c r="F79" s="1" t="n">
        <v>-10</v>
      </c>
      <c r="G79" s="1" t="inlineStr">
        <is>
          <t>SQM</t>
        </is>
      </c>
      <c r="H79" s="1" t="inlineStr">
        <is>
          <t>Clay</t>
        </is>
      </c>
      <c r="I79" s="1" t="inlineStr">
        <is>
          <t>Matt</t>
        </is>
      </c>
      <c r="J79" t="n">
        <v>19.95</v>
      </c>
      <c r="K79" t="inlineStr"/>
      <c r="L79" t="n">
        <v>19.95</v>
      </c>
    </row>
    <row r="80">
      <c r="A80" s="1">
        <f>Hyperlink("https://www.wallsandfloors.co.uk/brick-tiles-white-gloss-smooth-brick-tiles","Product")</f>
        <v/>
      </c>
      <c r="B80" s="1" t="inlineStr">
        <is>
          <t>7579</t>
        </is>
      </c>
      <c r="C80" s="1" t="inlineStr">
        <is>
          <t>Flat Whitechapel White Gloss Tiles</t>
        </is>
      </c>
      <c r="D80" s="1" t="inlineStr">
        <is>
          <t>200x100x7mm</t>
        </is>
      </c>
      <c r="E80" s="1" t="n">
        <v>20.95</v>
      </c>
      <c r="F80" s="1" t="n">
        <v>-9</v>
      </c>
      <c r="G80" s="1" t="inlineStr">
        <is>
          <t>SQM</t>
        </is>
      </c>
      <c r="H80" s="1" t="inlineStr">
        <is>
          <t>Ceramic</t>
        </is>
      </c>
      <c r="I80" s="1" t="inlineStr">
        <is>
          <t>Gloss</t>
        </is>
      </c>
      <c r="J80" t="inlineStr"/>
      <c r="K80" t="n">
        <v>20.95</v>
      </c>
      <c r="L80" t="n">
        <v>20.95</v>
      </c>
    </row>
    <row r="81">
      <c r="A81" s="1">
        <f>Hyperlink("https://www.wallsandfloors.co.uk/vena-biana-flat-matt-20x10-tiles","Product")</f>
        <v/>
      </c>
      <c r="B81" s="1" t="inlineStr">
        <is>
          <t>37745</t>
        </is>
      </c>
      <c r="C81" s="1" t="inlineStr">
        <is>
          <t>Vena Biana Flat Matt Tiles</t>
        </is>
      </c>
      <c r="D81" s="1" t="inlineStr">
        <is>
          <t>200x100x7mm</t>
        </is>
      </c>
      <c r="E81" s="1" t="n">
        <v>19.65</v>
      </c>
      <c r="F81" s="1" t="n">
        <v>-9</v>
      </c>
      <c r="G81" s="1" t="inlineStr">
        <is>
          <t>SQM</t>
        </is>
      </c>
      <c r="H81" s="1" t="inlineStr">
        <is>
          <t>Ceramic</t>
        </is>
      </c>
      <c r="I81" s="1" t="inlineStr">
        <is>
          <t>Matt</t>
        </is>
      </c>
      <c r="J81" t="inlineStr"/>
      <c r="K81" t="n">
        <v>19.65</v>
      </c>
      <c r="L81" t="n">
        <v>19.65</v>
      </c>
    </row>
    <row r="82">
      <c r="A82" s="1">
        <f>Hyperlink("https://www.wallsandfloors.co.uk/octagon-charcoal-tiles","Product")</f>
        <v/>
      </c>
      <c r="B82" s="1" t="inlineStr">
        <is>
          <t>43046</t>
        </is>
      </c>
      <c r="C82" s="1" t="inlineStr">
        <is>
          <t>Octagon Charcoal Tiles</t>
        </is>
      </c>
      <c r="D82" s="1" t="inlineStr">
        <is>
          <t>450x450x10.5mm</t>
        </is>
      </c>
      <c r="E82" s="1" t="n">
        <v>26.95</v>
      </c>
      <c r="F82" s="1" t="n">
        <v>-9</v>
      </c>
      <c r="G82" s="1" t="inlineStr">
        <is>
          <t>SQM</t>
        </is>
      </c>
      <c r="H82" s="1" t="inlineStr">
        <is>
          <t>Ceramic</t>
        </is>
      </c>
      <c r="I82" s="1" t="inlineStr">
        <is>
          <t>Matt</t>
        </is>
      </c>
      <c r="J82" t="n">
        <v>26.95</v>
      </c>
      <c r="K82" t="inlineStr"/>
      <c r="L82" t="n">
        <v>26.95</v>
      </c>
    </row>
    <row r="83">
      <c r="A83" s="1">
        <f>Hyperlink("https://www.wallsandfloors.co.uk/nutmeg-grey-wood-effect-tile","Product")</f>
        <v/>
      </c>
      <c r="B83" s="1" t="inlineStr">
        <is>
          <t>40051</t>
        </is>
      </c>
      <c r="C83" s="1" t="inlineStr">
        <is>
          <t>Nutmeg Grey Wood Effect Tiles</t>
        </is>
      </c>
      <c r="D83" s="1" t="inlineStr">
        <is>
          <t>154x600x9mm</t>
        </is>
      </c>
      <c r="E83" s="1" t="n">
        <v>16.95</v>
      </c>
      <c r="F83" s="1" t="n">
        <v>-9</v>
      </c>
      <c r="G83" s="1" t="inlineStr">
        <is>
          <t>SQM</t>
        </is>
      </c>
      <c r="H83" s="1" t="inlineStr">
        <is>
          <t>Ceramic</t>
        </is>
      </c>
      <c r="I83" s="1" t="inlineStr">
        <is>
          <t>Matt</t>
        </is>
      </c>
      <c r="J83" t="inlineStr"/>
      <c r="K83" t="n">
        <v>16.95</v>
      </c>
      <c r="L83" t="n">
        <v>16.95</v>
      </c>
    </row>
    <row r="84">
      <c r="A84" s="1">
        <f>Hyperlink("https://www.wallsandfloors.co.uk/ador-nero-marble-tiles","Product")</f>
        <v/>
      </c>
      <c r="B84" s="1" t="inlineStr">
        <is>
          <t>36814</t>
        </is>
      </c>
      <c r="C84" s="1" t="inlineStr">
        <is>
          <t>Ador Black Nero Marble Tiles</t>
        </is>
      </c>
      <c r="D84" s="1" t="inlineStr">
        <is>
          <t>593x98x10mm</t>
        </is>
      </c>
      <c r="E84" s="1" t="n">
        <v>24.95</v>
      </c>
      <c r="F84" s="1" t="n">
        <v>-9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Satin</t>
        </is>
      </c>
      <c r="J84" t="n">
        <v>24.95</v>
      </c>
      <c r="K84" t="inlineStr"/>
      <c r="L84" t="n">
        <v>24.95</v>
      </c>
    </row>
    <row r="85">
      <c r="A85" s="1">
        <f>Hyperlink("https://www.wallsandfloors.co.uk/salon-porcelain-tiles-white-structured-600x300-tiles","Product")</f>
        <v/>
      </c>
      <c r="B85" s="1" t="inlineStr">
        <is>
          <t>12648</t>
        </is>
      </c>
      <c r="C85" s="1" t="inlineStr">
        <is>
          <t>Salon Porcelain White Anti Slip Tiles</t>
        </is>
      </c>
      <c r="D85" s="1" t="inlineStr">
        <is>
          <t>600x300x10mm</t>
        </is>
      </c>
      <c r="E85" s="1" t="n">
        <v>29.95</v>
      </c>
      <c r="F85" s="1" t="n">
        <v>-9</v>
      </c>
      <c r="G85" s="1" t="inlineStr">
        <is>
          <t>SQM</t>
        </is>
      </c>
      <c r="H85" s="1" t="inlineStr">
        <is>
          <t>Porcelain</t>
        </is>
      </c>
      <c r="I85" s="1" t="inlineStr">
        <is>
          <t>Matt</t>
        </is>
      </c>
      <c r="J85" t="n">
        <v>29.95</v>
      </c>
      <c r="K85" t="n">
        <v>29.95</v>
      </c>
      <c r="L85" t="n">
        <v>29.95</v>
      </c>
    </row>
    <row r="86">
      <c r="A86" s="1">
        <f>Hyperlink("https://www.wallsandfloors.co.uk/rustic-metro-300x100-eton-gloss-tiles","Product")</f>
        <v/>
      </c>
      <c r="B86" s="1" t="inlineStr">
        <is>
          <t>15084</t>
        </is>
      </c>
      <c r="C86" s="1" t="inlineStr">
        <is>
          <t>Eton Green Rustic Metro Tiles</t>
        </is>
      </c>
      <c r="D86" s="1" t="inlineStr">
        <is>
          <t>300x100x7mm</t>
        </is>
      </c>
      <c r="E86" s="1" t="n">
        <v>20.95</v>
      </c>
      <c r="F86" s="1" t="n">
        <v>-9</v>
      </c>
      <c r="G86" s="1" t="inlineStr">
        <is>
          <t>SQM</t>
        </is>
      </c>
      <c r="H86" s="1" t="inlineStr">
        <is>
          <t>Ceramic</t>
        </is>
      </c>
      <c r="I86" s="1" t="inlineStr">
        <is>
          <t>Gloss</t>
        </is>
      </c>
      <c r="J86" t="n">
        <v>20.95</v>
      </c>
      <c r="K86" t="n">
        <v>20.95</v>
      </c>
      <c r="L86" t="n">
        <v>20.95</v>
      </c>
    </row>
    <row r="87">
      <c r="A87" s="1">
        <f>Hyperlink("https://www.wallsandfloors.co.uk/titanic-wave-polished-alabaster-white-60x30-tiles","Product")</f>
        <v/>
      </c>
      <c r="B87" s="1" t="inlineStr">
        <is>
          <t>39141</t>
        </is>
      </c>
      <c r="C87" s="1" t="inlineStr">
        <is>
          <t>Titanic Wave Polished Alabaster White Tiles</t>
        </is>
      </c>
      <c r="D87" s="1" t="inlineStr">
        <is>
          <t>600x300x9mm</t>
        </is>
      </c>
      <c r="E87" s="1" t="n">
        <v>21.95</v>
      </c>
      <c r="F87" s="1" t="n">
        <v>-9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Polished</t>
        </is>
      </c>
      <c r="J87" t="n">
        <v>21.95</v>
      </c>
      <c r="K87" t="inlineStr"/>
      <c r="L87" t="n">
        <v>21.95</v>
      </c>
    </row>
    <row r="88">
      <c r="A88" s="1">
        <f>Hyperlink("https://www.wallsandfloors.co.uk/metro-200x100-tiles-st-pauls-red-tiles","Product")</f>
        <v/>
      </c>
      <c r="B88" s="1" t="inlineStr">
        <is>
          <t>8404</t>
        </is>
      </c>
      <c r="C88" s="1" t="inlineStr">
        <is>
          <t>Metro St Pauls Plum Gloss Tiles</t>
        </is>
      </c>
      <c r="D88" s="1" t="inlineStr">
        <is>
          <t>200x100x7mm</t>
        </is>
      </c>
      <c r="E88" s="1" t="n">
        <v>20.95</v>
      </c>
      <c r="F88" s="1" t="n">
        <v>-9</v>
      </c>
      <c r="G88" s="1" t="inlineStr">
        <is>
          <t>SQM</t>
        </is>
      </c>
      <c r="H88" s="1" t="inlineStr">
        <is>
          <t>Ceramic</t>
        </is>
      </c>
      <c r="I88" s="1" t="inlineStr">
        <is>
          <t>Gloss</t>
        </is>
      </c>
      <c r="J88" t="n">
        <v>20.95</v>
      </c>
      <c r="K88" t="n">
        <v>20.95</v>
      </c>
      <c r="L88" t="n">
        <v>20.95</v>
      </c>
    </row>
    <row r="89">
      <c r="A89" s="1">
        <f>Hyperlink("https://www.wallsandfloors.co.uk/picket-bevelled-carrara-tiles","Product")</f>
        <v/>
      </c>
      <c r="B89" s="1" t="inlineStr">
        <is>
          <t>44236</t>
        </is>
      </c>
      <c r="C89" s="1" t="inlineStr">
        <is>
          <t>Pickett™ Bevelled Carrara Tiles</t>
        </is>
      </c>
      <c r="D89" s="1" t="inlineStr">
        <is>
          <t>300x100x8.2mm</t>
        </is>
      </c>
      <c r="E89" s="1" t="n">
        <v>34.95</v>
      </c>
      <c r="F89" s="1" t="n">
        <v>-9</v>
      </c>
      <c r="G89" s="1" t="inlineStr">
        <is>
          <t>SQM</t>
        </is>
      </c>
      <c r="H89" s="1" t="inlineStr">
        <is>
          <t>Ceramic</t>
        </is>
      </c>
      <c r="I89" s="1" t="inlineStr">
        <is>
          <t>Gloss</t>
        </is>
      </c>
      <c r="J89" t="n">
        <v>34.95</v>
      </c>
      <c r="K89" t="inlineStr"/>
      <c r="L89" t="n">
        <v>34.95</v>
      </c>
    </row>
    <row r="90">
      <c r="A90" s="1">
        <f>Hyperlink("https://www.wallsandfloors.co.uk/troverta-muretto-ash-60x30-tiles","Product")</f>
        <v/>
      </c>
      <c r="B90" s="1" t="inlineStr">
        <is>
          <t>43325</t>
        </is>
      </c>
      <c r="C90" s="1" t="inlineStr">
        <is>
          <t>Troverta Muretto Ash Tiles</t>
        </is>
      </c>
      <c r="D90" s="1" t="inlineStr">
        <is>
          <t>600x300x8.5mm</t>
        </is>
      </c>
      <c r="E90" s="1" t="n">
        <v>20.95</v>
      </c>
      <c r="F90" s="1" t="n">
        <v>-8</v>
      </c>
      <c r="G90" s="1" t="inlineStr">
        <is>
          <t>SQM</t>
        </is>
      </c>
      <c r="H90" s="1" t="inlineStr">
        <is>
          <t>Ceramic</t>
        </is>
      </c>
      <c r="I90" s="1" t="inlineStr">
        <is>
          <t>Matt</t>
        </is>
      </c>
      <c r="J90" t="n">
        <v>20.95</v>
      </c>
      <c r="K90" t="inlineStr"/>
      <c r="L90" t="n">
        <v>20.95</v>
      </c>
    </row>
    <row r="91">
      <c r="A91" s="1">
        <f>Hyperlink("https://www.wallsandfloors.co.uk/spellbound-tiles-matt-white-200x200-tiles","Product")</f>
        <v/>
      </c>
      <c r="B91" s="1" t="inlineStr">
        <is>
          <t>14918</t>
        </is>
      </c>
      <c r="C91" s="1" t="inlineStr">
        <is>
          <t>Spellbound Matt White Tiles</t>
        </is>
      </c>
      <c r="D91" s="1" t="inlineStr">
        <is>
          <t>197x197x6mm</t>
        </is>
      </c>
      <c r="E91" s="1" t="n">
        <v>25.95</v>
      </c>
      <c r="F91" s="1" t="n">
        <v>-8</v>
      </c>
      <c r="G91" s="1" t="inlineStr">
        <is>
          <t>SQM</t>
        </is>
      </c>
      <c r="H91" s="1" t="inlineStr">
        <is>
          <t>Ceramic</t>
        </is>
      </c>
      <c r="I91" s="1" t="inlineStr">
        <is>
          <t>Matt</t>
        </is>
      </c>
      <c r="J91" t="n">
        <v>25.95</v>
      </c>
      <c r="K91" t="n">
        <v>25.95</v>
      </c>
      <c r="L91" t="n">
        <v>25.95</v>
      </c>
    </row>
    <row r="92">
      <c r="A92" s="1">
        <f>Hyperlink("https://www.wallsandfloors.co.uk/aurora-sage-tiles","Product")</f>
        <v/>
      </c>
      <c r="B92" s="1" t="inlineStr">
        <is>
          <t>44249</t>
        </is>
      </c>
      <c r="C92" s="1" t="inlineStr">
        <is>
          <t>Aurora Sage Tiles</t>
        </is>
      </c>
      <c r="D92" s="1" t="inlineStr">
        <is>
          <t>450x450x10.5mm</t>
        </is>
      </c>
      <c r="E92" s="1" t="n">
        <v>27.95</v>
      </c>
      <c r="F92" s="1" t="n">
        <v>-8</v>
      </c>
      <c r="G92" s="1" t="inlineStr">
        <is>
          <t>SQM</t>
        </is>
      </c>
      <c r="H92" s="1" t="inlineStr">
        <is>
          <t>Ceramic</t>
        </is>
      </c>
      <c r="I92" s="1" t="inlineStr">
        <is>
          <t>Matt</t>
        </is>
      </c>
      <c r="J92" t="n">
        <v>27.95</v>
      </c>
      <c r="K92" t="n">
        <v>27.95</v>
      </c>
      <c r="L92" t="n">
        <v>27.95</v>
      </c>
    </row>
    <row r="93">
      <c r="A93" s="1">
        <f>Hyperlink("https://www.wallsandfloors.co.uk/linear-tiles-light-grey-matt-linear-tiles","Product")</f>
        <v/>
      </c>
      <c r="B93" s="1" t="inlineStr">
        <is>
          <t>13919</t>
        </is>
      </c>
      <c r="C93" s="1" t="inlineStr">
        <is>
          <t>Linear Light Grey Matt Brick Tiles</t>
        </is>
      </c>
      <c r="D93" s="1" t="inlineStr">
        <is>
          <t>300x100x8mm</t>
        </is>
      </c>
      <c r="E93" s="1" t="n">
        <v>19.95</v>
      </c>
      <c r="F93" s="1" t="n">
        <v>-8</v>
      </c>
      <c r="G93" s="1" t="inlineStr">
        <is>
          <t>SQM</t>
        </is>
      </c>
      <c r="H93" s="1" t="inlineStr">
        <is>
          <t>Ceramic</t>
        </is>
      </c>
      <c r="I93" s="1" t="inlineStr">
        <is>
          <t>Matt</t>
        </is>
      </c>
      <c r="J93" t="n">
        <v>19.95</v>
      </c>
      <c r="K93" t="n">
        <v>19.95</v>
      </c>
      <c r="L93" t="n">
        <v>19.95</v>
      </c>
    </row>
    <row r="94">
      <c r="A94" s="1">
        <f>Hyperlink("https://www.wallsandfloors.co.uk/vernice-cloud-tiles","Product")</f>
        <v/>
      </c>
      <c r="B94" s="1" t="inlineStr">
        <is>
          <t>40380</t>
        </is>
      </c>
      <c r="C94" s="1" t="inlineStr">
        <is>
          <t>Vernice Cloud Tiles</t>
        </is>
      </c>
      <c r="D94" s="1" t="inlineStr">
        <is>
          <t>130x130x8mm</t>
        </is>
      </c>
      <c r="E94" s="1" t="n">
        <v>28.95</v>
      </c>
      <c r="F94" s="1" t="n">
        <v>-8</v>
      </c>
      <c r="G94" s="1" t="inlineStr">
        <is>
          <t>SQM</t>
        </is>
      </c>
      <c r="H94" s="1" t="inlineStr">
        <is>
          <t>Ceramic</t>
        </is>
      </c>
      <c r="I94" s="1" t="inlineStr">
        <is>
          <t>Gloss</t>
        </is>
      </c>
      <c r="J94" t="n">
        <v>28.95</v>
      </c>
      <c r="K94" t="inlineStr"/>
      <c r="L94" t="n">
        <v>28.95</v>
      </c>
    </row>
    <row r="95">
      <c r="A95" s="1">
        <f>Hyperlink("https://www.wallsandfloors.co.uk/natural-silver-slate-effect-tiles","Product")</f>
        <v/>
      </c>
      <c r="B95" s="1" t="inlineStr">
        <is>
          <t>41501</t>
        </is>
      </c>
      <c r="C95" s="1" t="inlineStr">
        <is>
          <t>Nantlle Valley Natural Silver Slate Effect Tiles</t>
        </is>
      </c>
      <c r="D95" s="1" t="inlineStr">
        <is>
          <t>600x300x10.3mm</t>
        </is>
      </c>
      <c r="E95" s="1" t="n">
        <v>25.95</v>
      </c>
      <c r="F95" s="1" t="n">
        <v>-7</v>
      </c>
      <c r="G95" s="1" t="inlineStr">
        <is>
          <t>SQM</t>
        </is>
      </c>
      <c r="H95" s="1" t="inlineStr">
        <is>
          <t>Porcelain</t>
        </is>
      </c>
      <c r="I95" s="1" t="inlineStr">
        <is>
          <t>Matt</t>
        </is>
      </c>
      <c r="J95" t="n">
        <v>25.95</v>
      </c>
      <c r="K95" t="n">
        <v>25.95</v>
      </c>
      <c r="L95" t="n">
        <v>25.95</v>
      </c>
    </row>
    <row r="96">
      <c r="A96" s="1">
        <f>Hyperlink("https://www.wallsandfloors.co.uk/rhian-lucia-marino-brillo-tile","Product")</f>
        <v/>
      </c>
      <c r="B96" s="1" t="inlineStr">
        <is>
          <t>11946</t>
        </is>
      </c>
      <c r="C96" s="1" t="inlineStr">
        <is>
          <t>Rhian Marino Blue Gloss Tiles</t>
        </is>
      </c>
      <c r="D96" s="1" t="inlineStr">
        <is>
          <t>300x100x7mm</t>
        </is>
      </c>
      <c r="E96" s="1" t="n">
        <v>25.95</v>
      </c>
      <c r="F96" s="1" t="n">
        <v>-7</v>
      </c>
      <c r="G96" s="1" t="inlineStr">
        <is>
          <t>SQM</t>
        </is>
      </c>
      <c r="H96" s="1" t="inlineStr">
        <is>
          <t>Ceramic</t>
        </is>
      </c>
      <c r="I96" s="1" t="inlineStr">
        <is>
          <t>Gloss</t>
        </is>
      </c>
      <c r="J96" t="n">
        <v>25.95</v>
      </c>
      <c r="K96" t="n">
        <v>25.95</v>
      </c>
      <c r="L96" t="n">
        <v>25.95</v>
      </c>
    </row>
    <row r="97">
      <c r="A97" s="1">
        <f>Hyperlink("https://www.wallsandfloors.co.uk/gondolin-sand-hexagon-tiles","Product")</f>
        <v/>
      </c>
      <c r="B97" s="1" t="inlineStr">
        <is>
          <t>41391</t>
        </is>
      </c>
      <c r="C97" s="1" t="inlineStr">
        <is>
          <t>Gondolin Sand Hexagon Tiles</t>
        </is>
      </c>
      <c r="D97" s="1" t="inlineStr">
        <is>
          <t>330x280.5x10mm</t>
        </is>
      </c>
      <c r="E97" s="1" t="n">
        <v>35.95</v>
      </c>
      <c r="F97" s="1" t="n">
        <v>-7</v>
      </c>
      <c r="G97" s="1" t="inlineStr">
        <is>
          <t>SQM</t>
        </is>
      </c>
      <c r="H97" s="1" t="inlineStr">
        <is>
          <t>Porcelain</t>
        </is>
      </c>
      <c r="I97" s="1" t="inlineStr">
        <is>
          <t>Matt</t>
        </is>
      </c>
      <c r="J97" t="n">
        <v>35.95</v>
      </c>
      <c r="K97" t="n">
        <v>35.95</v>
      </c>
      <c r="L97" t="n">
        <v>35.95</v>
      </c>
    </row>
    <row r="98">
      <c r="A98" s="1">
        <f>Hyperlink("https://www.wallsandfloors.co.uk/toolshed-tile-adhesive-standard-flex-white-tile-adhesive","Product")</f>
        <v/>
      </c>
      <c r="B98" s="1" t="inlineStr">
        <is>
          <t>11248</t>
        </is>
      </c>
      <c r="C98" s="1" t="inlineStr">
        <is>
          <t>Standard Flex White Tile Adhesive</t>
        </is>
      </c>
      <c r="D98" s="1" t="inlineStr">
        <is>
          <t>20 Kg</t>
        </is>
      </c>
      <c r="E98" s="1" t="n">
        <v>23.95</v>
      </c>
      <c r="F98" s="1" t="n">
        <v>-7</v>
      </c>
      <c r="G98" s="1" t="inlineStr">
        <is>
          <t>Unit</t>
        </is>
      </c>
      <c r="H98" s="1" t="inlineStr">
        <is>
          <t>Adhesive</t>
        </is>
      </c>
      <c r="I98" s="1" t="inlineStr">
        <is>
          <t>-</t>
        </is>
      </c>
      <c r="J98" t="n">
        <v>23.95</v>
      </c>
      <c r="K98" t="n">
        <v>23.95</v>
      </c>
      <c r="L98" t="n">
        <v>23.95</v>
      </c>
    </row>
    <row r="99">
      <c r="A99" s="1">
        <f>Hyperlink("https://www.wallsandfloors.co.uk/indigo-modello-vecchio-floreale-indigo-tiles","Product")</f>
        <v/>
      </c>
      <c r="B99" s="1" t="inlineStr">
        <is>
          <t>24744</t>
        </is>
      </c>
      <c r="C99" s="1" t="inlineStr">
        <is>
          <t>Vecchio Floreale Indigo Vintage Pattern Tiles</t>
        </is>
      </c>
      <c r="D99" s="1" t="inlineStr">
        <is>
          <t>330x330x9.5mm</t>
        </is>
      </c>
      <c r="E99" s="1" t="n">
        <v>27.95</v>
      </c>
      <c r="F99" s="1" t="n">
        <v>-7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27.95</v>
      </c>
      <c r="K99" t="n">
        <v>27.95</v>
      </c>
      <c r="L99" t="n">
        <v>27.95</v>
      </c>
    </row>
    <row r="100">
      <c r="A100" s="1">
        <f>Hyperlink("https://www.wallsandfloors.co.uk/devine-whites-tiles-gloss-white-wall-25x20-tiles","Product")</f>
        <v/>
      </c>
      <c r="B100" s="1" t="inlineStr">
        <is>
          <t>13352</t>
        </is>
      </c>
      <c r="C100" s="1" t="inlineStr">
        <is>
          <t>Devine Gloss White Wall Tiles</t>
        </is>
      </c>
      <c r="D100" s="1" t="inlineStr">
        <is>
          <t>250x200x6.8mm</t>
        </is>
      </c>
      <c r="E100" s="1" t="n">
        <v>13.95</v>
      </c>
      <c r="F100" s="1" t="n">
        <v>-6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Gloss</t>
        </is>
      </c>
      <c r="J100" t="n">
        <v>13.95</v>
      </c>
      <c r="K100" t="n">
        <v>13.95</v>
      </c>
      <c r="L100" t="n">
        <v>13.95</v>
      </c>
    </row>
    <row r="101">
      <c r="A101" s="1">
        <f>Hyperlink("https://www.wallsandfloors.co.uk/devine-whites-tiles-gloss-white-wall-15x15-tiles","Product")</f>
        <v/>
      </c>
      <c r="B101" s="1" t="inlineStr">
        <is>
          <t>13347</t>
        </is>
      </c>
      <c r="C101" s="1" t="inlineStr">
        <is>
          <t>Marvel Gloss White Wall Tiles</t>
        </is>
      </c>
      <c r="D101" s="1" t="inlineStr">
        <is>
          <t>148x148x6mm</t>
        </is>
      </c>
      <c r="E101" s="1" t="n">
        <v>19.95</v>
      </c>
      <c r="F101" s="1" t="n">
        <v>-6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Gloss</t>
        </is>
      </c>
      <c r="J101" t="n">
        <v>19.95</v>
      </c>
      <c r="K101" t="n">
        <v>19.95</v>
      </c>
      <c r="L101" t="n">
        <v>19.95</v>
      </c>
    </row>
    <row r="102">
      <c r="A102" s="1">
        <f>Hyperlink("https://www.wallsandfloors.co.uk/arctic-grey-tiles","Product")</f>
        <v/>
      </c>
      <c r="B102" s="1" t="inlineStr">
        <is>
          <t>37274</t>
        </is>
      </c>
      <c r="C102" s="1" t="inlineStr">
        <is>
          <t>Crystal Arctic Grey Split Face Tiles</t>
        </is>
      </c>
      <c r="D102" s="1" t="inlineStr">
        <is>
          <t>300x150x6-12mm</t>
        </is>
      </c>
      <c r="E102" s="1" t="n">
        <v>54.95</v>
      </c>
      <c r="F102" s="1" t="n">
        <v>-6</v>
      </c>
      <c r="G102" s="1" t="inlineStr">
        <is>
          <t>SQM</t>
        </is>
      </c>
      <c r="H102" s="1" t="inlineStr">
        <is>
          <t>Quartzite</t>
        </is>
      </c>
      <c r="I102" s="1" t="inlineStr">
        <is>
          <t>Matt</t>
        </is>
      </c>
      <c r="J102" t="n">
        <v>54.95</v>
      </c>
      <c r="K102" t="n">
        <v>54.95</v>
      </c>
      <c r="L102" t="n">
        <v>54.95</v>
      </c>
    </row>
    <row r="103">
      <c r="A103" s="1">
        <f>Hyperlink("https://www.wallsandfloors.co.uk/plush-antique-shine-tiles","Product")</f>
        <v/>
      </c>
      <c r="B103" s="1" t="inlineStr">
        <is>
          <t>37866</t>
        </is>
      </c>
      <c r="C103" s="1" t="inlineStr">
        <is>
          <t>Plush Antique Shine Tiles</t>
        </is>
      </c>
      <c r="D103" s="1" t="inlineStr">
        <is>
          <t>225x75x6mm</t>
        </is>
      </c>
      <c r="E103" s="1" t="n">
        <v>40.95</v>
      </c>
      <c r="F103" s="1" t="n">
        <v>-6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Gloss</t>
        </is>
      </c>
      <c r="J103" t="n">
        <v>40.95</v>
      </c>
      <c r="K103" t="n">
        <v>40.95</v>
      </c>
      <c r="L103" t="n">
        <v>40.95</v>
      </c>
    </row>
    <row r="104">
      <c r="A104" s="1">
        <f>Hyperlink("https://www.wallsandfloors.co.uk/spellbound-tiles-matt-white-100x100-tiles","Product")</f>
        <v/>
      </c>
      <c r="B104" s="1" t="inlineStr">
        <is>
          <t>14916</t>
        </is>
      </c>
      <c r="C104" s="1" t="inlineStr">
        <is>
          <t>Spellbound Matt White Tiles</t>
        </is>
      </c>
      <c r="D104" s="1" t="inlineStr">
        <is>
          <t>97x97x6mm</t>
        </is>
      </c>
      <c r="E104" s="1" t="n">
        <v>25.95</v>
      </c>
      <c r="F104" s="1" t="n">
        <v>-6</v>
      </c>
      <c r="G104" s="1" t="inlineStr">
        <is>
          <t>SQM</t>
        </is>
      </c>
      <c r="H104" s="1" t="inlineStr">
        <is>
          <t>Ceramic</t>
        </is>
      </c>
      <c r="I104" s="1" t="inlineStr">
        <is>
          <t>Matt</t>
        </is>
      </c>
      <c r="J104" t="inlineStr"/>
      <c r="K104" t="n">
        <v>25.95</v>
      </c>
      <c r="L104" t="n">
        <v>25.95</v>
      </c>
    </row>
    <row r="105">
      <c r="A105" s="1">
        <f>Hyperlink("https://www.wallsandfloors.co.uk/linear-tiles-cream-matt-linear-tiles","Product")</f>
        <v/>
      </c>
      <c r="B105" s="1" t="inlineStr">
        <is>
          <t>13923</t>
        </is>
      </c>
      <c r="C105" s="1" t="inlineStr">
        <is>
          <t>Linear Cream Matt Brick Tiles</t>
        </is>
      </c>
      <c r="D105" s="1" t="inlineStr">
        <is>
          <t>300x100x8mm</t>
        </is>
      </c>
      <c r="E105" s="1" t="n">
        <v>19.95</v>
      </c>
      <c r="F105" s="1" t="n">
        <v>-6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Matt</t>
        </is>
      </c>
      <c r="J105" t="n">
        <v>19.95</v>
      </c>
      <c r="K105" t="n">
        <v>19.95</v>
      </c>
      <c r="L105" t="n">
        <v>19.95</v>
      </c>
    </row>
    <row r="106">
      <c r="A106" s="1">
        <f>Hyperlink("https://www.wallsandfloors.co.uk/arcadia-charcoal-luxury-vinyl-tiles","Product")</f>
        <v/>
      </c>
      <c r="B106" s="1" t="inlineStr">
        <is>
          <t>41405</t>
        </is>
      </c>
      <c r="C106" s="1" t="inlineStr">
        <is>
          <t>Arcadia Charcoal Luxury Vinyl Tiles</t>
        </is>
      </c>
      <c r="D106" s="1" t="inlineStr">
        <is>
          <t>1235x178x4mm</t>
        </is>
      </c>
      <c r="E106" s="1" t="n">
        <v>22.95</v>
      </c>
      <c r="F106" s="1" t="n">
        <v>-6</v>
      </c>
      <c r="G106" s="1" t="inlineStr">
        <is>
          <t>SQM</t>
        </is>
      </c>
      <c r="H106" s="1" t="inlineStr">
        <is>
          <t>Vinyl</t>
        </is>
      </c>
      <c r="I106" s="1" t="inlineStr">
        <is>
          <t>Matt</t>
        </is>
      </c>
      <c r="J106" t="n">
        <v>22.95</v>
      </c>
      <c r="K106" t="inlineStr"/>
      <c r="L106" t="n">
        <v>22.95</v>
      </c>
    </row>
    <row r="107">
      <c r="A107" s="1">
        <f>Hyperlink("https://www.wallsandfloors.co.uk/largo-tusk-geo-tiles","Product")</f>
        <v/>
      </c>
      <c r="B107" s="1" t="inlineStr">
        <is>
          <t>36974</t>
        </is>
      </c>
      <c r="C107" s="1" t="inlineStr">
        <is>
          <t>Largo Tusk Cream Geo Pattern Tiles</t>
        </is>
      </c>
      <c r="D107" s="1" t="inlineStr">
        <is>
          <t>900x330x10mm</t>
        </is>
      </c>
      <c r="E107" s="1" t="n">
        <v>28.95</v>
      </c>
      <c r="F107" s="1" t="n">
        <v>-5</v>
      </c>
      <c r="G107" s="1" t="inlineStr">
        <is>
          <t>SQM</t>
        </is>
      </c>
      <c r="H107" s="1" t="inlineStr">
        <is>
          <t>Porcelain</t>
        </is>
      </c>
      <c r="I107" s="1" t="inlineStr">
        <is>
          <t>Matt</t>
        </is>
      </c>
      <c r="J107" t="n">
        <v>28.95</v>
      </c>
      <c r="K107" t="inlineStr"/>
      <c r="L107" t="n">
        <v>28.95</v>
      </c>
    </row>
    <row r="108">
      <c r="A108" s="1">
        <f>Hyperlink("https://www.wallsandfloors.co.uk/rustic-wood-tiles-barn-tiles","Product")</f>
        <v/>
      </c>
      <c r="B108" s="1" t="inlineStr">
        <is>
          <t>13077</t>
        </is>
      </c>
      <c r="C108" s="1" t="inlineStr">
        <is>
          <t>Rustic Barn Wood Effect Tiles</t>
        </is>
      </c>
      <c r="D108" s="1" t="inlineStr">
        <is>
          <t>615x205x8mm</t>
        </is>
      </c>
      <c r="E108" s="1" t="n">
        <v>16.95</v>
      </c>
      <c r="F108" s="1" t="n">
        <v>-5</v>
      </c>
      <c r="G108" s="1" t="inlineStr">
        <is>
          <t>SQM</t>
        </is>
      </c>
      <c r="H108" s="1" t="inlineStr">
        <is>
          <t>Ceramic</t>
        </is>
      </c>
      <c r="I108" s="1" t="inlineStr">
        <is>
          <t>Matt</t>
        </is>
      </c>
      <c r="J108" t="n">
        <v>16.95</v>
      </c>
      <c r="K108" t="n">
        <v>16.95</v>
      </c>
      <c r="L108" t="n">
        <v>16.95</v>
      </c>
    </row>
    <row r="109">
      <c r="A109" s="1">
        <f>Hyperlink("https://www.wallsandfloors.co.uk/retro-metro-tiles-bevelled-brick-black-gloss-wall-tiles","Product")</f>
        <v/>
      </c>
      <c r="B109" s="1" t="inlineStr">
        <is>
          <t>13303</t>
        </is>
      </c>
      <c r="C109" s="1" t="inlineStr">
        <is>
          <t>Metro Blackfriars Black Gloss Tiles</t>
        </is>
      </c>
      <c r="D109" s="1" t="inlineStr">
        <is>
          <t>200x100x7mm</t>
        </is>
      </c>
      <c r="E109" s="1" t="n">
        <v>18.95</v>
      </c>
      <c r="F109" s="1" t="n">
        <v>-5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Gloss</t>
        </is>
      </c>
      <c r="J109" t="inlineStr"/>
      <c r="K109" t="n">
        <v>18.95</v>
      </c>
      <c r="L109" t="n">
        <v>18.95</v>
      </c>
    </row>
    <row r="110">
      <c r="A110" s="1">
        <f>Hyperlink("https://www.wallsandfloors.co.uk/bijou-brick-mosaic-tiles-matt-white-brick-mosaic-tiles","Product")</f>
        <v/>
      </c>
      <c r="B110" s="1" t="inlineStr">
        <is>
          <t>14881</t>
        </is>
      </c>
      <c r="C110" s="1" t="inlineStr">
        <is>
          <t>Pixel White Brick Matt 23x48 Mosaic Tiles</t>
        </is>
      </c>
      <c r="D110" s="1" t="inlineStr">
        <is>
          <t>300x300x6mm</t>
        </is>
      </c>
      <c r="E110" s="1" t="n">
        <v>4.95</v>
      </c>
      <c r="F110" s="1" t="n">
        <v>-5</v>
      </c>
      <c r="G110" s="1" t="inlineStr">
        <is>
          <t>Sheet</t>
        </is>
      </c>
      <c r="H110" s="1" t="inlineStr">
        <is>
          <t>Porcelain</t>
        </is>
      </c>
      <c r="I110" s="1" t="inlineStr">
        <is>
          <t>Matt</t>
        </is>
      </c>
      <c r="J110" t="n">
        <v>4.95</v>
      </c>
      <c r="K110" t="inlineStr"/>
      <c r="L110" t="n">
        <v>4.95</v>
      </c>
    </row>
    <row r="111">
      <c r="A111" s="1">
        <f>Hyperlink("https://www.wallsandfloors.co.uk/kingsley-grey-tiles","Product")</f>
        <v/>
      </c>
      <c r="B111" s="1" t="inlineStr">
        <is>
          <t>41859</t>
        </is>
      </c>
      <c r="C111" s="1" t="inlineStr">
        <is>
          <t>Kingsley Grey Pattern Tiles</t>
        </is>
      </c>
      <c r="D111" s="1" t="inlineStr">
        <is>
          <t>450x450x8.5mm</t>
        </is>
      </c>
      <c r="E111" s="1" t="n">
        <v>29.95</v>
      </c>
      <c r="F111" s="1" t="n">
        <v>-5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Matt</t>
        </is>
      </c>
      <c r="J111" t="n">
        <v>29.95</v>
      </c>
      <c r="K111" t="n">
        <v>29.95</v>
      </c>
      <c r="L111" t="n">
        <v>29.95</v>
      </c>
    </row>
    <row r="112">
      <c r="A112" s="1">
        <f>Hyperlink("https://www.wallsandfloors.co.uk/hoxley-frost-tiles","Product")</f>
        <v/>
      </c>
      <c r="B112" s="1" t="inlineStr">
        <is>
          <t>39110</t>
        </is>
      </c>
      <c r="C112" s="1" t="inlineStr">
        <is>
          <t>Hoxley Frost Tiles</t>
        </is>
      </c>
      <c r="D112" s="1" t="inlineStr">
        <is>
          <t>200x200x8mm</t>
        </is>
      </c>
      <c r="E112" s="1" t="n">
        <v>35.95</v>
      </c>
      <c r="F112" s="1" t="n">
        <v>-5</v>
      </c>
      <c r="G112" s="1" t="inlineStr">
        <is>
          <t>SQM</t>
        </is>
      </c>
      <c r="H112" s="1" t="inlineStr">
        <is>
          <t>Ceramic</t>
        </is>
      </c>
      <c r="I112" s="1" t="inlineStr">
        <is>
          <t>Matt</t>
        </is>
      </c>
      <c r="J112" t="n">
        <v>35.95</v>
      </c>
      <c r="K112" t="n">
        <v>35.95</v>
      </c>
      <c r="L112" t="n">
        <v>35.95</v>
      </c>
    </row>
    <row r="113">
      <c r="A113" s="1">
        <f>Hyperlink("https://www.wallsandfloors.co.uk/helix-sage-tiles","Product")</f>
        <v/>
      </c>
      <c r="B113" s="1" t="inlineStr">
        <is>
          <t>43047</t>
        </is>
      </c>
      <c r="C113" s="1" t="inlineStr">
        <is>
          <t>Helix Sage Tiles</t>
        </is>
      </c>
      <c r="D113" s="1" t="inlineStr">
        <is>
          <t>450x450x10.5mm</t>
        </is>
      </c>
      <c r="E113" s="1" t="n">
        <v>27.95</v>
      </c>
      <c r="F113" s="1" t="n">
        <v>-5</v>
      </c>
      <c r="G113" s="1" t="inlineStr">
        <is>
          <t>SQM</t>
        </is>
      </c>
      <c r="H113" s="1" t="inlineStr">
        <is>
          <t>Ceramic</t>
        </is>
      </c>
      <c r="I113" s="1" t="inlineStr">
        <is>
          <t>Matt</t>
        </is>
      </c>
      <c r="J113" t="inlineStr"/>
      <c r="K113" t="n">
        <v>27.95</v>
      </c>
      <c r="L113" t="n">
        <v>27.95</v>
      </c>
    </row>
    <row r="114">
      <c r="A114" s="1">
        <f>Hyperlink("https://www.wallsandfloors.co.uk/grey-910x153-tiles","Product")</f>
        <v/>
      </c>
      <c r="B114" s="1" t="inlineStr">
        <is>
          <t>36532</t>
        </is>
      </c>
      <c r="C114" s="1" t="inlineStr">
        <is>
          <t>Muniellos Grey Wood Effect Tiles</t>
        </is>
      </c>
      <c r="D114" s="1" t="inlineStr">
        <is>
          <t>900x150x10.5mm</t>
        </is>
      </c>
      <c r="E114" s="1" t="n">
        <v>30.95</v>
      </c>
      <c r="F114" s="1" t="n">
        <v>-4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30.95</v>
      </c>
      <c r="K114" t="n">
        <v>30.95</v>
      </c>
      <c r="L114" t="n">
        <v>30.95</v>
      </c>
    </row>
    <row r="115">
      <c r="A115" s="1">
        <f>Hyperlink("https://www.wallsandfloors.co.uk/oakham-white-scored-tiles","Product")</f>
        <v/>
      </c>
      <c r="B115" s="1" t="inlineStr">
        <is>
          <t>32618</t>
        </is>
      </c>
      <c r="C115" s="1" t="inlineStr">
        <is>
          <t>Oakham White Pattern Tiles</t>
        </is>
      </c>
      <c r="D115" s="1" t="inlineStr">
        <is>
          <t>450x450x10mm</t>
        </is>
      </c>
      <c r="E115" s="1" t="n">
        <v>20.95</v>
      </c>
      <c r="F115" s="1" t="n">
        <v>-4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inlineStr"/>
      <c r="K115" t="n">
        <v>20.95</v>
      </c>
      <c r="L115" t="n">
        <v>20.95</v>
      </c>
    </row>
    <row r="116">
      <c r="A116" s="1">
        <f>Hyperlink("https://www.wallsandfloors.co.uk/tonality-tiles-oatmeal-600x300-wall-tiles","Product")</f>
        <v/>
      </c>
      <c r="B116" s="1" t="inlineStr">
        <is>
          <t>13363</t>
        </is>
      </c>
      <c r="C116" s="1" t="inlineStr">
        <is>
          <t>Oatmeal Wall Tiles</t>
        </is>
      </c>
      <c r="D116" s="1" t="inlineStr">
        <is>
          <t>600x300x11mm</t>
        </is>
      </c>
      <c r="E116" s="1" t="n">
        <v>33.95</v>
      </c>
      <c r="F116" s="1" t="n">
        <v>-4</v>
      </c>
      <c r="G116" s="1" t="inlineStr">
        <is>
          <t>SQM</t>
        </is>
      </c>
      <c r="H116" s="1" t="inlineStr">
        <is>
          <t>Ceramic</t>
        </is>
      </c>
      <c r="I116" s="1" t="inlineStr">
        <is>
          <t>Matt</t>
        </is>
      </c>
      <c r="J116" t="n">
        <v>33.95</v>
      </c>
      <c r="K116" t="inlineStr"/>
      <c r="L116" t="n">
        <v>33.95</v>
      </c>
    </row>
    <row r="117">
      <c r="A117" s="1">
        <f>Hyperlink("https://www.wallsandfloors.co.uk/rubi-tools-2mm-spacers","Product")</f>
        <v/>
      </c>
      <c r="B117" s="1" t="inlineStr">
        <is>
          <t>9113</t>
        </is>
      </c>
      <c r="C117" s="1" t="inlineStr">
        <is>
          <t>2mm Spacers</t>
        </is>
      </c>
      <c r="D117" s="1" t="inlineStr">
        <is>
          <t>2mm - 1000pk</t>
        </is>
      </c>
      <c r="E117" s="1" t="n">
        <v>6.95</v>
      </c>
      <c r="F117" s="1" t="n">
        <v>-4</v>
      </c>
      <c r="G117" s="1" t="inlineStr">
        <is>
          <t>Unit</t>
        </is>
      </c>
      <c r="H117" s="1" t="inlineStr">
        <is>
          <t>Spacers</t>
        </is>
      </c>
      <c r="I117" s="1" t="inlineStr">
        <is>
          <t>-</t>
        </is>
      </c>
      <c r="J117" t="n">
        <v>6.95</v>
      </c>
      <c r="K117" t="n">
        <v>6.95</v>
      </c>
      <c r="L117" t="n">
        <v>6.95</v>
      </c>
    </row>
    <row r="118">
      <c r="A118" s="1">
        <f>Hyperlink("https://www.wallsandfloors.co.uk/ledbury-marina-blue-tiles","Product")</f>
        <v/>
      </c>
      <c r="B118" s="1" t="inlineStr">
        <is>
          <t>37443</t>
        </is>
      </c>
      <c r="C118" s="1" t="inlineStr">
        <is>
          <t>Ledbury Marina Blue Pattern Tiles</t>
        </is>
      </c>
      <c r="D118" s="1" t="inlineStr">
        <is>
          <t>450x450x10mm</t>
        </is>
      </c>
      <c r="E118" s="1" t="n">
        <v>18.95</v>
      </c>
      <c r="F118" s="1" t="n">
        <v>-4</v>
      </c>
      <c r="G118" s="1" t="inlineStr">
        <is>
          <t>SQM</t>
        </is>
      </c>
      <c r="H118" s="1" t="inlineStr">
        <is>
          <t>Ceramic</t>
        </is>
      </c>
      <c r="I118" s="1" t="inlineStr">
        <is>
          <t>Satin</t>
        </is>
      </c>
      <c r="J118" t="n">
        <v>18.95</v>
      </c>
      <c r="K118" t="n">
        <v>18.95</v>
      </c>
      <c r="L118" t="n">
        <v>18.95</v>
      </c>
    </row>
    <row r="119">
      <c r="A119" s="1">
        <f>Hyperlink("https://www.wallsandfloors.co.uk/ivory-500x250-wall-tiles","Product")</f>
        <v/>
      </c>
      <c r="B119" s="1" t="inlineStr">
        <is>
          <t>13747</t>
        </is>
      </c>
      <c r="C119" s="1" t="inlineStr">
        <is>
          <t>Athena Ivory Wall Tiles</t>
        </is>
      </c>
      <c r="D119" s="1" t="inlineStr">
        <is>
          <t>500x250x8mm</t>
        </is>
      </c>
      <c r="E119" s="1" t="n">
        <v>15.95</v>
      </c>
      <c r="F119" s="1" t="n">
        <v>-4</v>
      </c>
      <c r="G119" s="1" t="inlineStr">
        <is>
          <t>SQM</t>
        </is>
      </c>
      <c r="H119" s="1" t="inlineStr">
        <is>
          <t>Ceramic</t>
        </is>
      </c>
      <c r="I119" s="1" t="inlineStr">
        <is>
          <t>Gloss</t>
        </is>
      </c>
      <c r="J119" t="n">
        <v>15.95</v>
      </c>
      <c r="K119" t="inlineStr"/>
      <c r="L119" t="n">
        <v>15.95</v>
      </c>
    </row>
    <row r="120">
      <c r="A120" s="1">
        <f>Hyperlink("https://www.wallsandfloors.co.uk/picket-bevelled-light-grey-tiles","Product")</f>
        <v/>
      </c>
      <c r="B120" s="1" t="inlineStr">
        <is>
          <t>44237</t>
        </is>
      </c>
      <c r="C120" s="1" t="inlineStr">
        <is>
          <t>Pickett™ Bevelled Light Grey Tiles</t>
        </is>
      </c>
      <c r="D120" s="1" t="inlineStr">
        <is>
          <t>300x100x8.2mm</t>
        </is>
      </c>
      <c r="E120" s="1" t="n">
        <v>34.95</v>
      </c>
      <c r="F120" s="1" t="n">
        <v>-4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34.95</v>
      </c>
      <c r="K120" t="n">
        <v>34.95</v>
      </c>
      <c r="L120" t="n">
        <v>34.95</v>
      </c>
    </row>
    <row r="121">
      <c r="A121" s="1">
        <f>Hyperlink("https://www.wallsandfloors.co.uk/mapei-ultracolour-plus-grout-ultracolour-plus-120-black-tile-grout","Product")</f>
        <v/>
      </c>
      <c r="B121" s="1" t="inlineStr">
        <is>
          <t>11357</t>
        </is>
      </c>
      <c r="C121" s="1" t="inlineStr">
        <is>
          <t>Ultracolour Plus 120 Black Tile Grout</t>
        </is>
      </c>
      <c r="D121" s="1" t="inlineStr">
        <is>
          <t>5 Kg</t>
        </is>
      </c>
      <c r="E121" s="1" t="n">
        <v>13.95</v>
      </c>
      <c r="F121" s="1" t="n">
        <v>-4</v>
      </c>
      <c r="G121" s="1" t="inlineStr">
        <is>
          <t>Unit</t>
        </is>
      </c>
      <c r="H121" s="1" t="inlineStr">
        <is>
          <t>Floor Grout</t>
        </is>
      </c>
      <c r="I121" s="1" t="inlineStr">
        <is>
          <t>-</t>
        </is>
      </c>
      <c r="J121" t="n">
        <v>13.95</v>
      </c>
      <c r="K121" t="n">
        <v>13.95</v>
      </c>
      <c r="L121" t="n">
        <v>13.95</v>
      </c>
    </row>
    <row r="122">
      <c r="A122" s="1">
        <f>Hyperlink("https://www.wallsandfloors.co.uk/white-sparkle-quartz-tiles","Product")</f>
        <v/>
      </c>
      <c r="B122" s="1" t="inlineStr">
        <is>
          <t>13519</t>
        </is>
      </c>
      <c r="C122" s="1" t="inlineStr">
        <is>
          <t>White Sparkle Quartz Tiles</t>
        </is>
      </c>
      <c r="D122" s="1" t="inlineStr">
        <is>
          <t>600x600x12mm</t>
        </is>
      </c>
      <c r="E122" s="1" t="n">
        <v>54.95</v>
      </c>
      <c r="F122" s="1" t="n">
        <v>-4</v>
      </c>
      <c r="G122" s="1" t="inlineStr">
        <is>
          <t>SQM</t>
        </is>
      </c>
      <c r="H122" s="1" t="inlineStr">
        <is>
          <t>Quartz</t>
        </is>
      </c>
      <c r="I122" s="1" t="inlineStr">
        <is>
          <t>Polished</t>
        </is>
      </c>
      <c r="J122" t="n">
        <v>54.95</v>
      </c>
      <c r="K122" t="n">
        <v>54.95</v>
      </c>
      <c r="L122" t="n">
        <v>54.95</v>
      </c>
    </row>
    <row r="123">
      <c r="A123" s="1">
        <f>Hyperlink("https://www.wallsandfloors.co.uk/antique-smooth-crackle-metro-tiles-hotel-de-ville-green-75x150-metro-tiles","Product")</f>
        <v/>
      </c>
      <c r="B123" s="1" t="inlineStr">
        <is>
          <t>13586</t>
        </is>
      </c>
      <c r="C123" s="1" t="inlineStr">
        <is>
          <t>Hotel De Ville Green Flat Crackle Metro Tiles</t>
        </is>
      </c>
      <c r="D123" s="1" t="inlineStr">
        <is>
          <t>150x75x7mm</t>
        </is>
      </c>
      <c r="E123" s="1" t="n">
        <v>40.95</v>
      </c>
      <c r="F123" s="1" t="n">
        <v>-4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n">
        <v>40.95</v>
      </c>
      <c r="K123" t="n">
        <v>40.95</v>
      </c>
      <c r="L123" t="n">
        <v>40.95</v>
      </c>
    </row>
    <row r="124">
      <c r="A124" s="1">
        <f>Hyperlink("https://www.wallsandfloors.co.uk/mapei-ultracolor-plus-119-london-grey-tile-grout","Product")</f>
        <v/>
      </c>
      <c r="B124" s="1" t="inlineStr">
        <is>
          <t>39134</t>
        </is>
      </c>
      <c r="C124" s="1" t="inlineStr">
        <is>
          <t>Mapei Ultracolour Plus 119 London Grey Tile Grout 5 Kg Per Unit</t>
        </is>
      </c>
      <c r="D124" s="1" t="inlineStr">
        <is>
          <t>5 Kg</t>
        </is>
      </c>
      <c r="E124" s="1" t="n">
        <v>13.95</v>
      </c>
      <c r="F124" s="1" t="n">
        <v>-4</v>
      </c>
      <c r="G124" s="1" t="inlineStr">
        <is>
          <t>Unit</t>
        </is>
      </c>
      <c r="H124" s="1" t="inlineStr">
        <is>
          <t>Floor Grout</t>
        </is>
      </c>
      <c r="I124" s="1" t="inlineStr">
        <is>
          <t>-</t>
        </is>
      </c>
      <c r="J124" t="n">
        <v>13.95</v>
      </c>
      <c r="K124" t="inlineStr"/>
      <c r="L124" t="n">
        <v>13.95</v>
      </c>
    </row>
    <row r="125">
      <c r="A125" s="1">
        <f>Hyperlink("https://www.wallsandfloors.co.uk/talasni-tiles-white-gloss-wave-tiles","Product")</f>
        <v/>
      </c>
      <c r="B125" s="1" t="inlineStr">
        <is>
          <t>13931</t>
        </is>
      </c>
      <c r="C125" s="1" t="inlineStr">
        <is>
          <t>White Gloss Wave Tiles</t>
        </is>
      </c>
      <c r="D125" s="1" t="inlineStr">
        <is>
          <t>750x250x8mm</t>
        </is>
      </c>
      <c r="E125" s="1" t="n">
        <v>20.95</v>
      </c>
      <c r="F125" s="1" t="n">
        <v>-4</v>
      </c>
      <c r="G125" s="1" t="inlineStr">
        <is>
          <t>SQM</t>
        </is>
      </c>
      <c r="H125" s="1" t="inlineStr">
        <is>
          <t>Ceramic</t>
        </is>
      </c>
      <c r="I125" s="1" t="inlineStr">
        <is>
          <t>Gloss</t>
        </is>
      </c>
      <c r="J125" t="n">
        <v>20.95</v>
      </c>
      <c r="K125" t="inlineStr"/>
      <c r="L125" t="n">
        <v>20.95</v>
      </c>
    </row>
    <row r="126">
      <c r="A126" s="1">
        <f>Hyperlink("https://www.wallsandfloors.co.uk/keystone-tiles-mocha-tiles","Product")</f>
        <v/>
      </c>
      <c r="B126" s="1" t="inlineStr">
        <is>
          <t>12087</t>
        </is>
      </c>
      <c r="C126" s="1" t="inlineStr">
        <is>
          <t>Lockstone Mocha Tiles</t>
        </is>
      </c>
      <c r="D126" s="1" t="inlineStr">
        <is>
          <t>600x400x9mm</t>
        </is>
      </c>
      <c r="E126" s="1" t="n">
        <v>18.95</v>
      </c>
      <c r="F126" s="1" t="n">
        <v>-3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n">
        <v>18.95</v>
      </c>
      <c r="K126" t="n">
        <v>18.95</v>
      </c>
      <c r="L126" t="n">
        <v>18.95</v>
      </c>
    </row>
    <row r="127">
      <c r="A127" s="1">
        <f>Hyperlink("https://www.wallsandfloors.co.uk/country-farmhouse-black-slate-tiles-black-slate-random-tiles","Product")</f>
        <v/>
      </c>
      <c r="B127" s="1" t="inlineStr">
        <is>
          <t>12104</t>
        </is>
      </c>
      <c r="C127" s="1" t="inlineStr">
        <is>
          <t>Black Slate Random Tiles</t>
        </is>
      </c>
      <c r="D127" s="1" t="inlineStr">
        <is>
          <t>Mixed  (1 pack = 0.725 sqm)</t>
        </is>
      </c>
      <c r="E127" s="1" t="n">
        <v>15.95</v>
      </c>
      <c r="F127" s="1" t="n">
        <v>-3</v>
      </c>
      <c r="G127" s="1" t="inlineStr">
        <is>
          <t>SQM</t>
        </is>
      </c>
      <c r="H127" s="1" t="inlineStr">
        <is>
          <t>Slate</t>
        </is>
      </c>
      <c r="I127" s="1" t="inlineStr">
        <is>
          <t>Matt</t>
        </is>
      </c>
      <c r="J127" t="n">
        <v>15.95</v>
      </c>
      <c r="K127" t="n">
        <v>15.95</v>
      </c>
      <c r="L127" t="n">
        <v>15.95</v>
      </c>
    </row>
    <row r="128">
      <c r="A128" s="1">
        <f>Hyperlink("https://www.wallsandfloors.co.uk/salon-porcelain-tiles-white-matt-600x600-tiles","Product")</f>
        <v/>
      </c>
      <c r="B128" s="1" t="inlineStr">
        <is>
          <t>12632</t>
        </is>
      </c>
      <c r="C128" s="1" t="inlineStr">
        <is>
          <t>Salon Porcelain White Matt Tiles</t>
        </is>
      </c>
      <c r="D128" s="1" t="inlineStr">
        <is>
          <t>600x600x10mm</t>
        </is>
      </c>
      <c r="E128" s="1" t="n">
        <v>29.95</v>
      </c>
      <c r="F128" s="1" t="n">
        <v>-3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inlineStr"/>
      <c r="K128" t="n">
        <v>29.95</v>
      </c>
      <c r="L128" t="n">
        <v>29.95</v>
      </c>
    </row>
    <row r="129">
      <c r="A129" s="1">
        <f>Hyperlink("https://www.wallsandfloors.co.uk/mini-metro-150x75-tiles-bond-street-blue-tiles","Product")</f>
        <v/>
      </c>
      <c r="B129" s="1" t="inlineStr">
        <is>
          <t>11140</t>
        </is>
      </c>
      <c r="C129" s="1" t="inlineStr">
        <is>
          <t>Bond Street Gloss Blue Mini Metro Tiles</t>
        </is>
      </c>
      <c r="D129" s="1" t="inlineStr">
        <is>
          <t>150x75x7mm</t>
        </is>
      </c>
      <c r="E129" s="1" t="n">
        <v>25.95</v>
      </c>
      <c r="F129" s="1" t="n">
        <v>-3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Gloss</t>
        </is>
      </c>
      <c r="J129" t="n">
        <v>25.95</v>
      </c>
      <c r="K129" t="n">
        <v>25.95</v>
      </c>
      <c r="L129" t="n">
        <v>25.95</v>
      </c>
    </row>
    <row r="130">
      <c r="A130" s="1">
        <f>Hyperlink("https://www.wallsandfloors.co.uk/trellis-agadir-tiles","Product")</f>
        <v/>
      </c>
      <c r="B130" s="1" t="inlineStr">
        <is>
          <t>44221</t>
        </is>
      </c>
      <c r="C130" s="1" t="inlineStr">
        <is>
          <t>Trellis Agadir Tiles</t>
        </is>
      </c>
      <c r="D130" s="1" t="inlineStr">
        <is>
          <t>450x450x9mm</t>
        </is>
      </c>
      <c r="E130" s="1" t="n">
        <v>20.95</v>
      </c>
      <c r="F130" s="1" t="n">
        <v>-3</v>
      </c>
      <c r="G130" s="1" t="inlineStr">
        <is>
          <t>SQM</t>
        </is>
      </c>
      <c r="H130" s="1" t="inlineStr">
        <is>
          <t>Ceramic</t>
        </is>
      </c>
      <c r="I130" s="1" t="inlineStr">
        <is>
          <t>Matt</t>
        </is>
      </c>
      <c r="J130" t="n">
        <v>20.95</v>
      </c>
      <c r="K130" t="n">
        <v>20.95</v>
      </c>
      <c r="L130" t="n">
        <v>20.95</v>
      </c>
    </row>
    <row r="131">
      <c r="A131" s="1">
        <f>Hyperlink("https://www.wallsandfloors.co.uk/cream-tiles-cream-gloss-tiles","Product")</f>
        <v/>
      </c>
      <c r="B131" s="1" t="inlineStr">
        <is>
          <t>15092</t>
        </is>
      </c>
      <c r="C131" s="1" t="inlineStr">
        <is>
          <t>Cream Rustic Metro Tiles</t>
        </is>
      </c>
      <c r="D131" s="1" t="inlineStr">
        <is>
          <t>300x100x7mm</t>
        </is>
      </c>
      <c r="E131" s="1" t="n">
        <v>20.95</v>
      </c>
      <c r="F131" s="1" t="n">
        <v>-3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n">
        <v>20.95</v>
      </c>
      <c r="K131" t="inlineStr"/>
      <c r="L131" t="n">
        <v>20.95</v>
      </c>
    </row>
    <row r="132">
      <c r="A132" s="1">
        <f>Hyperlink("https://www.wallsandfloors.co.uk/stesso-dove-texture-mix-mosaic-tiles","Product")</f>
        <v/>
      </c>
      <c r="B132" s="1" t="inlineStr">
        <is>
          <t>37257</t>
        </is>
      </c>
      <c r="C132" s="1" t="inlineStr">
        <is>
          <t>Stesso Dove Texture Mix Mosaic Tiles</t>
        </is>
      </c>
      <c r="D132" s="1" t="inlineStr">
        <is>
          <t>262x298x6mm</t>
        </is>
      </c>
      <c r="E132" s="1" t="n">
        <v>6.45</v>
      </c>
      <c r="F132" s="1" t="n">
        <v>-3</v>
      </c>
      <c r="G132" s="1" t="inlineStr">
        <is>
          <t>Sheet</t>
        </is>
      </c>
      <c r="H132" s="1" t="inlineStr">
        <is>
          <t>Glass</t>
        </is>
      </c>
      <c r="I132" s="1" t="inlineStr">
        <is>
          <t>Matt</t>
        </is>
      </c>
      <c r="J132" t="n">
        <v>6.45</v>
      </c>
      <c r="K132" t="n">
        <v>6.45</v>
      </c>
      <c r="L132" t="n">
        <v>6.45</v>
      </c>
    </row>
    <row r="133">
      <c r="A133" s="1">
        <f>Hyperlink("https://www.wallsandfloors.co.uk/decorum-tiles-black-marble-effect-gloss-tiles","Product")</f>
        <v/>
      </c>
      <c r="B133" s="1" t="inlineStr">
        <is>
          <t>13751</t>
        </is>
      </c>
      <c r="C133" s="1" t="inlineStr">
        <is>
          <t>Black Marble Effect Gloss Tiles</t>
        </is>
      </c>
      <c r="D133" s="1" t="inlineStr">
        <is>
          <t>500x250x8mm</t>
        </is>
      </c>
      <c r="E133" s="1" t="n">
        <v>15.95</v>
      </c>
      <c r="F133" s="1" t="n">
        <v>-3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inlineStr"/>
      <c r="K133" t="n">
        <v>15.95</v>
      </c>
      <c r="L133" t="n">
        <v>15.95</v>
      </c>
    </row>
    <row r="134">
      <c r="A134" s="1">
        <f>Hyperlink("https://www.wallsandfloors.co.uk/innocence-whites-white-bumpy-gloss-400x250-tile","Product")</f>
        <v/>
      </c>
      <c r="B134" s="1" t="inlineStr">
        <is>
          <t>13337</t>
        </is>
      </c>
      <c r="C134" s="1" t="inlineStr">
        <is>
          <t>Innocence White Bumpy Gloss Tiles</t>
        </is>
      </c>
      <c r="D134" s="1" t="inlineStr">
        <is>
          <t>400x250x7mm</t>
        </is>
      </c>
      <c r="E134" s="1" t="n">
        <v>13.95</v>
      </c>
      <c r="F134" s="1" t="n">
        <v>-3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Gloss</t>
        </is>
      </c>
      <c r="J134" t="inlineStr"/>
      <c r="K134" t="n">
        <v>13.95</v>
      </c>
      <c r="L134" t="n">
        <v>13.95</v>
      </c>
    </row>
    <row r="135">
      <c r="A135" s="1">
        <f>Hyperlink("https://www.wallsandfloors.co.uk/natural-oak-1215x195-tiles","Product")</f>
        <v/>
      </c>
      <c r="B135" s="1" t="inlineStr">
        <is>
          <t>36545</t>
        </is>
      </c>
      <c r="C135" s="1" t="inlineStr">
        <is>
          <t>Muniellos Natural Oak Wood Effect Tiles</t>
        </is>
      </c>
      <c r="D135" s="1" t="inlineStr">
        <is>
          <t>1215x195x10.5mm</t>
        </is>
      </c>
      <c r="E135" s="1" t="n">
        <v>35.95</v>
      </c>
      <c r="F135" s="1" t="n">
        <v>-3</v>
      </c>
      <c r="G135" s="1" t="inlineStr">
        <is>
          <t>SQM</t>
        </is>
      </c>
      <c r="H135" s="1" t="inlineStr">
        <is>
          <t>Porcelain</t>
        </is>
      </c>
      <c r="I135" s="1" t="inlineStr">
        <is>
          <t>Matt</t>
        </is>
      </c>
      <c r="J135" t="n">
        <v>35.95</v>
      </c>
      <c r="K135" t="n">
        <v>35.95</v>
      </c>
      <c r="L135" t="n">
        <v>35.95</v>
      </c>
    </row>
    <row r="136">
      <c r="A136" s="1">
        <f>Hyperlink("https://www.wallsandfloors.co.uk/brixton-brule-50x25-tiles","Product")</f>
        <v/>
      </c>
      <c r="B136" s="1" t="inlineStr">
        <is>
          <t>39055</t>
        </is>
      </c>
      <c r="C136" s="1" t="inlineStr">
        <is>
          <t>Brixton Brule 50x25 Tiles</t>
        </is>
      </c>
      <c r="D136" s="1" t="inlineStr">
        <is>
          <t>500x250x7.4mm</t>
        </is>
      </c>
      <c r="E136" s="1" t="n">
        <v>11.95</v>
      </c>
      <c r="F136" s="1" t="n">
        <v>-3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Matt</t>
        </is>
      </c>
      <c r="J136" t="n">
        <v>11.95</v>
      </c>
      <c r="K136" t="n">
        <v>11.95</v>
      </c>
      <c r="L136" t="n">
        <v>11.95</v>
      </c>
    </row>
    <row r="137">
      <c r="A137" s="1">
        <f>Hyperlink("https://www.wallsandfloors.co.uk/craquelure-rose-tiles","Product")</f>
        <v/>
      </c>
      <c r="B137" s="1" t="inlineStr">
        <is>
          <t>41708</t>
        </is>
      </c>
      <c r="C137" s="1" t="inlineStr">
        <is>
          <t>Craquelure Rose Tiles</t>
        </is>
      </c>
      <c r="D137" s="1" t="inlineStr">
        <is>
          <t>200x100x6.8mm</t>
        </is>
      </c>
      <c r="E137" s="1" t="n">
        <v>35.95</v>
      </c>
      <c r="F137" s="1" t="n">
        <v>-3</v>
      </c>
      <c r="G137" s="1" t="inlineStr">
        <is>
          <t>SQM</t>
        </is>
      </c>
      <c r="H137" s="1" t="inlineStr">
        <is>
          <t>Ceramic</t>
        </is>
      </c>
      <c r="I137" s="1" t="inlineStr">
        <is>
          <t>Gloss</t>
        </is>
      </c>
      <c r="J137" t="n">
        <v>35.95</v>
      </c>
      <c r="K137" t="n">
        <v>35.95</v>
      </c>
      <c r="L137" t="n">
        <v>35.95</v>
      </c>
    </row>
    <row r="138">
      <c r="A138" s="1">
        <f>Hyperlink("https://www.wallsandfloors.co.uk/churchill-snow-midnight-border-tiles","Product")</f>
        <v/>
      </c>
      <c r="B138" s="1" t="inlineStr">
        <is>
          <t>41055</t>
        </is>
      </c>
      <c r="C138" s="1" t="inlineStr">
        <is>
          <t>Churchill Snow &amp; Midnight Border Tiles</t>
        </is>
      </c>
      <c r="D138" s="1" t="inlineStr">
        <is>
          <t>264x118x6mm</t>
        </is>
      </c>
      <c r="E138" s="1" t="n">
        <v>9.949999999999999</v>
      </c>
      <c r="F138" s="1" t="n">
        <v>-3</v>
      </c>
      <c r="G138" s="1" t="inlineStr">
        <is>
          <t>SQM</t>
        </is>
      </c>
      <c r="H138" s="1" t="inlineStr">
        <is>
          <t>Porcelain</t>
        </is>
      </c>
      <c r="I138" s="1" t="inlineStr">
        <is>
          <t>Matt</t>
        </is>
      </c>
      <c r="J138" t="inlineStr"/>
      <c r="K138" t="n">
        <v>9.949999999999999</v>
      </c>
      <c r="L138" t="n">
        <v>9.949999999999999</v>
      </c>
    </row>
    <row r="139">
      <c r="A139" s="1">
        <f>Hyperlink("https://www.wallsandfloors.co.uk/salon-porcelain-tiles-black-structured-600x300-tiles","Product")</f>
        <v/>
      </c>
      <c r="B139" s="1" t="inlineStr">
        <is>
          <t>12657</t>
        </is>
      </c>
      <c r="C139" s="1" t="inlineStr">
        <is>
          <t>Salon Porcelain Black Anti Slip Tiles</t>
        </is>
      </c>
      <c r="D139" s="1" t="inlineStr">
        <is>
          <t>600x300x10mm</t>
        </is>
      </c>
      <c r="E139" s="1" t="n">
        <v>29.95</v>
      </c>
      <c r="F139" s="1" t="n">
        <v>-3</v>
      </c>
      <c r="G139" s="1" t="inlineStr">
        <is>
          <t>SQM</t>
        </is>
      </c>
      <c r="H139" s="1" t="inlineStr">
        <is>
          <t>Porcelain</t>
        </is>
      </c>
      <c r="I139" s="1" t="inlineStr">
        <is>
          <t>Matt</t>
        </is>
      </c>
      <c r="J139" t="n">
        <v>29.95</v>
      </c>
      <c r="K139" t="n">
        <v>29.95</v>
      </c>
      <c r="L139" t="n">
        <v>29.95</v>
      </c>
    </row>
    <row r="140">
      <c r="A140" s="1">
        <f>Hyperlink("https://www.wallsandfloors.co.uk/allegory-hexagon-tiles-myth-decor-hexagon-tiles","Product")</f>
        <v/>
      </c>
      <c r="B140" s="1" t="inlineStr">
        <is>
          <t>14409</t>
        </is>
      </c>
      <c r="C140" s="1" t="inlineStr">
        <is>
          <t>Myth Decor Hexagon Tiles</t>
        </is>
      </c>
      <c r="D140" s="1" t="inlineStr">
        <is>
          <t>200x175x8mm</t>
        </is>
      </c>
      <c r="E140" s="1" t="n">
        <v>55.95</v>
      </c>
      <c r="F140" s="1" t="n">
        <v>-3</v>
      </c>
      <c r="G140" s="1" t="inlineStr">
        <is>
          <t>SQM</t>
        </is>
      </c>
      <c r="H140" s="1" t="inlineStr">
        <is>
          <t>Porcelain</t>
        </is>
      </c>
      <c r="I140" s="1" t="inlineStr">
        <is>
          <t>Matt</t>
        </is>
      </c>
      <c r="J140" t="n">
        <v>55.95</v>
      </c>
      <c r="K140" t="inlineStr"/>
      <c r="L140" t="n">
        <v>55.95</v>
      </c>
    </row>
    <row r="141">
      <c r="A141" s="1">
        <f>Hyperlink("https://www.wallsandfloors.co.uk/retro-metro-tiles-bevelled-brick-perla-grey-gloss-wall-tiles","Product")</f>
        <v/>
      </c>
      <c r="B141" s="1" t="inlineStr">
        <is>
          <t>44286</t>
        </is>
      </c>
      <c r="C141" s="1" t="inlineStr">
        <is>
          <t>Jubilee Gloss Grey Metro Tiles</t>
        </is>
      </c>
      <c r="D141" s="1" t="inlineStr">
        <is>
          <t>200x100x7mm</t>
        </is>
      </c>
      <c r="E141" s="1" t="n">
        <v>18.95</v>
      </c>
      <c r="F141" s="1" t="n">
        <v>-3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Gloss</t>
        </is>
      </c>
      <c r="J141" t="n">
        <v>18.95</v>
      </c>
      <c r="K141" t="n">
        <v>18.95</v>
      </c>
      <c r="L141" t="n">
        <v>18.95</v>
      </c>
    </row>
    <row r="142">
      <c r="A142" s="1">
        <f>Hyperlink("https://www.wallsandfloors.co.uk/mapei-ultracolour-plus-grout-ultracolour-plus-111-silver-tile-grout","Product")</f>
        <v/>
      </c>
      <c r="B142" s="1" t="inlineStr">
        <is>
          <t>12928</t>
        </is>
      </c>
      <c r="C142" s="1" t="inlineStr">
        <is>
          <t>Ultracolour Plus 111 Silver Tile Grout</t>
        </is>
      </c>
      <c r="D142" s="1" t="inlineStr">
        <is>
          <t>5 Kg</t>
        </is>
      </c>
      <c r="E142" s="1" t="n">
        <v>13.95</v>
      </c>
      <c r="F142" s="1" t="n">
        <v>-2</v>
      </c>
      <c r="G142" s="1" t="inlineStr">
        <is>
          <t>Unit</t>
        </is>
      </c>
      <c r="H142" s="1" t="inlineStr">
        <is>
          <t>Floor Grout</t>
        </is>
      </c>
      <c r="I142" s="1" t="inlineStr">
        <is>
          <t>-</t>
        </is>
      </c>
      <c r="J142" t="n">
        <v>13.95</v>
      </c>
      <c r="K142" t="n">
        <v>13.95</v>
      </c>
      <c r="L142" t="n">
        <v>13.95</v>
      </c>
    </row>
    <row r="143">
      <c r="A143" s="1">
        <f>Hyperlink("https://www.wallsandfloors.co.uk/country-farmhouse-black-slate-tiles-black-slate-30x30-tiles","Product")</f>
        <v/>
      </c>
      <c r="B143" s="1" t="inlineStr">
        <is>
          <t>11997</t>
        </is>
      </c>
      <c r="C143" s="1" t="inlineStr">
        <is>
          <t>Country Farmhouse Black Slate Tiles</t>
        </is>
      </c>
      <c r="D143" s="1" t="inlineStr">
        <is>
          <t>300x300x7-12mm</t>
        </is>
      </c>
      <c r="E143" s="1" t="n">
        <v>18.95</v>
      </c>
      <c r="F143" s="1" t="n">
        <v>-2</v>
      </c>
      <c r="G143" s="1" t="inlineStr">
        <is>
          <t>SQM</t>
        </is>
      </c>
      <c r="H143" s="1" t="inlineStr">
        <is>
          <t>Slate</t>
        </is>
      </c>
      <c r="I143" s="1" t="inlineStr">
        <is>
          <t>Matt</t>
        </is>
      </c>
      <c r="J143" t="n">
        <v>18.95</v>
      </c>
      <c r="K143" t="n">
        <v>18.95</v>
      </c>
      <c r="L143" t="n">
        <v>18.95</v>
      </c>
    </row>
    <row r="144">
      <c r="A144" s="1">
        <f>Hyperlink("https://www.wallsandfloors.co.uk/royal-oak-tiles-oak-wood-plank-tiles","Product")</f>
        <v/>
      </c>
      <c r="B144" s="1" t="inlineStr">
        <is>
          <t>14372</t>
        </is>
      </c>
      <c r="C144" s="1" t="inlineStr">
        <is>
          <t>Royal Oak Plank Wood Effect Tiles</t>
        </is>
      </c>
      <c r="D144" s="1" t="inlineStr">
        <is>
          <t>1200x230x10mm</t>
        </is>
      </c>
      <c r="E144" s="1" t="n">
        <v>22.95</v>
      </c>
      <c r="F144" s="1" t="n">
        <v>-2</v>
      </c>
      <c r="G144" s="1" t="inlineStr">
        <is>
          <t>SQM</t>
        </is>
      </c>
      <c r="H144" s="1" t="inlineStr">
        <is>
          <t>Porcelain</t>
        </is>
      </c>
      <c r="I144" s="1" t="inlineStr">
        <is>
          <t>Matt</t>
        </is>
      </c>
      <c r="J144" t="n">
        <v>22.95</v>
      </c>
      <c r="K144" t="n">
        <v>22.95</v>
      </c>
      <c r="L144" t="n">
        <v>22.95</v>
      </c>
    </row>
    <row r="145">
      <c r="A145" s="1">
        <f>Hyperlink("https://www.wallsandfloors.co.uk/titanium-natural-finish-tiles-concrete-20x20-tiles","Product")</f>
        <v/>
      </c>
      <c r="B145" s="1" t="inlineStr">
        <is>
          <t>13499</t>
        </is>
      </c>
      <c r="C145" s="1" t="inlineStr">
        <is>
          <t>Titanium Concrete Tiles</t>
        </is>
      </c>
      <c r="D145" s="1" t="inlineStr">
        <is>
          <t>200x200x9mm</t>
        </is>
      </c>
      <c r="E145" s="1" t="n">
        <v>23.95</v>
      </c>
      <c r="F145" s="1" t="n">
        <v>-2</v>
      </c>
      <c r="G145" s="1" t="inlineStr">
        <is>
          <t>SQM</t>
        </is>
      </c>
      <c r="H145" s="1" t="inlineStr">
        <is>
          <t>Porcelain</t>
        </is>
      </c>
      <c r="I145" s="1" t="inlineStr">
        <is>
          <t>Matt</t>
        </is>
      </c>
      <c r="J145" t="n">
        <v>23.95</v>
      </c>
      <c r="K145" t="n">
        <v>23.95</v>
      </c>
      <c r="L145" t="n">
        <v>23.95</v>
      </c>
    </row>
    <row r="146">
      <c r="A146" s="1">
        <f>Hyperlink("https://www.wallsandfloors.co.uk/anchor-chalk-tiles","Product")</f>
        <v/>
      </c>
      <c r="B146" s="1" t="inlineStr">
        <is>
          <t>44102</t>
        </is>
      </c>
      <c r="C146" s="1" t="inlineStr">
        <is>
          <t>Anchor Chalk Tin Style Tiles</t>
        </is>
      </c>
      <c r="D146" s="1" t="inlineStr">
        <is>
          <t>330x330x9mm</t>
        </is>
      </c>
      <c r="E146" s="1" t="n">
        <v>34.95</v>
      </c>
      <c r="F146" s="1" t="n">
        <v>-2</v>
      </c>
      <c r="G146" s="1" t="inlineStr">
        <is>
          <t>SQM</t>
        </is>
      </c>
      <c r="H146" s="1" t="inlineStr">
        <is>
          <t>Porcelain</t>
        </is>
      </c>
      <c r="I146" s="1" t="inlineStr">
        <is>
          <t>Matt</t>
        </is>
      </c>
      <c r="J146" t="n">
        <v>34.95</v>
      </c>
      <c r="K146" t="n">
        <v>34.95</v>
      </c>
      <c r="L146" t="n">
        <v>34.95</v>
      </c>
    </row>
    <row r="147">
      <c r="A147" s="1">
        <f>Hyperlink("https://www.wallsandfloors.co.uk/metro-smooth-200x100-tiles-greenwich-smooth-gloss-200x100-green-tiles","Product")</f>
        <v/>
      </c>
      <c r="B147" s="1" t="inlineStr">
        <is>
          <t>13658</t>
        </is>
      </c>
      <c r="C147" s="1" t="inlineStr">
        <is>
          <t>Flat Greenwich Green Gloss Tiles</t>
        </is>
      </c>
      <c r="D147" s="1" t="inlineStr">
        <is>
          <t>200x100x7mm</t>
        </is>
      </c>
      <c r="E147" s="1" t="n">
        <v>20.95</v>
      </c>
      <c r="F147" s="1" t="n">
        <v>-2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Gloss</t>
        </is>
      </c>
      <c r="J147" t="n">
        <v>20.95</v>
      </c>
      <c r="K147" t="inlineStr"/>
      <c r="L147" t="n">
        <v>20.95</v>
      </c>
    </row>
    <row r="148">
      <c r="A148" s="1">
        <f>Hyperlink("https://www.wallsandfloors.co.uk/starline-natural-finish-tiles-light-grey-tiles","Product")</f>
        <v/>
      </c>
      <c r="B148" s="1" t="inlineStr">
        <is>
          <t>11047</t>
        </is>
      </c>
      <c r="C148" s="1" t="inlineStr">
        <is>
          <t>Starline Natural Finish Light Grey Tiles</t>
        </is>
      </c>
      <c r="D148" s="1" t="inlineStr">
        <is>
          <t>300x300x6mm</t>
        </is>
      </c>
      <c r="E148" s="1" t="n">
        <v>13.95</v>
      </c>
      <c r="F148" s="1" t="n">
        <v>-2</v>
      </c>
      <c r="G148" s="1" t="inlineStr">
        <is>
          <t>SQM</t>
        </is>
      </c>
      <c r="H148" s="1" t="inlineStr">
        <is>
          <t>Porcelain</t>
        </is>
      </c>
      <c r="I148" s="1" t="inlineStr">
        <is>
          <t>Matt</t>
        </is>
      </c>
      <c r="J148" t="n">
        <v>13.95</v>
      </c>
      <c r="K148" t="n">
        <v>13.95</v>
      </c>
      <c r="L148" t="n">
        <v>13.95</v>
      </c>
    </row>
    <row r="149">
      <c r="A149" s="1">
        <f>Hyperlink("https://www.wallsandfloors.co.uk/craquele-cotton-10x20","Product")</f>
        <v/>
      </c>
      <c r="B149" s="1" t="inlineStr">
        <is>
          <t>41389</t>
        </is>
      </c>
      <c r="C149" s="1" t="inlineStr">
        <is>
          <t>Craquelure Cotton Tiles</t>
        </is>
      </c>
      <c r="D149" s="1" t="inlineStr">
        <is>
          <t>200x100x6.8mm</t>
        </is>
      </c>
      <c r="E149" s="1" t="n">
        <v>30.95</v>
      </c>
      <c r="F149" s="1" t="n">
        <v>-2</v>
      </c>
      <c r="G149" s="1" t="inlineStr">
        <is>
          <t>SQM</t>
        </is>
      </c>
      <c r="H149" s="1" t="inlineStr">
        <is>
          <t>Ceramic</t>
        </is>
      </c>
      <c r="I149" s="1" t="inlineStr">
        <is>
          <t>Gloss</t>
        </is>
      </c>
      <c r="J149" t="n">
        <v>30.95</v>
      </c>
      <c r="K149" t="n">
        <v>30.95</v>
      </c>
      <c r="L149" t="n">
        <v>30.95</v>
      </c>
    </row>
    <row r="150">
      <c r="A150" s="1">
        <f>Hyperlink("https://www.wallsandfloors.co.uk/burghal-stone-effect-tiles-burghal-steel-tiles","Product")</f>
        <v/>
      </c>
      <c r="B150" s="1" t="inlineStr">
        <is>
          <t>13070</t>
        </is>
      </c>
      <c r="C150" s="1" t="inlineStr">
        <is>
          <t>Burghal Steel Stone Effect Tiles</t>
        </is>
      </c>
      <c r="D150" s="1" t="inlineStr">
        <is>
          <t>600x300x8mm</t>
        </is>
      </c>
      <c r="E150" s="1" t="n">
        <v>20.95</v>
      </c>
      <c r="F150" s="1" t="n">
        <v>-2</v>
      </c>
      <c r="G150" s="1" t="inlineStr">
        <is>
          <t>SQM</t>
        </is>
      </c>
      <c r="H150" s="1" t="inlineStr">
        <is>
          <t>Porcelain</t>
        </is>
      </c>
      <c r="I150" s="1" t="inlineStr">
        <is>
          <t>Matt</t>
        </is>
      </c>
      <c r="J150" t="n">
        <v>20.95</v>
      </c>
      <c r="K150" t="n">
        <v>20.95</v>
      </c>
      <c r="L150" t="n">
        <v>20.95</v>
      </c>
    </row>
    <row r="151">
      <c r="A151" s="1">
        <f>Hyperlink("https://www.wallsandfloors.co.uk/scintilla-sky-pattern-tiles","Product")</f>
        <v/>
      </c>
      <c r="B151" s="1" t="inlineStr">
        <is>
          <t>44252</t>
        </is>
      </c>
      <c r="C151" s="1" t="inlineStr">
        <is>
          <t>Scintilla Sky Pattern Tiles</t>
        </is>
      </c>
      <c r="D151" s="1" t="inlineStr">
        <is>
          <t>450x450x10.5mm</t>
        </is>
      </c>
      <c r="E151" s="1" t="n">
        <v>19.95</v>
      </c>
      <c r="F151" s="1" t="n">
        <v>-2</v>
      </c>
      <c r="G151" s="1" t="inlineStr">
        <is>
          <t>SQM</t>
        </is>
      </c>
      <c r="H151" s="1" t="inlineStr">
        <is>
          <t>Ceramic</t>
        </is>
      </c>
      <c r="I151" s="1" t="inlineStr">
        <is>
          <t>Matt</t>
        </is>
      </c>
      <c r="J151" t="n">
        <v>19.95</v>
      </c>
      <c r="K151" t="n">
        <v>19.95</v>
      </c>
      <c r="L151" t="n">
        <v>19.95</v>
      </c>
    </row>
    <row r="152">
      <c r="A152" s="1">
        <f>Hyperlink("https://www.wallsandfloors.co.uk/mapei-ultracolour-plus-grout-ultracolour-plus-113-cement-grey-tile-grout","Product")</f>
        <v/>
      </c>
      <c r="B152" s="1" t="inlineStr">
        <is>
          <t>10663</t>
        </is>
      </c>
      <c r="C152" s="1" t="inlineStr">
        <is>
          <t>Ultracolour Plus 113 Cement Grey Tile Grout</t>
        </is>
      </c>
      <c r="D152" s="1" t="inlineStr">
        <is>
          <t>5 Kg</t>
        </is>
      </c>
      <c r="E152" s="1" t="n">
        <v>13.95</v>
      </c>
      <c r="F152" s="1" t="n">
        <v>-2</v>
      </c>
      <c r="G152" s="1" t="inlineStr">
        <is>
          <t>Unit</t>
        </is>
      </c>
      <c r="H152" s="1" t="inlineStr">
        <is>
          <t>Floor Grout</t>
        </is>
      </c>
      <c r="I152" s="1" t="inlineStr">
        <is>
          <t>-</t>
        </is>
      </c>
      <c r="J152" t="n">
        <v>13.95</v>
      </c>
      <c r="K152" t="inlineStr"/>
      <c r="L152" t="n">
        <v>13.95</v>
      </c>
    </row>
    <row r="153">
      <c r="A153" s="1">
        <f>Hyperlink("https://www.wallsandfloors.co.uk/salon-porcelain-tiles-grey-matt-600x600-tiles","Product")</f>
        <v/>
      </c>
      <c r="B153" s="1" t="inlineStr">
        <is>
          <t>12638</t>
        </is>
      </c>
      <c r="C153" s="1" t="inlineStr">
        <is>
          <t>Salon Porcelain Grey Matt Tiles</t>
        </is>
      </c>
      <c r="D153" s="1" t="inlineStr">
        <is>
          <t>600x600x10mm</t>
        </is>
      </c>
      <c r="E153" s="1" t="n">
        <v>33.95</v>
      </c>
      <c r="F153" s="1" t="n">
        <v>-2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33.95</v>
      </c>
      <c r="K153" t="inlineStr"/>
      <c r="L153" t="n">
        <v>33.95</v>
      </c>
    </row>
    <row r="154">
      <c r="A154" s="1">
        <f>Hyperlink("https://www.wallsandfloors.co.uk/mini-metro-150x75-tiles-green-park-tiles","Product")</f>
        <v/>
      </c>
      <c r="B154" s="1" t="inlineStr">
        <is>
          <t>8391</t>
        </is>
      </c>
      <c r="C154" s="1" t="inlineStr">
        <is>
          <t>Park Gloss Green Mini Metro Tiles</t>
        </is>
      </c>
      <c r="D154" s="1" t="inlineStr">
        <is>
          <t>150x75x7mm</t>
        </is>
      </c>
      <c r="E154" s="1" t="n">
        <v>25.95</v>
      </c>
      <c r="F154" s="1" t="n">
        <v>-2</v>
      </c>
      <c r="G154" s="1" t="inlineStr">
        <is>
          <t>SQM</t>
        </is>
      </c>
      <c r="H154" s="1" t="inlineStr">
        <is>
          <t>Ceramic</t>
        </is>
      </c>
      <c r="I154" s="1" t="inlineStr">
        <is>
          <t>Gloss</t>
        </is>
      </c>
      <c r="J154" t="inlineStr"/>
      <c r="K154" t="n">
        <v>25.95</v>
      </c>
      <c r="L154" t="n">
        <v>25.95</v>
      </c>
    </row>
    <row r="155">
      <c r="A155" s="1">
        <f>Hyperlink("https://www.wallsandfloors.co.uk/straight-edge-metal-trim-12-5mm-brushed-effect","Product")</f>
        <v/>
      </c>
      <c r="B155" s="1" t="inlineStr">
        <is>
          <t>41046</t>
        </is>
      </c>
      <c r="C155" s="1" t="inlineStr">
        <is>
          <t>12.5mm Aluminium Straight Edge Brushed Effect Trim</t>
        </is>
      </c>
      <c r="D155" s="1" t="inlineStr">
        <is>
          <t>2500mm Length x 12.5mm Depth</t>
        </is>
      </c>
      <c r="E155" s="1" t="n">
        <v>9.949999999999999</v>
      </c>
      <c r="F155" s="1" t="n">
        <v>-2</v>
      </c>
      <c r="G155" s="1" t="inlineStr">
        <is>
          <t>Unit</t>
        </is>
      </c>
      <c r="H155" s="1" t="inlineStr">
        <is>
          <t>Metal</t>
        </is>
      </c>
      <c r="I155" s="1" t="inlineStr">
        <is>
          <t>Matt</t>
        </is>
      </c>
      <c r="J155" t="n">
        <v>9.949999999999999</v>
      </c>
      <c r="K155" t="n">
        <v>9.949999999999999</v>
      </c>
      <c r="L155" t="n">
        <v>9.949999999999999</v>
      </c>
    </row>
    <row r="156">
      <c r="A156" s="1">
        <f>Hyperlink("https://www.wallsandfloors.co.uk/toolshed-tile-adhesive-uniflex-white-wall-floor-tile-adhesive-20kg","Product")</f>
        <v/>
      </c>
      <c r="B156" s="1" t="inlineStr">
        <is>
          <t>15557</t>
        </is>
      </c>
      <c r="C156" s="1" t="inlineStr">
        <is>
          <t>Uniflex White Wall &amp; Floor Tile Adhesive 20kg</t>
        </is>
      </c>
      <c r="D156" s="1" t="inlineStr">
        <is>
          <t>20 Kg</t>
        </is>
      </c>
      <c r="E156" s="1" t="n">
        <v>17.95</v>
      </c>
      <c r="F156" s="1" t="n">
        <v>-2</v>
      </c>
      <c r="G156" s="1" t="inlineStr">
        <is>
          <t>Unit</t>
        </is>
      </c>
      <c r="H156" s="1" t="inlineStr">
        <is>
          <t>Adhesive</t>
        </is>
      </c>
      <c r="I156" s="1" t="inlineStr">
        <is>
          <t>-</t>
        </is>
      </c>
      <c r="J156" t="n">
        <v>17.95</v>
      </c>
      <c r="K156" t="inlineStr"/>
      <c r="L156" t="n">
        <v>17.95</v>
      </c>
    </row>
    <row r="157">
      <c r="A157" s="1">
        <f>Hyperlink("https://www.wallsandfloors.co.uk/metro-200x100-tiles-manor-house-blue-tiles","Product")</f>
        <v/>
      </c>
      <c r="B157" s="1" t="inlineStr">
        <is>
          <t>14040</t>
        </is>
      </c>
      <c r="C157" s="1" t="inlineStr">
        <is>
          <t>Metro Manor House Blue Gloss Tiles</t>
        </is>
      </c>
      <c r="D157" s="1" t="inlineStr">
        <is>
          <t>200x100x7mm</t>
        </is>
      </c>
      <c r="E157" s="1" t="n">
        <v>20.95</v>
      </c>
      <c r="F157" s="1" t="n">
        <v>-2</v>
      </c>
      <c r="G157" s="1" t="inlineStr">
        <is>
          <t>SQM</t>
        </is>
      </c>
      <c r="H157" s="1" t="inlineStr">
        <is>
          <t>Ceramic</t>
        </is>
      </c>
      <c r="I157" s="1" t="inlineStr">
        <is>
          <t>Gloss</t>
        </is>
      </c>
      <c r="J157" t="n">
        <v>20.95</v>
      </c>
      <c r="K157" t="n">
        <v>20.95</v>
      </c>
      <c r="L157" t="n">
        <v>20.95</v>
      </c>
    </row>
    <row r="158">
      <c r="A158" s="1">
        <f>Hyperlink("https://www.wallsandfloors.co.uk/bijou-hexagonal-mosaic-tiles-white-hexagon-gloss-tiles","Product")</f>
        <v/>
      </c>
      <c r="B158" s="1" t="inlineStr">
        <is>
          <t>13829</t>
        </is>
      </c>
      <c r="C158" s="1" t="inlineStr">
        <is>
          <t>Pixel White Hexagon Gloss Mosaic Tiles</t>
        </is>
      </c>
      <c r="D158" s="1" t="inlineStr">
        <is>
          <t>300x260x6mm</t>
        </is>
      </c>
      <c r="E158" s="1" t="n">
        <v>4.95</v>
      </c>
      <c r="F158" s="1" t="n">
        <v>-1</v>
      </c>
      <c r="G158" s="1" t="inlineStr">
        <is>
          <t>Sheet</t>
        </is>
      </c>
      <c r="H158" s="1" t="inlineStr">
        <is>
          <t>Porcelain</t>
        </is>
      </c>
      <c r="I158" s="1" t="inlineStr">
        <is>
          <t>Gloss</t>
        </is>
      </c>
      <c r="J158" t="n">
        <v>4.95</v>
      </c>
      <c r="K158" t="n">
        <v>4.95</v>
      </c>
      <c r="L158" t="n">
        <v>4.95</v>
      </c>
    </row>
    <row r="159">
      <c r="A159" s="1">
        <f>Hyperlink("https://www.wallsandfloors.co.uk/chalkstone-honeycomb-bone-tiles","Product")</f>
        <v/>
      </c>
      <c r="B159" s="1" t="inlineStr">
        <is>
          <t>44096</t>
        </is>
      </c>
      <c r="C159" s="1" t="inlineStr">
        <is>
          <t>Chalkstone Honeycomb Bone Tiles</t>
        </is>
      </c>
      <c r="D159" s="1" t="inlineStr">
        <is>
          <t>510x265x10mm</t>
        </is>
      </c>
      <c r="E159" s="1" t="n">
        <v>28.95</v>
      </c>
      <c r="F159" s="1" t="n">
        <v>-1</v>
      </c>
      <c r="G159" s="1" t="inlineStr">
        <is>
          <t>SQM</t>
        </is>
      </c>
      <c r="H159" s="1" t="inlineStr">
        <is>
          <t>Porcelain</t>
        </is>
      </c>
      <c r="I159" s="1" t="inlineStr">
        <is>
          <t>Matt</t>
        </is>
      </c>
      <c r="J159" t="n">
        <v>28.95</v>
      </c>
      <c r="K159" t="n">
        <v>28.95</v>
      </c>
      <c r="L159" t="n">
        <v>28.95</v>
      </c>
    </row>
    <row r="160">
      <c r="A160" s="1">
        <f>Hyperlink("https://www.wallsandfloors.co.uk/ritz-tiles-dew-gloss-20x10-tiles","Product")</f>
        <v/>
      </c>
      <c r="B160" s="1" t="inlineStr">
        <is>
          <t>13020</t>
        </is>
      </c>
      <c r="C160" s="1" t="inlineStr">
        <is>
          <t>Ritz Dew Gloss Tiles</t>
        </is>
      </c>
      <c r="D160" s="1" t="inlineStr">
        <is>
          <t>200x100x6.50mm</t>
        </is>
      </c>
      <c r="E160" s="1" t="n">
        <v>38.95</v>
      </c>
      <c r="F160" s="1" t="n">
        <v>-1</v>
      </c>
      <c r="G160" s="1" t="inlineStr">
        <is>
          <t>SQM</t>
        </is>
      </c>
      <c r="H160" s="1" t="inlineStr">
        <is>
          <t>Ceramic</t>
        </is>
      </c>
      <c r="I160" s="1" t="inlineStr">
        <is>
          <t>Gloss</t>
        </is>
      </c>
      <c r="J160" t="n">
        <v>38.95</v>
      </c>
      <c r="K160" t="n">
        <v>38.95</v>
      </c>
      <c r="L160" t="n">
        <v>38.95</v>
      </c>
    </row>
    <row r="161">
      <c r="A161" s="1">
        <f>Hyperlink("https://www.wallsandfloors.co.uk/honey-oak-1225x200-tiles","Product")</f>
        <v/>
      </c>
      <c r="B161" s="1" t="inlineStr">
        <is>
          <t>36537</t>
        </is>
      </c>
      <c r="C161" s="1" t="inlineStr">
        <is>
          <t>Muniellos Honey Oak Wood Effect Tiles</t>
        </is>
      </c>
      <c r="D161" s="1" t="inlineStr">
        <is>
          <t>1215x195x10.5mm</t>
        </is>
      </c>
      <c r="E161" s="1" t="n">
        <v>29.95</v>
      </c>
      <c r="F161" s="1" t="n">
        <v>-1</v>
      </c>
      <c r="G161" s="1" t="inlineStr">
        <is>
          <t>SQM</t>
        </is>
      </c>
      <c r="H161" s="1" t="inlineStr">
        <is>
          <t>Porcelain</t>
        </is>
      </c>
      <c r="I161" s="1" t="inlineStr">
        <is>
          <t>Matt</t>
        </is>
      </c>
      <c r="J161" t="n">
        <v>29.95</v>
      </c>
      <c r="K161" t="n">
        <v>29.95</v>
      </c>
      <c r="L161" t="n">
        <v>29.95</v>
      </c>
    </row>
    <row r="162">
      <c r="A162" s="1">
        <f>Hyperlink("https://www.wallsandfloors.co.uk/pro-50-levelling-compound-20kg","Product")</f>
        <v/>
      </c>
      <c r="B162" s="1" t="inlineStr">
        <is>
          <t>33497</t>
        </is>
      </c>
      <c r="C162" s="1" t="inlineStr">
        <is>
          <t>Norcros Pro 50 Levelling Compound 20kg</t>
        </is>
      </c>
      <c r="D162" s="1" t="inlineStr">
        <is>
          <t>20kg</t>
        </is>
      </c>
      <c r="E162" s="1" t="n">
        <v>17.95</v>
      </c>
      <c r="F162" s="1" t="n">
        <v>-1</v>
      </c>
      <c r="G162" s="1" t="inlineStr">
        <is>
          <t>Unit</t>
        </is>
      </c>
      <c r="H162" s="1" t="inlineStr">
        <is>
          <t>Accessories</t>
        </is>
      </c>
      <c r="I162" s="1" t="inlineStr">
        <is>
          <t>-</t>
        </is>
      </c>
      <c r="J162" t="n">
        <v>17.95</v>
      </c>
      <c r="K162" t="n">
        <v>17.95</v>
      </c>
      <c r="L162" t="n">
        <v>17.95</v>
      </c>
    </row>
    <row r="163">
      <c r="A163" s="1">
        <f>Hyperlink("https://www.wallsandfloors.co.uk/rosebery-statement-bishops-avenue-tiles","Product")</f>
        <v/>
      </c>
      <c r="B163" s="1" t="inlineStr">
        <is>
          <t>36621</t>
        </is>
      </c>
      <c r="C163" s="1" t="inlineStr">
        <is>
          <t>Bishops Avenue Tiles</t>
        </is>
      </c>
      <c r="D163" s="1" t="inlineStr">
        <is>
          <t>200x200x6mm</t>
        </is>
      </c>
      <c r="E163" s="1" t="n">
        <v>29.95</v>
      </c>
      <c r="F163" s="1" t="n">
        <v>-1</v>
      </c>
      <c r="G163" s="1" t="inlineStr">
        <is>
          <t>SQM</t>
        </is>
      </c>
      <c r="H163" s="1" t="inlineStr">
        <is>
          <t>Porcelain</t>
        </is>
      </c>
      <c r="I163" s="1" t="inlineStr">
        <is>
          <t>Matt</t>
        </is>
      </c>
      <c r="J163" t="inlineStr"/>
      <c r="K163" t="n">
        <v>29.95</v>
      </c>
      <c r="L163" t="n">
        <v>29.95</v>
      </c>
    </row>
    <row r="164">
      <c r="A164" s="1">
        <f>Hyperlink("https://www.wallsandfloors.co.uk/lounge-tiles-matt-black-60x60-tiles","Product")</f>
        <v/>
      </c>
      <c r="B164" s="1" t="inlineStr">
        <is>
          <t>11192</t>
        </is>
      </c>
      <c r="C164" s="1" t="inlineStr">
        <is>
          <t>Lounge Matt Black Tiles</t>
        </is>
      </c>
      <c r="D164" s="1" t="inlineStr">
        <is>
          <t>600x600x9mm</t>
        </is>
      </c>
      <c r="E164" s="1" t="n">
        <v>28.95</v>
      </c>
      <c r="F164" s="1" t="n">
        <v>-1</v>
      </c>
      <c r="G164" s="1" t="inlineStr">
        <is>
          <t>SQM</t>
        </is>
      </c>
      <c r="H164" s="1" t="inlineStr">
        <is>
          <t>Porcelain</t>
        </is>
      </c>
      <c r="I164" s="1" t="inlineStr">
        <is>
          <t>Matt</t>
        </is>
      </c>
      <c r="J164" t="n">
        <v>28.95</v>
      </c>
      <c r="K164" t="n">
        <v>28.95</v>
      </c>
      <c r="L164" t="n">
        <v>28.95</v>
      </c>
    </row>
    <row r="165">
      <c r="A165" s="1">
        <f>Hyperlink("https://www.wallsandfloors.co.uk/octagon-olive-tiles","Product")</f>
        <v/>
      </c>
      <c r="B165" s="1" t="inlineStr">
        <is>
          <t>43094</t>
        </is>
      </c>
      <c r="C165" s="1" t="inlineStr">
        <is>
          <t>Octagon Olive Tiles</t>
        </is>
      </c>
      <c r="D165" s="1" t="inlineStr">
        <is>
          <t>450x450x10.5mm</t>
        </is>
      </c>
      <c r="E165" s="1" t="n">
        <v>26.95</v>
      </c>
      <c r="F165" s="1" t="n">
        <v>-1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Matt</t>
        </is>
      </c>
      <c r="J165" t="n">
        <v>26.95</v>
      </c>
      <c r="K165" t="n">
        <v>26.95</v>
      </c>
      <c r="L165" t="n">
        <v>26.95</v>
      </c>
    </row>
    <row r="166">
      <c r="A166" s="1">
        <f>Hyperlink("https://www.wallsandfloors.co.uk/rhian-30x10-tiles-naranja-gloss-tiles","Product")</f>
        <v/>
      </c>
      <c r="B166" s="1" t="inlineStr">
        <is>
          <t>8370</t>
        </is>
      </c>
      <c r="C166" s="1" t="inlineStr">
        <is>
          <t>Rhian Naranja Orange Gloss Tiles</t>
        </is>
      </c>
      <c r="D166" s="1" t="inlineStr">
        <is>
          <t>300x100x7mm</t>
        </is>
      </c>
      <c r="E166" s="1" t="n">
        <v>30.95</v>
      </c>
      <c r="F166" s="1" t="n">
        <v>-1</v>
      </c>
      <c r="G166" s="1" t="inlineStr">
        <is>
          <t>SQM</t>
        </is>
      </c>
      <c r="H166" s="1" t="inlineStr">
        <is>
          <t>Ceramic</t>
        </is>
      </c>
      <c r="I166" s="1" t="inlineStr">
        <is>
          <t>Gloss</t>
        </is>
      </c>
      <c r="J166" t="n">
        <v>30.95</v>
      </c>
      <c r="K166" t="inlineStr"/>
      <c r="L166" t="n">
        <v>30.95</v>
      </c>
    </row>
    <row r="167">
      <c r="A167" s="1">
        <f>Hyperlink("https://www.wallsandfloors.co.uk/country-farmhouse-black-slate-tiles-black-slate-60x40-tiles","Product")</f>
        <v/>
      </c>
      <c r="B167" s="1" t="inlineStr">
        <is>
          <t>12103</t>
        </is>
      </c>
      <c r="C167" s="1" t="inlineStr">
        <is>
          <t>Country Farmhouse Black Slate Tiles</t>
        </is>
      </c>
      <c r="D167" s="1" t="inlineStr">
        <is>
          <t>600x400x7-12mm</t>
        </is>
      </c>
      <c r="E167" s="1" t="n">
        <v>24.95</v>
      </c>
      <c r="F167" s="1" t="n">
        <v>-1</v>
      </c>
      <c r="G167" s="1" t="inlineStr">
        <is>
          <t>SQM</t>
        </is>
      </c>
      <c r="H167" s="1" t="inlineStr">
        <is>
          <t>Slate</t>
        </is>
      </c>
      <c r="I167" s="1" t="inlineStr">
        <is>
          <t>Matt</t>
        </is>
      </c>
      <c r="J167" t="inlineStr"/>
      <c r="K167" t="n">
        <v>24.95</v>
      </c>
      <c r="L167" t="n">
        <v>24.95</v>
      </c>
    </row>
    <row r="168">
      <c r="A168" s="1">
        <f>Hyperlink("https://www.wallsandfloors.co.uk/parlor-wood-effect-tiles-linen-ash-tiles","Product")</f>
        <v/>
      </c>
      <c r="B168" s="1" t="inlineStr">
        <is>
          <t>14697</t>
        </is>
      </c>
      <c r="C168" s="1" t="inlineStr">
        <is>
          <t>Parlor Linen Ash Wood Effect Tiles</t>
        </is>
      </c>
      <c r="D168" s="1" t="inlineStr">
        <is>
          <t>1200x233x8.5mm</t>
        </is>
      </c>
      <c r="E168" s="1" t="n">
        <v>25.95</v>
      </c>
      <c r="F168" s="1" t="n">
        <v>-1</v>
      </c>
      <c r="G168" s="1" t="inlineStr">
        <is>
          <t>SQM</t>
        </is>
      </c>
      <c r="H168" s="1" t="inlineStr">
        <is>
          <t>Porcelain</t>
        </is>
      </c>
      <c r="I168" s="1" t="inlineStr">
        <is>
          <t>Matt</t>
        </is>
      </c>
      <c r="J168" t="n">
        <v>25.95</v>
      </c>
      <c r="K168" t="n">
        <v>25.95</v>
      </c>
      <c r="L168" t="n">
        <v>25.95</v>
      </c>
    </row>
    <row r="169">
      <c r="A169" s="1">
        <f>Hyperlink("https://www.wallsandfloors.co.uk/pinoso-marble-effect-seashell-60x30-tiles","Product")</f>
        <v/>
      </c>
      <c r="B169" s="1" t="inlineStr">
        <is>
          <t>44466</t>
        </is>
      </c>
      <c r="C169" s="1" t="inlineStr">
        <is>
          <t>Pinoso Marble Effect Seashell Tiles</t>
        </is>
      </c>
      <c r="D169" s="1" t="inlineStr">
        <is>
          <t>600x300x9mm</t>
        </is>
      </c>
      <c r="E169" s="1" t="n">
        <v>12.95</v>
      </c>
      <c r="F169" s="1" t="n">
        <v>-1</v>
      </c>
      <c r="G169" s="1" t="inlineStr">
        <is>
          <t>SQM</t>
        </is>
      </c>
      <c r="H169" s="1" t="inlineStr">
        <is>
          <t>Porcelain</t>
        </is>
      </c>
      <c r="I169" s="1" t="inlineStr">
        <is>
          <t>Gloss</t>
        </is>
      </c>
      <c r="J169" t="n">
        <v>12.95</v>
      </c>
      <c r="K169" t="n">
        <v>12.95</v>
      </c>
      <c r="L169" t="n">
        <v>12.95</v>
      </c>
    </row>
    <row r="170">
      <c r="A170" s="1">
        <f>Hyperlink("https://www.wallsandfloors.co.uk/parlor-wood-effect-tiles-sunkissed-birch-tiles-14696","Product")</f>
        <v/>
      </c>
      <c r="B170" s="1" t="inlineStr">
        <is>
          <t>14696</t>
        </is>
      </c>
      <c r="C170" s="1" t="inlineStr">
        <is>
          <t>Parlor Sunkissed Birch Wood Effect Tiles</t>
        </is>
      </c>
      <c r="D170" s="1" t="inlineStr">
        <is>
          <t>1200x233x8.5mm</t>
        </is>
      </c>
      <c r="E170" s="1" t="n">
        <v>17.95</v>
      </c>
      <c r="F170" s="1" t="n">
        <v>-1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Matt</t>
        </is>
      </c>
      <c r="J170" t="n">
        <v>17.95</v>
      </c>
      <c r="K170" t="n">
        <v>17.95</v>
      </c>
      <c r="L170" t="n">
        <v>17.95</v>
      </c>
    </row>
    <row r="171">
      <c r="A171" s="1">
        <f>Hyperlink("https://www.wallsandfloors.co.uk/grain-tiles-driftwood-tiles","Product")</f>
        <v/>
      </c>
      <c r="B171" s="1" t="inlineStr">
        <is>
          <t>7394</t>
        </is>
      </c>
      <c r="C171" s="1" t="inlineStr">
        <is>
          <t>Grain Driftwood Linear Wall Tiles</t>
        </is>
      </c>
      <c r="D171" s="1" t="inlineStr">
        <is>
          <t>300x200x9mm</t>
        </is>
      </c>
      <c r="E171" s="1" t="n">
        <v>23.95</v>
      </c>
      <c r="F171" s="1" t="n">
        <v>-1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Matt</t>
        </is>
      </c>
      <c r="J171" t="n">
        <v>23.95</v>
      </c>
      <c r="K171" t="n">
        <v>23.95</v>
      </c>
      <c r="L171" t="n">
        <v>23.95</v>
      </c>
    </row>
    <row r="172">
      <c r="A172" s="1">
        <f>Hyperlink("https://www.wallsandfloors.co.uk/tangier-floor-tiles-blue-matt-antiqua-floor-tiles","Product")</f>
        <v/>
      </c>
      <c r="B172" s="1" t="inlineStr">
        <is>
          <t>13610</t>
        </is>
      </c>
      <c r="C172" s="1" t="inlineStr">
        <is>
          <t>Tangier Blue Matt Antiqua Tiles</t>
        </is>
      </c>
      <c r="D172" s="1" t="inlineStr">
        <is>
          <t>200x200x9mm</t>
        </is>
      </c>
      <c r="E172" s="1" t="n">
        <v>30.95</v>
      </c>
      <c r="F172" s="1" t="n">
        <v>-1</v>
      </c>
      <c r="G172" s="1" t="inlineStr">
        <is>
          <t>SQM</t>
        </is>
      </c>
      <c r="H172" s="1" t="inlineStr">
        <is>
          <t>Ceramic</t>
        </is>
      </c>
      <c r="I172" s="1" t="inlineStr">
        <is>
          <t>Matt</t>
        </is>
      </c>
      <c r="J172" t="n">
        <v>30.95</v>
      </c>
      <c r="K172" t="inlineStr"/>
      <c r="L172" t="n">
        <v>30.95</v>
      </c>
    </row>
    <row r="173">
      <c r="A173" s="1">
        <f>Hyperlink("https://www.wallsandfloors.co.uk/casa-brick-slip-effect-tiles-traditional-red-brick-slip-effect-tiles","Product")</f>
        <v/>
      </c>
      <c r="B173" s="1" t="inlineStr">
        <is>
          <t>14057</t>
        </is>
      </c>
      <c r="C173" s="1" t="inlineStr">
        <is>
          <t>Traditional Red Brick Slip Effect Tiles</t>
        </is>
      </c>
      <c r="D173" s="1" t="inlineStr">
        <is>
          <t>560x310x10mm</t>
        </is>
      </c>
      <c r="E173" s="1" t="n">
        <v>33.95</v>
      </c>
      <c r="F173" s="1" t="n">
        <v>-1</v>
      </c>
      <c r="G173" s="1" t="inlineStr">
        <is>
          <t>SQM</t>
        </is>
      </c>
      <c r="H173" s="1" t="inlineStr">
        <is>
          <t>Porcelain</t>
        </is>
      </c>
      <c r="I173" s="1" t="inlineStr">
        <is>
          <t>Matt</t>
        </is>
      </c>
      <c r="J173" t="n">
        <v>33.95</v>
      </c>
      <c r="K173" t="inlineStr"/>
      <c r="L173" t="n">
        <v>33.95</v>
      </c>
    </row>
    <row r="174">
      <c r="A174" s="1">
        <f>Hyperlink("https://www.wallsandfloors.co.uk/courtyard-slate-moonlight-orchid-slate-effect-tiles","Product")</f>
        <v/>
      </c>
      <c r="B174" s="1" t="inlineStr">
        <is>
          <t>24749</t>
        </is>
      </c>
      <c r="C174" s="1" t="inlineStr">
        <is>
          <t>Courtyard Moonlight Orchid Slate Effect Tiles</t>
        </is>
      </c>
      <c r="D174" s="1" t="inlineStr">
        <is>
          <t>598x297x7.5mm</t>
        </is>
      </c>
      <c r="E174" s="1" t="n">
        <v>14.95</v>
      </c>
      <c r="F174" s="1" t="n">
        <v>-1</v>
      </c>
      <c r="G174" s="1" t="inlineStr">
        <is>
          <t>SQM</t>
        </is>
      </c>
      <c r="H174" s="1" t="inlineStr">
        <is>
          <t>Porcelain</t>
        </is>
      </c>
      <c r="I174" s="1" t="inlineStr">
        <is>
          <t>Matt</t>
        </is>
      </c>
      <c r="J174" t="n">
        <v>14.95</v>
      </c>
      <c r="K174" t="n">
        <v>14.95</v>
      </c>
      <c r="L174" t="n">
        <v>14.95</v>
      </c>
    </row>
    <row r="175">
      <c r="A175" s="1">
        <f>Hyperlink("https://www.wallsandfloors.co.uk/stone-age-tiles-creamy-stone-45x45-floor-tiles","Product")</f>
        <v/>
      </c>
      <c r="B175" s="1" t="inlineStr">
        <is>
          <t>14307</t>
        </is>
      </c>
      <c r="C175" s="1" t="inlineStr">
        <is>
          <t>Stone Age Creamy Floor Tiles</t>
        </is>
      </c>
      <c r="D175" s="1" t="inlineStr">
        <is>
          <t>450x450x7mm</t>
        </is>
      </c>
      <c r="E175" s="1" t="n">
        <v>14.95</v>
      </c>
      <c r="F175" s="1" t="n">
        <v>-1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Matt</t>
        </is>
      </c>
      <c r="J175" t="n">
        <v>14.95</v>
      </c>
      <c r="K175" t="n">
        <v>14.95</v>
      </c>
      <c r="L175" t="n">
        <v>14.95</v>
      </c>
    </row>
    <row r="176">
      <c r="A176" s="1">
        <f>Hyperlink("https://www.wallsandfloors.co.uk/krokda-tiles-antracita-tiles","Product")</f>
        <v/>
      </c>
      <c r="B176" s="1" t="inlineStr">
        <is>
          <t>12380</t>
        </is>
      </c>
      <c r="C176" s="1" t="inlineStr">
        <is>
          <t>Krokda Antracita Slate Effect Tiles</t>
        </is>
      </c>
      <c r="D176" s="1" t="inlineStr">
        <is>
          <t>560x310x9mm</t>
        </is>
      </c>
      <c r="E176" s="1" t="n">
        <v>29.95</v>
      </c>
      <c r="F176" s="1" t="n">
        <v>-1</v>
      </c>
      <c r="G176" s="1" t="inlineStr">
        <is>
          <t>SQM</t>
        </is>
      </c>
      <c r="H176" s="1" t="inlineStr">
        <is>
          <t>Porcelain</t>
        </is>
      </c>
      <c r="I176" s="1" t="inlineStr">
        <is>
          <t>Matt</t>
        </is>
      </c>
      <c r="J176" t="n">
        <v>29.95</v>
      </c>
      <c r="K176" t="inlineStr"/>
      <c r="L176" t="n">
        <v>29.95</v>
      </c>
    </row>
    <row r="177">
      <c r="A177" s="1">
        <f>Hyperlink("https://www.wallsandfloors.co.uk/largo-dusk-geo-tiles","Product")</f>
        <v/>
      </c>
      <c r="B177" s="1" t="inlineStr">
        <is>
          <t>36972</t>
        </is>
      </c>
      <c r="C177" s="1" t="inlineStr">
        <is>
          <t>Largo Dusk Grey Geo Pattern Tiles</t>
        </is>
      </c>
      <c r="D177" s="1" t="inlineStr">
        <is>
          <t>900x330x10mm</t>
        </is>
      </c>
      <c r="E177" s="1" t="n">
        <v>28.95</v>
      </c>
      <c r="F177" s="1" t="n">
        <v>-1</v>
      </c>
      <c r="G177" s="1" t="inlineStr">
        <is>
          <t>SQM</t>
        </is>
      </c>
      <c r="H177" s="1" t="inlineStr">
        <is>
          <t>Porcelain</t>
        </is>
      </c>
      <c r="I177" s="1" t="inlineStr">
        <is>
          <t>Matt</t>
        </is>
      </c>
      <c r="J177" t="n">
        <v>28.95</v>
      </c>
      <c r="K177" t="n">
        <v>28.95</v>
      </c>
      <c r="L177" t="n">
        <v>28.95</v>
      </c>
    </row>
    <row r="178">
      <c r="A178" s="1">
        <f>Hyperlink("https://www.wallsandfloors.co.uk/churchill-snow-midnight-corner-tiles","Product")</f>
        <v/>
      </c>
      <c r="B178" s="1" t="inlineStr">
        <is>
          <t>41057</t>
        </is>
      </c>
      <c r="C178" s="1" t="inlineStr">
        <is>
          <t>Churchill Snow &amp; Midnight Corner Tiles</t>
        </is>
      </c>
      <c r="D178" s="1" t="inlineStr">
        <is>
          <t>280x168x6mm</t>
        </is>
      </c>
      <c r="E178" s="1" t="n">
        <v>11.95</v>
      </c>
      <c r="F178" s="1" t="n">
        <v>-1</v>
      </c>
      <c r="G178" s="1" t="inlineStr">
        <is>
          <t>SQM</t>
        </is>
      </c>
      <c r="H178" s="1" t="inlineStr">
        <is>
          <t>Porcelain</t>
        </is>
      </c>
      <c r="I178" s="1" t="inlineStr">
        <is>
          <t>Matt</t>
        </is>
      </c>
      <c r="J178" t="n">
        <v>11.95</v>
      </c>
      <c r="K178" t="inlineStr"/>
      <c r="L178" t="n">
        <v>11.95</v>
      </c>
    </row>
    <row r="179">
      <c r="A179" s="1">
        <f>Hyperlink("https://www.wallsandfloors.co.uk/harbour-rust-tiles","Product")</f>
        <v/>
      </c>
      <c r="B179" s="1" t="inlineStr">
        <is>
          <t>44207</t>
        </is>
      </c>
      <c r="C179" s="1" t="inlineStr">
        <is>
          <t>Harbour Russet Tiles</t>
        </is>
      </c>
      <c r="D179" s="1" t="inlineStr">
        <is>
          <t>330x330x9mm</t>
        </is>
      </c>
      <c r="E179" s="1" t="n">
        <v>25.95</v>
      </c>
      <c r="F179" s="1" t="n">
        <v>-1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Matt</t>
        </is>
      </c>
      <c r="J179" t="n">
        <v>25.95</v>
      </c>
      <c r="K179" t="inlineStr"/>
      <c r="L179" t="n">
        <v>25.95</v>
      </c>
    </row>
    <row r="180">
      <c r="A180" s="1">
        <f>Hyperlink("https://www.wallsandfloors.co.uk/rhian-30x10-tiles-coco-gloss-tiles","Product")</f>
        <v/>
      </c>
      <c r="B180" s="1" t="inlineStr">
        <is>
          <t>8367</t>
        </is>
      </c>
      <c r="C180" s="1" t="inlineStr">
        <is>
          <t>Rhian Coco Taupe Gloss Tiles</t>
        </is>
      </c>
      <c r="D180" s="1" t="inlineStr">
        <is>
          <t>300x100x7mm</t>
        </is>
      </c>
      <c r="E180" s="1" t="n">
        <v>25.95</v>
      </c>
      <c r="F180" s="1" t="n">
        <v>-1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Gloss</t>
        </is>
      </c>
      <c r="J180" t="n">
        <v>25.95</v>
      </c>
      <c r="K180" t="n">
        <v>25.95</v>
      </c>
      <c r="L180" t="n">
        <v>25.95</v>
      </c>
    </row>
    <row r="181">
      <c r="A181" s="1">
        <f>Hyperlink("https://www.wallsandfloors.co.uk/rustic-metro-300x100-cedar-gloss-tiles","Product")</f>
        <v/>
      </c>
      <c r="B181" s="1" t="inlineStr">
        <is>
          <t>15086</t>
        </is>
      </c>
      <c r="C181" s="1" t="inlineStr">
        <is>
          <t>Cedar Blue Rustic Metro Tiles</t>
        </is>
      </c>
      <c r="D181" s="1" t="inlineStr">
        <is>
          <t>300x100x7mm</t>
        </is>
      </c>
      <c r="E181" s="1" t="n">
        <v>20.95</v>
      </c>
      <c r="F181" s="1" t="n">
        <v>-1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Gloss</t>
        </is>
      </c>
      <c r="J181" t="n">
        <v>20.95</v>
      </c>
      <c r="K181" t="inlineStr"/>
      <c r="L181" t="n">
        <v>20.95</v>
      </c>
    </row>
    <row r="182">
      <c r="A182" s="1">
        <f>Hyperlink("https://www.wallsandfloors.co.uk/honey-oak-910x153-anti-slip-tiles","Product")</f>
        <v/>
      </c>
      <c r="B182" s="1" t="inlineStr">
        <is>
          <t>36539</t>
        </is>
      </c>
      <c r="C182" s="1" t="inlineStr">
        <is>
          <t>Muniellos Honey Oak Anti-Slip Wood Effect Tiles</t>
        </is>
      </c>
      <c r="D182" s="1" t="inlineStr">
        <is>
          <t>900x150x10.5mm</t>
        </is>
      </c>
      <c r="E182" s="1" t="n">
        <v>33.95</v>
      </c>
      <c r="F182" s="1" t="n">
        <v>-1</v>
      </c>
      <c r="G182" s="1" t="inlineStr">
        <is>
          <t>SQM</t>
        </is>
      </c>
      <c r="H182" s="1" t="inlineStr">
        <is>
          <t>Porcelain</t>
        </is>
      </c>
      <c r="I182" s="1" t="inlineStr">
        <is>
          <t>Matt</t>
        </is>
      </c>
      <c r="J182" t="n">
        <v>33.95</v>
      </c>
      <c r="K182" t="n">
        <v>33.95</v>
      </c>
      <c r="L182" t="n">
        <v>33.95</v>
      </c>
    </row>
    <row r="183">
      <c r="A183" s="1">
        <f>Hyperlink("https://www.wallsandfloors.co.uk/boutique-brick-slip-chalk-white-brick-tiles","Product")</f>
        <v/>
      </c>
      <c r="B183" s="1" t="inlineStr">
        <is>
          <t>34252</t>
        </is>
      </c>
      <c r="C183" s="1" t="inlineStr">
        <is>
          <t>Boutique Chalk White Brick Slip Tiles</t>
        </is>
      </c>
      <c r="D183" s="1" t="inlineStr">
        <is>
          <t>250x50x7mm</t>
        </is>
      </c>
      <c r="E183" s="1" t="n">
        <v>35.95</v>
      </c>
      <c r="F183" s="1" t="n">
        <v>-1</v>
      </c>
      <c r="G183" s="1" t="inlineStr">
        <is>
          <t>SQM</t>
        </is>
      </c>
      <c r="H183" s="1" t="inlineStr">
        <is>
          <t>Ceramic</t>
        </is>
      </c>
      <c r="I183" s="1" t="inlineStr">
        <is>
          <t>Matt</t>
        </is>
      </c>
      <c r="J183" t="inlineStr"/>
      <c r="K183" t="n">
        <v>35.95</v>
      </c>
      <c r="L183" t="n">
        <v>35.95</v>
      </c>
    </row>
    <row r="184">
      <c r="A184" s="1">
        <f>Hyperlink("https://www.wallsandfloors.co.uk/mapei-adhesive-keraquick-grey-tile-adhesive","Product")</f>
        <v/>
      </c>
      <c r="B184" s="1" t="inlineStr">
        <is>
          <t>10650</t>
        </is>
      </c>
      <c r="C184" s="1" t="inlineStr">
        <is>
          <t>Keraquick Grey Tile Adhesive</t>
        </is>
      </c>
      <c r="D184" s="1" t="inlineStr">
        <is>
          <t>20 Kg</t>
        </is>
      </c>
      <c r="E184" s="1" t="n">
        <v>19.95</v>
      </c>
      <c r="F184" s="1" t="n">
        <v>-1</v>
      </c>
      <c r="G184" s="1" t="inlineStr">
        <is>
          <t>Unit</t>
        </is>
      </c>
      <c r="H184" s="1" t="inlineStr">
        <is>
          <t>Adhesive</t>
        </is>
      </c>
      <c r="I184" s="1" t="inlineStr">
        <is>
          <t>-</t>
        </is>
      </c>
      <c r="J184" t="inlineStr"/>
      <c r="K184" t="n">
        <v>19.95</v>
      </c>
      <c r="L184" t="n">
        <v>19.95</v>
      </c>
    </row>
    <row r="185">
      <c r="A185" s="1">
        <f>Hyperlink("https://www.wallsandfloors.co.uk/mapei-ultracolour-plus-grout-ultracolour-plus-100-white-tile-grout-12926","Product")</f>
        <v/>
      </c>
      <c r="B185" s="1" t="inlineStr">
        <is>
          <t>12926</t>
        </is>
      </c>
      <c r="C185" s="1" t="inlineStr">
        <is>
          <t>Mapei Ultracolour Plus 100 White Tile Grout 2 Kg Per Unit</t>
        </is>
      </c>
      <c r="D185" s="1" t="inlineStr">
        <is>
          <t>2 Kg</t>
        </is>
      </c>
      <c r="E185" s="1" t="n">
        <v>8.949999999999999</v>
      </c>
      <c r="F185" s="1" t="n">
        <v>-1</v>
      </c>
      <c r="G185" s="1" t="inlineStr">
        <is>
          <t>Unit</t>
        </is>
      </c>
      <c r="H185" s="1" t="inlineStr">
        <is>
          <t>Floor Grout</t>
        </is>
      </c>
      <c r="I185" s="1" t="inlineStr">
        <is>
          <t>-</t>
        </is>
      </c>
      <c r="J185" t="n">
        <v>8.949999999999999</v>
      </c>
      <c r="K185" t="n">
        <v>8.949999999999999</v>
      </c>
      <c r="L185" t="n">
        <v>8.949999999999999</v>
      </c>
    </row>
    <row r="186">
      <c r="A186" s="1">
        <f>Hyperlink("https://www.wallsandfloors.co.uk/anti-mould-flexible-tile-grout-black-charcoal-anti-mould-tile-grout-3kg","Product")</f>
        <v/>
      </c>
      <c r="B186" s="1" t="inlineStr">
        <is>
          <t>13814</t>
        </is>
      </c>
      <c r="C186" s="1" t="inlineStr">
        <is>
          <t>Charcoal Anti-Mould Tile Grout 3kg</t>
        </is>
      </c>
      <c r="D186" s="1" t="inlineStr">
        <is>
          <t>3 kg</t>
        </is>
      </c>
      <c r="E186" s="1" t="n">
        <v>10.95</v>
      </c>
      <c r="F186" s="1" t="n">
        <v>-1</v>
      </c>
      <c r="G186" s="1" t="inlineStr">
        <is>
          <t>Unit</t>
        </is>
      </c>
      <c r="H186" s="1" t="inlineStr">
        <is>
          <t>Grout</t>
        </is>
      </c>
      <c r="I186" s="1" t="inlineStr">
        <is>
          <t>-</t>
        </is>
      </c>
      <c r="J186" t="inlineStr"/>
      <c r="K186" t="n">
        <v>10.95</v>
      </c>
      <c r="L186" t="n">
        <v>10.95</v>
      </c>
    </row>
    <row r="187">
      <c r="A187" s="1">
        <f>Hyperlink("https://www.wallsandfloors.co.uk/vena-biana-natural-rustic-gloss-15x7-5-tiles","Product")</f>
        <v/>
      </c>
      <c r="B187" s="1" t="inlineStr">
        <is>
          <t>37885</t>
        </is>
      </c>
      <c r="C187" s="1" t="inlineStr">
        <is>
          <t>Vena Biana Natural/Rustic Gloss 15X7.5 Tiles</t>
        </is>
      </c>
      <c r="D187" s="1" t="inlineStr">
        <is>
          <t>150x75x7.5mm</t>
        </is>
      </c>
      <c r="E187" s="1" t="n">
        <v>26.15</v>
      </c>
      <c r="F187" s="1" t="n">
        <v>-1</v>
      </c>
      <c r="G187" s="1" t="inlineStr">
        <is>
          <t>SQM</t>
        </is>
      </c>
      <c r="H187" s="1" t="inlineStr">
        <is>
          <t>Ceramic</t>
        </is>
      </c>
      <c r="I187" s="1" t="inlineStr">
        <is>
          <t>Gloss</t>
        </is>
      </c>
      <c r="J187" t="n">
        <v>26.15</v>
      </c>
      <c r="K187" t="n">
        <v>26.15</v>
      </c>
      <c r="L187" t="n">
        <v>26.15</v>
      </c>
    </row>
    <row r="188">
      <c r="A188" s="1">
        <f>Hyperlink("https://www.wallsandfloors.co.uk/white-tiles-white-bumpy-gloss-tiles","Product")</f>
        <v/>
      </c>
      <c r="B188" s="1" t="inlineStr">
        <is>
          <t>8201</t>
        </is>
      </c>
      <c r="C188" s="1" t="inlineStr">
        <is>
          <t>White Bumpy Gloss Tiles</t>
        </is>
      </c>
      <c r="D188" s="1" t="inlineStr">
        <is>
          <t>150x150x4mm</t>
        </is>
      </c>
      <c r="E188" s="1" t="n">
        <v>7.99</v>
      </c>
      <c r="F188" s="1" t="n">
        <v>-1</v>
      </c>
      <c r="G188" s="1" t="inlineStr">
        <is>
          <t>SQM</t>
        </is>
      </c>
      <c r="H188" s="1" t="inlineStr">
        <is>
          <t>Ceramic</t>
        </is>
      </c>
      <c r="I188" s="1" t="inlineStr">
        <is>
          <t>Gloss</t>
        </is>
      </c>
      <c r="J188" t="n">
        <v>7.99</v>
      </c>
      <c r="K188" t="n">
        <v>7.99</v>
      </c>
      <c r="L188" t="n">
        <v>7.99</v>
      </c>
    </row>
    <row r="189">
      <c r="A189" s="1">
        <f>Hyperlink("https://www.wallsandfloors.co.uk/waterfall-tiles-antracita-tiles","Product")</f>
        <v/>
      </c>
      <c r="B189" s="1" t="inlineStr">
        <is>
          <t>13247</t>
        </is>
      </c>
      <c r="C189" s="1" t="inlineStr">
        <is>
          <t>Waterfall Textured Grey Split Face Tiles</t>
        </is>
      </c>
      <c r="D189" s="1" t="inlineStr">
        <is>
          <t>560x310x10mm</t>
        </is>
      </c>
      <c r="E189" s="1" t="n">
        <v>29.95</v>
      </c>
      <c r="F189" s="1" t="n">
        <v>-1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n">
        <v>29.95</v>
      </c>
      <c r="K189" t="n">
        <v>29.95</v>
      </c>
      <c r="L189" t="n">
        <v>29.95</v>
      </c>
    </row>
    <row r="190">
      <c r="A190" s="1">
        <f>Hyperlink("https://www.wallsandfloors.co.uk/mumble-h-a-natural-oak-anti-slip-15x90","Product")</f>
        <v/>
      </c>
      <c r="B190" s="1" t="inlineStr">
        <is>
          <t>43387</t>
        </is>
      </c>
      <c r="C190" s="1" t="inlineStr">
        <is>
          <t>Muniellos Oak Anti-Slip Wood Effect Tiles</t>
        </is>
      </c>
      <c r="D190" s="1" t="inlineStr">
        <is>
          <t>900x150x10mm</t>
        </is>
      </c>
      <c r="E190" s="1" t="n">
        <v>33.95</v>
      </c>
      <c r="F190" s="1" t="n">
        <v>-1</v>
      </c>
      <c r="G190" s="1" t="inlineStr">
        <is>
          <t>SQM</t>
        </is>
      </c>
      <c r="H190" s="1" t="inlineStr">
        <is>
          <t>Porcelain</t>
        </is>
      </c>
      <c r="I190" s="1" t="inlineStr">
        <is>
          <t>Matt</t>
        </is>
      </c>
      <c r="J190" t="inlineStr"/>
      <c r="K190" t="n">
        <v>33.95</v>
      </c>
      <c r="L190" t="n">
        <v>33.95</v>
      </c>
    </row>
    <row r="191">
      <c r="A191" s="1">
        <f>Hyperlink("https://www.wallsandfloors.co.uk/mini-metro-150x75-tiles-victorian-blue-tiles","Product")</f>
        <v/>
      </c>
      <c r="B191" s="1" t="inlineStr">
        <is>
          <t>11341</t>
        </is>
      </c>
      <c r="C191" s="1" t="inlineStr">
        <is>
          <t>Victorian Gloss Blue Mini Metro Tiles</t>
        </is>
      </c>
      <c r="D191" s="1" t="inlineStr">
        <is>
          <t>150x75x7mm</t>
        </is>
      </c>
      <c r="E191" s="1" t="n">
        <v>35.95</v>
      </c>
      <c r="F191" s="1" t="n">
        <v>-1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n">
        <v>35.95</v>
      </c>
      <c r="K191" t="n">
        <v>35.95</v>
      </c>
      <c r="L191" t="n">
        <v>35.95</v>
      </c>
    </row>
    <row r="192">
      <c r="A192" s="1">
        <f>Hyperlink("https://www.wallsandfloors.co.uk/mini-metro-150x75-tiles-victorian-green-tiles","Product")</f>
        <v/>
      </c>
      <c r="B192" s="1" t="inlineStr">
        <is>
          <t>11342</t>
        </is>
      </c>
      <c r="C192" s="1" t="inlineStr">
        <is>
          <t>Victorian Gloss Green Mini Metro Tiles</t>
        </is>
      </c>
      <c r="D192" s="1" t="inlineStr">
        <is>
          <t>150x75x7mm</t>
        </is>
      </c>
      <c r="E192" s="1" t="n">
        <v>35.95</v>
      </c>
      <c r="F192" s="1" t="n">
        <v>-1</v>
      </c>
      <c r="G192" s="1" t="inlineStr">
        <is>
          <t>SQM</t>
        </is>
      </c>
      <c r="H192" s="1" t="inlineStr">
        <is>
          <t>Ceramic</t>
        </is>
      </c>
      <c r="I192" s="1" t="inlineStr">
        <is>
          <t>Gloss</t>
        </is>
      </c>
      <c r="J192" t="n">
        <v>35.95</v>
      </c>
      <c r="K192" t="n">
        <v>35.95</v>
      </c>
      <c r="L192" t="n">
        <v>35.95</v>
      </c>
    </row>
    <row r="193">
      <c r="A193" s="1">
        <f>Hyperlink("https://www.wallsandfloors.co.uk/trellis-marrakesh-tiles","Product")</f>
        <v/>
      </c>
      <c r="B193" s="1" t="inlineStr">
        <is>
          <t>44219</t>
        </is>
      </c>
      <c r="C193" s="1" t="inlineStr">
        <is>
          <t>Trellis Marrakesh Tiles</t>
        </is>
      </c>
      <c r="D193" s="1" t="inlineStr">
        <is>
          <t>450x450x9mm</t>
        </is>
      </c>
      <c r="E193" s="1" t="n">
        <v>16.95</v>
      </c>
      <c r="F193" s="1" t="n">
        <v>-1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Matt</t>
        </is>
      </c>
      <c r="J193" t="n">
        <v>16.95</v>
      </c>
      <c r="K193" t="inlineStr"/>
      <c r="L193" t="n">
        <v>16.95</v>
      </c>
    </row>
    <row r="194">
      <c r="A194" s="1">
        <f>Hyperlink("https://www.wallsandfloors.co.uk/antoinette-parquet-cherry-jewel-wood-tiles","Product")</f>
        <v/>
      </c>
      <c r="B194" s="1" t="inlineStr">
        <is>
          <t>38480</t>
        </is>
      </c>
      <c r="C194" s="1" t="inlineStr">
        <is>
          <t>Antoinette Parquet Cherry Jewel Wood Tiles</t>
        </is>
      </c>
      <c r="D194" s="1" t="inlineStr">
        <is>
          <t>800x800x10mm</t>
        </is>
      </c>
      <c r="E194" s="1" t="n">
        <v>43.95</v>
      </c>
      <c r="F194" s="1" t="n">
        <v>-1</v>
      </c>
      <c r="G194" s="1" t="inlineStr">
        <is>
          <t>SQM</t>
        </is>
      </c>
      <c r="H194" s="1" t="inlineStr">
        <is>
          <t>Porcelain</t>
        </is>
      </c>
      <c r="I194" s="1" t="inlineStr">
        <is>
          <t>Matt</t>
        </is>
      </c>
      <c r="J194" t="n">
        <v>43.95</v>
      </c>
      <c r="K194" t="inlineStr"/>
      <c r="L194" t="n">
        <v>43.95</v>
      </c>
    </row>
    <row r="195">
      <c r="A195" s="1">
        <f>Hyperlink("https://www.wallsandfloors.co.uk/white-mate-smooth-2366","Product")</f>
        <v/>
      </c>
      <c r="B195" s="1" t="inlineStr">
        <is>
          <t>2366</t>
        </is>
      </c>
      <c r="C195" s="1" t="inlineStr">
        <is>
          <t>Catalonia Smooth Matt White Wall Tiles</t>
        </is>
      </c>
      <c r="D195" s="1" t="inlineStr">
        <is>
          <t>300x200x7mm</t>
        </is>
      </c>
      <c r="E195" s="1" t="n">
        <v>17.95</v>
      </c>
      <c r="F195" s="1" t="n">
        <v>-1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Matt</t>
        </is>
      </c>
      <c r="J195" t="n">
        <v>17.95</v>
      </c>
      <c r="K195" t="n">
        <v>17.95</v>
      </c>
      <c r="L195" t="n">
        <v>17.95</v>
      </c>
    </row>
    <row r="196">
      <c r="A196" s="1">
        <f>Hyperlink("https://www.wallsandfloors.co.uk/mapei-adhesive-mapestik-ready-mix-d1-tile-adhesive","Product")</f>
        <v/>
      </c>
      <c r="B196" s="1" t="inlineStr">
        <is>
          <t>10654</t>
        </is>
      </c>
      <c r="C196" s="1" t="inlineStr">
        <is>
          <t>Mapestik Ready Mix D1 Tile Adhesive</t>
        </is>
      </c>
      <c r="D196" s="1" t="inlineStr">
        <is>
          <t>15 Kg</t>
        </is>
      </c>
      <c r="E196" s="1" t="n">
        <v>8.949999999999999</v>
      </c>
      <c r="F196" s="1" t="n">
        <v>-1</v>
      </c>
      <c r="G196" s="1" t="inlineStr">
        <is>
          <t>Unit</t>
        </is>
      </c>
      <c r="H196" s="1" t="inlineStr">
        <is>
          <t>Adhesive</t>
        </is>
      </c>
      <c r="I196" s="1" t="inlineStr">
        <is>
          <t>-</t>
        </is>
      </c>
      <c r="J196" t="inlineStr"/>
      <c r="K196" t="n">
        <v>8.949999999999999</v>
      </c>
      <c r="L196" t="n">
        <v>8.949999999999999</v>
      </c>
    </row>
    <row r="197">
      <c r="A197" s="1">
        <f>Hyperlink("https://www.wallsandfloors.co.uk/metro-smooth-200x100-tiles-st-james-smooth-gloss-200x100-yellow-tiles","Product")</f>
        <v/>
      </c>
      <c r="B197" s="1" t="inlineStr">
        <is>
          <t>13659</t>
        </is>
      </c>
      <c r="C197" s="1" t="inlineStr">
        <is>
          <t>Aldgate Gloss Yellow Flat Metro Tiles</t>
        </is>
      </c>
      <c r="D197" s="1" t="inlineStr">
        <is>
          <t>200x100x7mm</t>
        </is>
      </c>
      <c r="E197" s="1" t="n">
        <v>23.95</v>
      </c>
      <c r="F197" s="1" t="n">
        <v>0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Gloss</t>
        </is>
      </c>
      <c r="J197" t="n">
        <v>23.95</v>
      </c>
      <c r="K197" t="inlineStr"/>
      <c r="L197" t="n">
        <v>23.95</v>
      </c>
    </row>
    <row r="198">
      <c r="A198" s="1">
        <f>Hyperlink("https://www.wallsandfloors.co.uk/red-quarry-tiles","Product")</f>
        <v/>
      </c>
      <c r="B198" s="1" t="inlineStr">
        <is>
          <t>13073</t>
        </is>
      </c>
      <c r="C198" s="1" t="inlineStr">
        <is>
          <t>Cava Victorian Red Quarry Tiles</t>
        </is>
      </c>
      <c r="D198" s="1" t="inlineStr">
        <is>
          <t>150x150x8mm</t>
        </is>
      </c>
      <c r="E198" s="1" t="n">
        <v>39.95</v>
      </c>
      <c r="F198" s="1" t="n">
        <v>0</v>
      </c>
      <c r="G198" s="1" t="inlineStr"/>
      <c r="H198" s="1" t="inlineStr">
        <is>
          <t>Porcelain</t>
        </is>
      </c>
      <c r="I198" s="1" t="inlineStr">
        <is>
          <t>Matt</t>
        </is>
      </c>
      <c r="J198" t="n">
        <v>39.95</v>
      </c>
      <c r="K198" t="n">
        <v>39.95</v>
      </c>
      <c r="L198" t="n">
        <v>39.95</v>
      </c>
    </row>
    <row r="199">
      <c r="A199" s="1">
        <f>Hyperlink("https://www.wallsandfloors.co.uk/metropolitan-stone-effect-tiles-grey-stone-effect-tiles","Product")</f>
        <v/>
      </c>
      <c r="B199" s="1" t="inlineStr">
        <is>
          <t>12819</t>
        </is>
      </c>
      <c r="C199" s="1" t="inlineStr">
        <is>
          <t>Grey Stone Effect Tiles</t>
        </is>
      </c>
      <c r="D199" s="1" t="inlineStr">
        <is>
          <t>600x300x10mm</t>
        </is>
      </c>
      <c r="E199" s="1" t="n">
        <v>22.45</v>
      </c>
      <c r="F199" s="1" t="n">
        <v>0</v>
      </c>
      <c r="G199" s="1" t="inlineStr">
        <is>
          <t>SQM</t>
        </is>
      </c>
      <c r="H199" s="1" t="inlineStr">
        <is>
          <t>Porcelain</t>
        </is>
      </c>
      <c r="I199" s="1" t="inlineStr">
        <is>
          <t>Matt</t>
        </is>
      </c>
      <c r="J199" t="inlineStr"/>
      <c r="K199" t="n">
        <v>22.45</v>
      </c>
      <c r="L199" t="n">
        <v>22.45</v>
      </c>
    </row>
    <row r="200">
      <c r="A200" s="1">
        <f>Hyperlink("https://www.wallsandfloors.co.uk/midnight-charcoal-slate-effect-tiles","Product")</f>
        <v/>
      </c>
      <c r="B200" s="1" t="inlineStr">
        <is>
          <t>40287</t>
        </is>
      </c>
      <c r="C200" s="1" t="inlineStr">
        <is>
          <t>Nantlle Valley Midnight Charcoal Slate Effect Tiles</t>
        </is>
      </c>
      <c r="D200" s="1" t="inlineStr">
        <is>
          <t>600x300x10.3mm</t>
        </is>
      </c>
      <c r="E200" s="1" t="n">
        <v>25.95</v>
      </c>
      <c r="F200" s="1" t="n">
        <v>0</v>
      </c>
      <c r="G200" s="1" t="inlineStr">
        <is>
          <t>SQM</t>
        </is>
      </c>
      <c r="H200" s="1" t="inlineStr">
        <is>
          <t>Porcelain</t>
        </is>
      </c>
      <c r="I200" s="1" t="inlineStr">
        <is>
          <t>Matt</t>
        </is>
      </c>
      <c r="J200" t="n">
        <v>25.95</v>
      </c>
      <c r="K200" t="n">
        <v>25.95</v>
      </c>
      <c r="L200" t="n">
        <v>25.95</v>
      </c>
    </row>
    <row r="201">
      <c r="A201" s="1">
        <f>Hyperlink("https://www.wallsandfloors.co.uk/red-octagon-100mm-tiles","Product")</f>
        <v/>
      </c>
      <c r="B201" s="1" t="inlineStr">
        <is>
          <t>990306</t>
        </is>
      </c>
      <c r="C201" s="1" t="inlineStr">
        <is>
          <t>Red Octagon 100mm Tiles</t>
        </is>
      </c>
      <c r="D201" s="1" t="inlineStr">
        <is>
          <t>100x100x9-10mm</t>
        </is>
      </c>
      <c r="E201" s="1" t="n">
        <v>2.37</v>
      </c>
      <c r="F201" s="1" t="n">
        <v>0</v>
      </c>
      <c r="G201" s="1" t="inlineStr">
        <is>
          <t>SQM</t>
        </is>
      </c>
      <c r="H201" s="1" t="inlineStr">
        <is>
          <t>Porcelain</t>
        </is>
      </c>
      <c r="I201" s="1" t="inlineStr">
        <is>
          <t>Matt</t>
        </is>
      </c>
      <c r="J201" t="n">
        <v>2.37</v>
      </c>
      <c r="K201" t="n">
        <v>2.37</v>
      </c>
      <c r="L201" t="n">
        <v>2.37</v>
      </c>
    </row>
    <row r="202">
      <c r="A202" s="1">
        <f>Hyperlink("https://www.wallsandfloors.co.uk/metro-smooth-200x100-tiles-sloane-square-smooth-gloss-200x100-grey-tiles","Product")</f>
        <v/>
      </c>
      <c r="B202" s="1" t="inlineStr">
        <is>
          <t>13655</t>
        </is>
      </c>
      <c r="C202" s="1" t="inlineStr">
        <is>
          <t>Sloane Square Gloss Grey Flat Metro Tiles</t>
        </is>
      </c>
      <c r="D202" s="1" t="inlineStr">
        <is>
          <t>200x100x7mm</t>
        </is>
      </c>
      <c r="E202" s="1" t="n">
        <v>20.95</v>
      </c>
      <c r="F202" s="1" t="n">
        <v>0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Gloss</t>
        </is>
      </c>
      <c r="J202" t="n">
        <v>20.95</v>
      </c>
      <c r="K202" t="n">
        <v>20.95</v>
      </c>
      <c r="L202" t="n">
        <v>20.95</v>
      </c>
    </row>
    <row r="203">
      <c r="A203" s="1">
        <f>Hyperlink("https://www.wallsandfloors.co.uk/reef-mosaic-tiles-seamount-tiles","Product")</f>
        <v/>
      </c>
      <c r="B203" s="1" t="inlineStr">
        <is>
          <t>13331</t>
        </is>
      </c>
      <c r="C203" s="1" t="inlineStr">
        <is>
          <t>Reef Seamount Anti-Slip Mosaic Tiles</t>
        </is>
      </c>
      <c r="D203" s="1" t="inlineStr">
        <is>
          <t>305x305x6mm</t>
        </is>
      </c>
      <c r="E203" s="1" t="n">
        <v>7.95</v>
      </c>
      <c r="F203" s="1" t="n">
        <v>0</v>
      </c>
      <c r="G203" s="1" t="inlineStr">
        <is>
          <t>Sheet</t>
        </is>
      </c>
      <c r="H203" s="1" t="inlineStr">
        <is>
          <t>Porcelain</t>
        </is>
      </c>
      <c r="I203" s="1" t="inlineStr">
        <is>
          <t>Matt</t>
        </is>
      </c>
      <c r="J203" t="n">
        <v>7.95</v>
      </c>
      <c r="K203" t="n">
        <v>7.95</v>
      </c>
      <c r="L203" t="n">
        <v>7.95</v>
      </c>
    </row>
    <row r="204">
      <c r="A204" s="1">
        <f>Hyperlink("https://www.wallsandfloors.co.uk/rebus-living-grey-kinder-decor-tiles","Product")</f>
        <v/>
      </c>
      <c r="B204" s="1" t="inlineStr">
        <is>
          <t>34695</t>
        </is>
      </c>
      <c r="C204" s="1" t="inlineStr">
        <is>
          <t>Grey Kinder Decor Tiles</t>
        </is>
      </c>
      <c r="D204" s="1" t="inlineStr">
        <is>
          <t>400x250x7.5mm</t>
        </is>
      </c>
      <c r="E204" s="1" t="n">
        <v>12.45</v>
      </c>
      <c r="F204" s="1" t="n">
        <v>0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Matt</t>
        </is>
      </c>
      <c r="J204" t="n">
        <v>12.45</v>
      </c>
      <c r="K204" t="n">
        <v>12.45</v>
      </c>
      <c r="L204" t="n">
        <v>12.45</v>
      </c>
    </row>
    <row r="205">
      <c r="A205" s="1">
        <f>Hyperlink("https://www.wallsandfloors.co.uk/raku-white-tiles","Product")</f>
        <v/>
      </c>
      <c r="B205" s="1" t="inlineStr">
        <is>
          <t>44477</t>
        </is>
      </c>
      <c r="C205" s="1" t="inlineStr">
        <is>
          <t>Raku White Tiles</t>
        </is>
      </c>
      <c r="D205" s="1" t="inlineStr">
        <is>
          <t>400x200x10.3mm</t>
        </is>
      </c>
      <c r="E205" s="1" t="n">
        <v>33.95</v>
      </c>
      <c r="F205" s="1" t="n">
        <v>0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Matt</t>
        </is>
      </c>
      <c r="J205" t="n">
        <v>33.95</v>
      </c>
      <c r="K205" t="n">
        <v>33.95</v>
      </c>
      <c r="L205" t="n">
        <v>33.95</v>
      </c>
    </row>
    <row r="206">
      <c r="A206" s="1">
        <f>Hyperlink("https://www.wallsandfloors.co.uk/raku-silver-tiles","Product")</f>
        <v/>
      </c>
      <c r="B206" s="1" t="inlineStr">
        <is>
          <t>44476</t>
        </is>
      </c>
      <c r="C206" s="1" t="inlineStr">
        <is>
          <t>Raku Silver Tiles</t>
        </is>
      </c>
      <c r="D206" s="1" t="inlineStr">
        <is>
          <t>400x200x10.3mm</t>
        </is>
      </c>
      <c r="E206" s="1" t="n">
        <v>33.95</v>
      </c>
      <c r="F206" s="1" t="n">
        <v>0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Matt</t>
        </is>
      </c>
      <c r="J206" t="n">
        <v>33.95</v>
      </c>
      <c r="K206" t="inlineStr"/>
      <c r="L206" t="n">
        <v>33.95</v>
      </c>
    </row>
    <row r="207">
      <c r="A207" s="1">
        <f>Hyperlink("https://www.wallsandfloors.co.uk/raku-sage-tiles","Product")</f>
        <v/>
      </c>
      <c r="B207" s="1" t="inlineStr">
        <is>
          <t>44475</t>
        </is>
      </c>
      <c r="C207" s="1" t="inlineStr">
        <is>
          <t>Raku Sage Tiles</t>
        </is>
      </c>
      <c r="D207" s="1" t="inlineStr">
        <is>
          <t>400x200x10.3mm</t>
        </is>
      </c>
      <c r="E207" s="1" t="n">
        <v>33.95</v>
      </c>
      <c r="F207" s="1" t="n">
        <v>0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Matt</t>
        </is>
      </c>
      <c r="J207" t="n">
        <v>33.95</v>
      </c>
      <c r="K207" t="n">
        <v>33.95</v>
      </c>
      <c r="L207" t="n">
        <v>33.95</v>
      </c>
    </row>
    <row r="208">
      <c r="A208" s="1">
        <f>Hyperlink("https://www.wallsandfloors.co.uk/retro-metro-tiles-bevelled-brick-black-matt-wall-tiles-44327","Product")</f>
        <v/>
      </c>
      <c r="B208" s="1" t="inlineStr">
        <is>
          <t>44280</t>
        </is>
      </c>
      <c r="C208" s="1" t="inlineStr">
        <is>
          <t>Blackheath Matt Black Metro Tiles</t>
        </is>
      </c>
      <c r="D208" s="1" t="inlineStr">
        <is>
          <t>200x100x7mm</t>
        </is>
      </c>
      <c r="E208" s="1" t="n">
        <v>18.95</v>
      </c>
      <c r="F208" s="1" t="n">
        <v>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Matt</t>
        </is>
      </c>
      <c r="J208" t="inlineStr"/>
      <c r="K208" t="n">
        <v>18.95</v>
      </c>
      <c r="L208" t="n">
        <v>18.95</v>
      </c>
    </row>
    <row r="209">
      <c r="A209" s="1">
        <f>Hyperlink("https://www.wallsandfloors.co.uk/raku-cream-tiles","Product")</f>
        <v/>
      </c>
      <c r="B209" s="1" t="inlineStr">
        <is>
          <t>44474</t>
        </is>
      </c>
      <c r="C209" s="1" t="inlineStr">
        <is>
          <t>Raku Cream Tiles</t>
        </is>
      </c>
      <c r="D209" s="1" t="inlineStr">
        <is>
          <t>400x200x10.3mm</t>
        </is>
      </c>
      <c r="E209" s="1" t="n">
        <v>33.95</v>
      </c>
      <c r="F209" s="1" t="n">
        <v>0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Matt</t>
        </is>
      </c>
      <c r="J209" t="inlineStr"/>
      <c r="K209" t="n">
        <v>33.95</v>
      </c>
      <c r="L209" t="n">
        <v>33.95</v>
      </c>
    </row>
    <row r="210">
      <c r="A210" s="1">
        <f>Hyperlink("https://www.wallsandfloors.co.uk/raku-colours-tiles","Product")</f>
        <v/>
      </c>
      <c r="B210" s="1" t="inlineStr">
        <is>
          <t>44473</t>
        </is>
      </c>
      <c r="C210" s="1" t="inlineStr">
        <is>
          <t>Raku Colours Tiles</t>
        </is>
      </c>
      <c r="D210" s="1" t="inlineStr">
        <is>
          <t>400x200x10.3mm</t>
        </is>
      </c>
      <c r="E210" s="1" t="n">
        <v>33.95</v>
      </c>
      <c r="F210" s="1" t="n">
        <v>0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Matt</t>
        </is>
      </c>
      <c r="J210" t="inlineStr"/>
      <c r="K210" t="n">
        <v>33.95</v>
      </c>
      <c r="L210" t="n">
        <v>33.95</v>
      </c>
    </row>
    <row r="211">
      <c r="A211" s="1">
        <f>Hyperlink("https://www.wallsandfloors.co.uk/metro-smooth-200x100-tiles-chalk-farm-smooth-matt-200x100-white-tiles","Product")</f>
        <v/>
      </c>
      <c r="B211" s="1" t="inlineStr">
        <is>
          <t>13637</t>
        </is>
      </c>
      <c r="C211" s="1" t="inlineStr">
        <is>
          <t>Flat Chalk Farm White Matt Tiles</t>
        </is>
      </c>
      <c r="D211" s="1" t="inlineStr">
        <is>
          <t>200x100x7mm</t>
        </is>
      </c>
      <c r="E211" s="1" t="n">
        <v>20.95</v>
      </c>
      <c r="F211" s="1" t="n">
        <v>0</v>
      </c>
      <c r="G211" s="1" t="inlineStr"/>
      <c r="H211" s="1" t="inlineStr">
        <is>
          <t>Ceramic</t>
        </is>
      </c>
      <c r="I211" s="1" t="inlineStr">
        <is>
          <t>Matt</t>
        </is>
      </c>
      <c r="J211" t="n">
        <v>20.95</v>
      </c>
      <c r="K211" t="n">
        <v>20.95</v>
      </c>
      <c r="L211" t="n">
        <v>20.95</v>
      </c>
    </row>
    <row r="212">
      <c r="A212" s="1">
        <f>Hyperlink("https://www.wallsandfloors.co.uk/red-squares-35mm-tiles","Product")</f>
        <v/>
      </c>
      <c r="B212" s="1" t="inlineStr">
        <is>
          <t>990121</t>
        </is>
      </c>
      <c r="C212" s="1" t="inlineStr">
        <is>
          <t>Red Squares 35mm Tiles</t>
        </is>
      </c>
      <c r="D212" s="1" t="inlineStr">
        <is>
          <t>35x35x9-10mm</t>
        </is>
      </c>
      <c r="E212" s="1" t="n">
        <v>1.3</v>
      </c>
      <c r="F212" s="1" t="n">
        <v>0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inlineStr"/>
      <c r="K212" t="inlineStr"/>
      <c r="L212" t="n">
        <v>1.3</v>
      </c>
    </row>
    <row r="213">
      <c r="A213" s="1">
        <f>Hyperlink("https://www.wallsandfloors.co.uk/red-strip-150x50mm-tiles","Product")</f>
        <v/>
      </c>
      <c r="B213" s="1" t="inlineStr">
        <is>
          <t>990281</t>
        </is>
      </c>
      <c r="C213" s="1" t="inlineStr">
        <is>
          <t>Red Strip Tiles</t>
        </is>
      </c>
      <c r="D213" s="1" t="inlineStr">
        <is>
          <t>150x50x9-10mm</t>
        </is>
      </c>
      <c r="E213" s="1" t="n">
        <v>3.2</v>
      </c>
      <c r="F213" s="1" t="n">
        <v>0</v>
      </c>
      <c r="G213" s="1" t="inlineStr">
        <is>
          <t>SQM</t>
        </is>
      </c>
      <c r="H213" s="1" t="inlineStr">
        <is>
          <t>Porcelain</t>
        </is>
      </c>
      <c r="I213" s="1" t="inlineStr">
        <is>
          <t>Matt</t>
        </is>
      </c>
      <c r="J213" t="n">
        <v>3.2</v>
      </c>
      <c r="K213" t="n">
        <v>3.2</v>
      </c>
      <c r="L213" t="n">
        <v>3.2</v>
      </c>
    </row>
    <row r="214">
      <c r="A214" s="1">
        <f>Hyperlink("https://www.wallsandfloors.co.uk/regalio-glass-mosaic-tiles-argent-day-square-mosaic-tiles","Product")</f>
        <v/>
      </c>
      <c r="B214" s="1" t="inlineStr">
        <is>
          <t>14826</t>
        </is>
      </c>
      <c r="C214" s="1" t="inlineStr">
        <is>
          <t>Regalio Argent Day Square Glass Mosaic Tiles</t>
        </is>
      </c>
      <c r="D214" s="1" t="inlineStr">
        <is>
          <t>295x289x8mm</t>
        </is>
      </c>
      <c r="E214" s="1" t="n">
        <v>4.55</v>
      </c>
      <c r="F214" s="1" t="n">
        <v>0</v>
      </c>
      <c r="G214" s="1" t="inlineStr">
        <is>
          <t>Sheet</t>
        </is>
      </c>
      <c r="H214" s="1" t="inlineStr">
        <is>
          <t>Glass</t>
        </is>
      </c>
      <c r="I214" s="1" t="inlineStr">
        <is>
          <t>Gloss</t>
        </is>
      </c>
      <c r="J214" t="n">
        <v>4.55</v>
      </c>
      <c r="K214" t="n">
        <v>4.55</v>
      </c>
      <c r="L214" t="n">
        <v>4.55</v>
      </c>
    </row>
    <row r="215">
      <c r="A215" s="1">
        <f>Hyperlink("https://www.wallsandfloors.co.uk/red-triangle-100x100x140mm-tiles","Product")</f>
        <v/>
      </c>
      <c r="B215" s="1" t="inlineStr">
        <is>
          <t>990231</t>
        </is>
      </c>
      <c r="C215" s="1" t="inlineStr">
        <is>
          <t>Red Triangle Tiles</t>
        </is>
      </c>
      <c r="D215" s="1" t="inlineStr">
        <is>
          <t>100x100x140mm</t>
        </is>
      </c>
      <c r="E215" s="1" t="n">
        <v>3.38</v>
      </c>
      <c r="F215" s="1" t="n">
        <v>0</v>
      </c>
      <c r="G215" s="1" t="inlineStr">
        <is>
          <t>SQM</t>
        </is>
      </c>
      <c r="H215" s="1" t="inlineStr">
        <is>
          <t>Porcelain</t>
        </is>
      </c>
      <c r="I215" s="1" t="inlineStr">
        <is>
          <t>Matt</t>
        </is>
      </c>
      <c r="J215" t="n">
        <v>3.38</v>
      </c>
      <c r="K215" t="n">
        <v>3.38</v>
      </c>
      <c r="L215" t="n">
        <v>3.38</v>
      </c>
    </row>
    <row r="216">
      <c r="A216" s="1">
        <f>Hyperlink("https://www.wallsandfloors.co.uk/red-triangle-35x35x50mm-tiles","Product")</f>
        <v/>
      </c>
      <c r="B216" s="1" t="inlineStr">
        <is>
          <t>990156</t>
        </is>
      </c>
      <c r="C216" s="1" t="inlineStr">
        <is>
          <t>Red Triangle 35x35x50mm Tiles</t>
        </is>
      </c>
      <c r="D216" s="1" t="inlineStr">
        <is>
          <t>35x35x50mm</t>
        </is>
      </c>
      <c r="E216" s="1" t="n">
        <v>1.13</v>
      </c>
      <c r="F216" s="1" t="n">
        <v>0</v>
      </c>
      <c r="G216" s="1" t="inlineStr">
        <is>
          <t>SQM</t>
        </is>
      </c>
      <c r="H216" s="1" t="inlineStr">
        <is>
          <t>Porcelain</t>
        </is>
      </c>
      <c r="I216" s="1" t="inlineStr">
        <is>
          <t>Matt</t>
        </is>
      </c>
      <c r="J216" t="n">
        <v>1.13</v>
      </c>
      <c r="K216" t="n">
        <v>1.13</v>
      </c>
      <c r="L216" t="n">
        <v>1.13</v>
      </c>
    </row>
    <row r="217">
      <c r="A217" s="1">
        <f>Hyperlink("https://www.wallsandfloors.co.uk/red-triangle-50x50x70mm-tiles","Product")</f>
        <v/>
      </c>
      <c r="B217" s="1" t="inlineStr">
        <is>
          <t>990181</t>
        </is>
      </c>
      <c r="C217" s="1" t="inlineStr">
        <is>
          <t>Red Triangle Tiles</t>
        </is>
      </c>
      <c r="D217" s="1" t="inlineStr">
        <is>
          <t>50x50x70mm</t>
        </is>
      </c>
      <c r="E217" s="1" t="n">
        <v>0.97</v>
      </c>
      <c r="F217" s="1" t="n">
        <v>0</v>
      </c>
      <c r="G217" s="1" t="inlineStr">
        <is>
          <t>SQM</t>
        </is>
      </c>
      <c r="H217" s="1" t="inlineStr">
        <is>
          <t>Porcelain</t>
        </is>
      </c>
      <c r="I217" s="1" t="inlineStr">
        <is>
          <t>Matt</t>
        </is>
      </c>
      <c r="J217" t="n">
        <v>0.97</v>
      </c>
      <c r="K217" t="n">
        <v>0.97</v>
      </c>
      <c r="L217" t="n">
        <v>0.97</v>
      </c>
    </row>
    <row r="218">
      <c r="A218" s="1">
        <f>Hyperlink("https://www.wallsandfloors.co.uk/red-triangle-70x70x100mm","Product")</f>
        <v/>
      </c>
      <c r="B218" s="1" t="inlineStr">
        <is>
          <t>990206</t>
        </is>
      </c>
      <c r="C218" s="1" t="inlineStr">
        <is>
          <t>Red Triangle 70x70x100mm Tiles</t>
        </is>
      </c>
      <c r="D218" s="1" t="inlineStr">
        <is>
          <t>70x70x100mm</t>
        </is>
      </c>
      <c r="E218" s="1" t="n">
        <v>2.21</v>
      </c>
      <c r="F218" s="1" t="n">
        <v>0</v>
      </c>
      <c r="G218" s="1" t="inlineStr">
        <is>
          <t>SQM</t>
        </is>
      </c>
      <c r="H218" s="1" t="inlineStr">
        <is>
          <t>Porcelain</t>
        </is>
      </c>
      <c r="I218" s="1" t="inlineStr">
        <is>
          <t>Matt</t>
        </is>
      </c>
      <c r="J218" t="n">
        <v>2.21</v>
      </c>
      <c r="K218" t="n">
        <v>2.21</v>
      </c>
      <c r="L218" t="n">
        <v>2.21</v>
      </c>
    </row>
    <row r="219">
      <c r="A219" s="1">
        <f>Hyperlink("https://www.wallsandfloors.co.uk/reef-mosaic-tiles-atoll-tiles","Product")</f>
        <v/>
      </c>
      <c r="B219" s="1" t="inlineStr">
        <is>
          <t>13330</t>
        </is>
      </c>
      <c r="C219" s="1" t="inlineStr">
        <is>
          <t>Reef Atoll Anti-Slip Mosaic Tiles</t>
        </is>
      </c>
      <c r="D219" s="1" t="inlineStr">
        <is>
          <t>305x305x6mm</t>
        </is>
      </c>
      <c r="E219" s="1" t="n">
        <v>7.95</v>
      </c>
      <c r="F219" s="1" t="n">
        <v>0</v>
      </c>
      <c r="G219" s="1" t="inlineStr"/>
      <c r="H219" s="1" t="inlineStr">
        <is>
          <t>Porcelain</t>
        </is>
      </c>
      <c r="I219" s="1" t="inlineStr">
        <is>
          <t>Matt</t>
        </is>
      </c>
      <c r="J219" t="n">
        <v>7.95</v>
      </c>
      <c r="K219" t="inlineStr"/>
      <c r="L219" t="n">
        <v>7.95</v>
      </c>
    </row>
    <row r="220">
      <c r="A220" s="1">
        <f>Hyperlink("https://www.wallsandfloors.co.uk/reef-mosaic-tiles-cays-tiles","Product")</f>
        <v/>
      </c>
      <c r="B220" s="1" t="inlineStr">
        <is>
          <t>13332</t>
        </is>
      </c>
      <c r="C220" s="1" t="inlineStr">
        <is>
          <t>Reef Cays Anti-Slip Mosaic Tiles</t>
        </is>
      </c>
      <c r="D220" s="1" t="inlineStr">
        <is>
          <t>305x305x6mm</t>
        </is>
      </c>
      <c r="E220" s="1" t="n">
        <v>7.95</v>
      </c>
      <c r="F220" s="1" t="n">
        <v>0</v>
      </c>
      <c r="G220" s="1" t="inlineStr">
        <is>
          <t>Sheet</t>
        </is>
      </c>
      <c r="H220" s="1" t="inlineStr">
        <is>
          <t>Porcelain</t>
        </is>
      </c>
      <c r="I220" s="1" t="inlineStr">
        <is>
          <t>Matt</t>
        </is>
      </c>
      <c r="J220" t="n">
        <v>7.95</v>
      </c>
      <c r="K220" t="n">
        <v>7.95</v>
      </c>
      <c r="L220" t="n">
        <v>7.95</v>
      </c>
    </row>
    <row r="221">
      <c r="A221" s="1">
        <f>Hyperlink("https://www.wallsandfloors.co.uk/metro-smooth-200x100-tiles-marble-arch-smooth-gloss-200x100-grey-tiles","Product")</f>
        <v/>
      </c>
      <c r="B221" s="1" t="inlineStr">
        <is>
          <t>13647</t>
        </is>
      </c>
      <c r="C221" s="1" t="inlineStr">
        <is>
          <t>Flat Marble Arch Grey Gloss Tiles</t>
        </is>
      </c>
      <c r="D221" s="1" t="inlineStr">
        <is>
          <t>200x100x7mm</t>
        </is>
      </c>
      <c r="E221" s="1" t="n">
        <v>20.95</v>
      </c>
      <c r="F221" s="1" t="n">
        <v>0</v>
      </c>
      <c r="G221" s="1" t="inlineStr">
        <is>
          <t>SQM</t>
        </is>
      </c>
      <c r="H221" s="1" t="inlineStr">
        <is>
          <t>Ceramic</t>
        </is>
      </c>
      <c r="I221" s="1" t="inlineStr">
        <is>
          <t>Gloss</t>
        </is>
      </c>
      <c r="J221" t="n">
        <v>20.95</v>
      </c>
      <c r="K221" t="n">
        <v>20.95</v>
      </c>
      <c r="L221" t="n">
        <v>20.95</v>
      </c>
    </row>
    <row r="222">
      <c r="A222" s="1">
        <f>Hyperlink("https://www.wallsandfloors.co.uk/regalio-glass-mosaic-tiles-argent-night-square-mix-tiles","Product")</f>
        <v/>
      </c>
      <c r="B222" s="1" t="inlineStr">
        <is>
          <t>14825</t>
        </is>
      </c>
      <c r="C222" s="1" t="inlineStr">
        <is>
          <t>Regalio Argent Night Square Mix Mosaic Tiles</t>
        </is>
      </c>
      <c r="D222" s="1" t="inlineStr">
        <is>
          <t>295x289x8mm</t>
        </is>
      </c>
      <c r="E222" s="1" t="n">
        <v>5.65</v>
      </c>
      <c r="F222" s="1" t="n">
        <v>0</v>
      </c>
      <c r="G222" s="1" t="inlineStr">
        <is>
          <t>Sheet</t>
        </is>
      </c>
      <c r="H222" s="1" t="inlineStr">
        <is>
          <t>Glass</t>
        </is>
      </c>
      <c r="I222" s="1" t="inlineStr">
        <is>
          <t>Gloss</t>
        </is>
      </c>
      <c r="J222" t="n">
        <v>5.65</v>
      </c>
      <c r="K222" t="n">
        <v>5.65</v>
      </c>
      <c r="L222" t="n">
        <v>5.65</v>
      </c>
    </row>
    <row r="223">
      <c r="A223" s="1">
        <f>Hyperlink("https://www.wallsandfloors.co.uk/reef-mosaic-tiles-patch-tiles","Product")</f>
        <v/>
      </c>
      <c r="B223" s="1" t="inlineStr">
        <is>
          <t>13333</t>
        </is>
      </c>
      <c r="C223" s="1" t="inlineStr">
        <is>
          <t>Reef Patch Anti-Slip Mosaic Tiles</t>
        </is>
      </c>
      <c r="D223" s="1" t="inlineStr">
        <is>
          <t>305x305x6mm</t>
        </is>
      </c>
      <c r="E223" s="1" t="n">
        <v>7.95</v>
      </c>
      <c r="F223" s="1" t="n">
        <v>0</v>
      </c>
      <c r="G223" s="1" t="inlineStr">
        <is>
          <t>Sheet</t>
        </is>
      </c>
      <c r="H223" s="1" t="inlineStr">
        <is>
          <t>Porcelain</t>
        </is>
      </c>
      <c r="I223" s="1" t="inlineStr">
        <is>
          <t>Matt</t>
        </is>
      </c>
      <c r="J223" t="n">
        <v>7.95</v>
      </c>
      <c r="K223" t="n">
        <v>7.95</v>
      </c>
      <c r="L223" t="n">
        <v>7.95</v>
      </c>
    </row>
    <row r="224">
      <c r="A224" s="1">
        <f>Hyperlink("https://www.wallsandfloors.co.uk/metro-smooth-200x100-tiles-kentish-town-smooth-gloss-200x100-grey-tiles","Product")</f>
        <v/>
      </c>
      <c r="B224" s="1" t="inlineStr">
        <is>
          <t>13641</t>
        </is>
      </c>
      <c r="C224" s="1" t="inlineStr">
        <is>
          <t>Flat Kentish Town Grey Gloss Tiles</t>
        </is>
      </c>
      <c r="D224" s="1" t="inlineStr">
        <is>
          <t>200x100x7mm</t>
        </is>
      </c>
      <c r="E224" s="1" t="n">
        <v>23.95</v>
      </c>
      <c r="F224" s="1" t="n">
        <v>0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Gloss</t>
        </is>
      </c>
      <c r="J224" t="n">
        <v>23.95</v>
      </c>
      <c r="K224" t="n">
        <v>23.95</v>
      </c>
      <c r="L224" t="n">
        <v>23.95</v>
      </c>
    </row>
    <row r="225">
      <c r="A225" s="1">
        <f>Hyperlink("https://www.wallsandfloors.co.uk/regalio-glass-mosaic-tiles-argent-night-brick-mix-tiles","Product")</f>
        <v/>
      </c>
      <c r="B225" s="1" t="inlineStr">
        <is>
          <t>14823</t>
        </is>
      </c>
      <c r="C225" s="1" t="inlineStr">
        <is>
          <t>Regalio Argent Night Brick Mix Mosaic Tiles</t>
        </is>
      </c>
      <c r="D225" s="1" t="inlineStr">
        <is>
          <t>300x306x8mm</t>
        </is>
      </c>
      <c r="E225" s="1" t="n">
        <v>4.95</v>
      </c>
      <c r="F225" s="1" t="n">
        <v>0</v>
      </c>
      <c r="G225" s="1" t="inlineStr">
        <is>
          <t>Sheet</t>
        </is>
      </c>
      <c r="H225" s="1" t="inlineStr">
        <is>
          <t>Glass</t>
        </is>
      </c>
      <c r="I225" s="1" t="inlineStr">
        <is>
          <t>Gloss</t>
        </is>
      </c>
      <c r="J225" t="n">
        <v>4.95</v>
      </c>
      <c r="K225" t="n">
        <v>4.95</v>
      </c>
      <c r="L225" t="n">
        <v>4.95</v>
      </c>
    </row>
    <row r="226">
      <c r="A226" s="1">
        <f>Hyperlink("https://www.wallsandfloors.co.uk/metro-smooth-200x100-tiles-covent-garden-smooth-gloss-pink-tiles","Product")</f>
        <v/>
      </c>
      <c r="B226" s="1" t="inlineStr">
        <is>
          <t>44298</t>
        </is>
      </c>
      <c r="C226" s="1" t="inlineStr">
        <is>
          <t>Covent Garden Gloss Pink Flat Metro Tiles</t>
        </is>
      </c>
      <c r="D226" s="1" t="inlineStr">
        <is>
          <t>200x100x7mm</t>
        </is>
      </c>
      <c r="E226" s="1" t="n">
        <v>23.95</v>
      </c>
      <c r="F226" s="1" t="n">
        <v>0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inlineStr"/>
      <c r="K226" t="inlineStr"/>
      <c r="L226" t="n">
        <v>23.95</v>
      </c>
    </row>
    <row r="227">
      <c r="A227" s="1">
        <f>Hyperlink("https://www.wallsandfloors.co.uk/metro-smooth-200x100-tiles-hatton-cross-smooth-gloss-200x100-grey-tiles","Product")</f>
        <v/>
      </c>
      <c r="B227" s="1" t="inlineStr">
        <is>
          <t>13638</t>
        </is>
      </c>
      <c r="C227" s="1" t="inlineStr">
        <is>
          <t>Flat Hatton Cross Grey Gloss Tiles</t>
        </is>
      </c>
      <c r="D227" s="1" t="inlineStr">
        <is>
          <t>200x100x7mm</t>
        </is>
      </c>
      <c r="E227" s="1" t="n">
        <v>23.95</v>
      </c>
      <c r="F227" s="1" t="n">
        <v>0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23.95</v>
      </c>
      <c r="K227" t="n">
        <v>23.95</v>
      </c>
      <c r="L227" t="n">
        <v>23.95</v>
      </c>
    </row>
    <row r="228">
      <c r="A228" s="1">
        <f>Hyperlink("https://www.wallsandfloors.co.uk/red-squares-50mm-tiles","Product")</f>
        <v/>
      </c>
      <c r="B228" s="1" t="inlineStr">
        <is>
          <t>990096</t>
        </is>
      </c>
      <c r="C228" s="1" t="inlineStr">
        <is>
          <t>Red Squares 50mm Tiles</t>
        </is>
      </c>
      <c r="D228" s="1" t="inlineStr">
        <is>
          <t>50x50x9-10mm</t>
        </is>
      </c>
      <c r="E228" s="1" t="n">
        <v>2.95</v>
      </c>
      <c r="F228" s="1" t="n">
        <v>0</v>
      </c>
      <c r="G228" s="1" t="inlineStr">
        <is>
          <t>Tile</t>
        </is>
      </c>
      <c r="H228" s="1" t="inlineStr">
        <is>
          <t>Porcelain</t>
        </is>
      </c>
      <c r="I228" s="1" t="inlineStr">
        <is>
          <t>Matt</t>
        </is>
      </c>
      <c r="J228" t="n">
        <v>2.95</v>
      </c>
      <c r="K228" t="inlineStr"/>
      <c r="L228" t="n">
        <v>2.95</v>
      </c>
    </row>
    <row r="229">
      <c r="A229" s="1">
        <f>Hyperlink("https://www.wallsandfloors.co.uk/mimosa-marble-calacatta-white-gold-120x60-tiles","Product")</f>
        <v/>
      </c>
      <c r="B229" s="1" t="inlineStr">
        <is>
          <t>38474</t>
        </is>
      </c>
      <c r="C229" s="1" t="inlineStr">
        <is>
          <t>Mimosa White Gold Calacatta Marble Effect Tiles</t>
        </is>
      </c>
      <c r="D229" s="1" t="inlineStr">
        <is>
          <t>1200x600x10mm</t>
        </is>
      </c>
      <c r="E229" s="1" t="n">
        <v>64.95</v>
      </c>
      <c r="F229" s="1" t="n">
        <v>0</v>
      </c>
      <c r="G229" s="1" t="inlineStr">
        <is>
          <t>SQM</t>
        </is>
      </c>
      <c r="H229" s="1" t="inlineStr">
        <is>
          <t>Porcelain</t>
        </is>
      </c>
      <c r="I229" s="1" t="inlineStr">
        <is>
          <t>Polished</t>
        </is>
      </c>
      <c r="J229" t="n">
        <v>64.95</v>
      </c>
      <c r="K229" t="inlineStr"/>
      <c r="L229" t="n">
        <v>64.95</v>
      </c>
    </row>
    <row r="230">
      <c r="A230" s="1">
        <f>Hyperlink("https://www.wallsandfloors.co.uk/raffinato-lilla-marble-effect-tiles-white-carrara-marble-effect-stripe-tiles","Product")</f>
        <v/>
      </c>
      <c r="B230" s="1" t="inlineStr">
        <is>
          <t>15232</t>
        </is>
      </c>
      <c r="C230" s="1" t="inlineStr">
        <is>
          <t>White Carrara Marble Effect Stripe Ceramic Wall  Tiles</t>
        </is>
      </c>
      <c r="D230" s="1" t="inlineStr">
        <is>
          <t>600x200x8.3mm</t>
        </is>
      </c>
      <c r="E230" s="1" t="n">
        <v>14.95</v>
      </c>
      <c r="F230" s="1" t="n">
        <v>0</v>
      </c>
      <c r="G230" s="1" t="inlineStr">
        <is>
          <t>SQM</t>
        </is>
      </c>
      <c r="H230" s="1" t="inlineStr">
        <is>
          <t>Ceramic</t>
        </is>
      </c>
      <c r="I230" s="1" t="inlineStr">
        <is>
          <t>Gloss</t>
        </is>
      </c>
      <c r="J230" t="n">
        <v>14.95</v>
      </c>
      <c r="K230" t="n">
        <v>14.95</v>
      </c>
      <c r="L230" t="n">
        <v>14.95</v>
      </c>
    </row>
    <row r="231">
      <c r="A231" s="1">
        <f>Hyperlink("https://www.wallsandfloors.co.uk/raffinato-lilla-marble-effect-tiles-white-carrara-marble-effect-wall-tiles","Product")</f>
        <v/>
      </c>
      <c r="B231" s="1" t="inlineStr">
        <is>
          <t>15231</t>
        </is>
      </c>
      <c r="C231" s="1" t="inlineStr">
        <is>
          <t>White Gloss Carrara Marble Effect Ceramic Wall Tiles</t>
        </is>
      </c>
      <c r="D231" s="1" t="inlineStr">
        <is>
          <t>600x200x8.3mm</t>
        </is>
      </c>
      <c r="E231" s="1" t="n">
        <v>12.95</v>
      </c>
      <c r="F231" s="1" t="n">
        <v>0</v>
      </c>
      <c r="G231" s="1" t="inlineStr">
        <is>
          <t>SQM</t>
        </is>
      </c>
      <c r="H231" s="1" t="inlineStr">
        <is>
          <t>Ceramic</t>
        </is>
      </c>
      <c r="I231" s="1" t="inlineStr">
        <is>
          <t>Gloss</t>
        </is>
      </c>
      <c r="J231" t="n">
        <v>12.95</v>
      </c>
      <c r="K231" t="n">
        <v>12.95</v>
      </c>
      <c r="L231" t="n">
        <v>12.95</v>
      </c>
    </row>
    <row r="232">
      <c r="A232" s="1">
        <f>Hyperlink("https://www.wallsandfloors.co.uk/prismatics-satin-natural-black-white-tiles-white-satin-oblong-prs12-tiles","Product")</f>
        <v/>
      </c>
      <c r="B232" s="1" t="inlineStr">
        <is>
          <t>4595</t>
        </is>
      </c>
      <c r="C232" s="1" t="inlineStr">
        <is>
          <t>Prismatics Satin PRS12 White Wall Tiles</t>
        </is>
      </c>
      <c r="D232" s="1" t="inlineStr">
        <is>
          <t>200x100x6.5mm</t>
        </is>
      </c>
      <c r="E232" s="1" t="n">
        <v>30.95</v>
      </c>
      <c r="F232" s="1" t="n">
        <v>0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Matt</t>
        </is>
      </c>
      <c r="J232" t="n">
        <v>30.95</v>
      </c>
      <c r="K232" t="n">
        <v>30.95</v>
      </c>
      <c r="L232" t="n">
        <v>30.95</v>
      </c>
    </row>
    <row r="233">
      <c r="A233" s="1">
        <f>Hyperlink("https://www.wallsandfloors.co.uk/mini-metro-150x75-tiles-manor-house-tiles","Product")</f>
        <v/>
      </c>
      <c r="B233" s="1" t="inlineStr">
        <is>
          <t>14131</t>
        </is>
      </c>
      <c r="C233" s="1" t="inlineStr">
        <is>
          <t>Manor House Gloss Blue Mini Metro Tiles</t>
        </is>
      </c>
      <c r="D233" s="1" t="inlineStr">
        <is>
          <t>150x75x7mm</t>
        </is>
      </c>
      <c r="E233" s="1" t="n">
        <v>25.95</v>
      </c>
      <c r="F233" s="1" t="n">
        <v>0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Gloss</t>
        </is>
      </c>
      <c r="J233" t="n">
        <v>25.95</v>
      </c>
      <c r="K233" t="n">
        <v>25.95</v>
      </c>
      <c r="L233" t="n">
        <v>25.95</v>
      </c>
    </row>
    <row r="234">
      <c r="A234" s="1">
        <f>Hyperlink("https://www.wallsandfloors.co.uk/mini-metro-150x75-tiles-oxford-circus-cream-tiles","Product")</f>
        <v/>
      </c>
      <c r="B234" s="1" t="inlineStr">
        <is>
          <t>11287</t>
        </is>
      </c>
      <c r="C234" s="1" t="inlineStr">
        <is>
          <t>Oxford Circus Matt Cream Mini Metro Tiles</t>
        </is>
      </c>
      <c r="D234" s="1" t="inlineStr">
        <is>
          <t>150x75x7mm</t>
        </is>
      </c>
      <c r="E234" s="1" t="n">
        <v>25.95</v>
      </c>
      <c r="F234" s="1" t="n">
        <v>0</v>
      </c>
      <c r="G234" s="1" t="inlineStr">
        <is>
          <t>SQM</t>
        </is>
      </c>
      <c r="H234" s="1" t="inlineStr">
        <is>
          <t>Ceramic</t>
        </is>
      </c>
      <c r="I234" s="1" t="inlineStr">
        <is>
          <t>Matt</t>
        </is>
      </c>
      <c r="J234" t="n">
        <v>25.95</v>
      </c>
      <c r="K234" t="n">
        <v>25.95</v>
      </c>
      <c r="L234" t="n">
        <v>25.95</v>
      </c>
    </row>
    <row r="235">
      <c r="A235" s="1">
        <f>Hyperlink("https://www.wallsandfloors.co.uk/mini-metro-150x75-tiles-paddington-purple-tiles-8381","Product")</f>
        <v/>
      </c>
      <c r="B235" s="1" t="inlineStr">
        <is>
          <t>8381</t>
        </is>
      </c>
      <c r="C235" s="1" t="inlineStr">
        <is>
          <t>Paddington Gloss Purple Mini Metro Tiles</t>
        </is>
      </c>
      <c r="D235" s="1" t="inlineStr">
        <is>
          <t>150x75x7mm</t>
        </is>
      </c>
      <c r="E235" s="1" t="n">
        <v>25.95</v>
      </c>
      <c r="F235" s="1" t="n">
        <v>0</v>
      </c>
      <c r="G235" s="1" t="inlineStr">
        <is>
          <t>SQM</t>
        </is>
      </c>
      <c r="H235" s="1" t="inlineStr">
        <is>
          <t>Ceramic</t>
        </is>
      </c>
      <c r="I235" s="1" t="inlineStr">
        <is>
          <t>Gloss</t>
        </is>
      </c>
      <c r="J235" t="n">
        <v>25.95</v>
      </c>
      <c r="K235" t="n">
        <v>25.95</v>
      </c>
      <c r="L235" t="n">
        <v>25.95</v>
      </c>
    </row>
    <row r="236">
      <c r="A236" s="1">
        <f>Hyperlink("https://www.wallsandfloors.co.uk/mini-metro-150x75-tiles-sloane-square-grey-tiles","Product")</f>
        <v/>
      </c>
      <c r="B236" s="1" t="inlineStr">
        <is>
          <t>11143</t>
        </is>
      </c>
      <c r="C236" s="1" t="inlineStr">
        <is>
          <t>Sloane Square Gloss Grey Mini Metro Tiles</t>
        </is>
      </c>
      <c r="D236" s="1" t="inlineStr">
        <is>
          <t>150x75x7mm</t>
        </is>
      </c>
      <c r="E236" s="1" t="n">
        <v>25.95</v>
      </c>
      <c r="F236" s="1" t="n">
        <v>0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25.95</v>
      </c>
      <c r="K236" t="n">
        <v>25.95</v>
      </c>
      <c r="L236" t="n">
        <v>25.95</v>
      </c>
    </row>
    <row r="237">
      <c r="A237" s="1">
        <f>Hyperlink("https://www.wallsandfloors.co.uk/mini-metro-150x75-tiles-st-pauls-red-tiles","Product")</f>
        <v/>
      </c>
      <c r="B237" s="1" t="inlineStr">
        <is>
          <t>8379</t>
        </is>
      </c>
      <c r="C237" s="1" t="inlineStr">
        <is>
          <t>St Pauls Gloss Red Mini Metro Tiles</t>
        </is>
      </c>
      <c r="D237" s="1" t="inlineStr">
        <is>
          <t>150x75x7mm</t>
        </is>
      </c>
      <c r="E237" s="1" t="n">
        <v>25.95</v>
      </c>
      <c r="F237" s="1" t="n">
        <v>0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25.95</v>
      </c>
      <c r="K237" t="n">
        <v>25.95</v>
      </c>
      <c r="L237" t="n">
        <v>25.95</v>
      </c>
    </row>
    <row r="238">
      <c r="A238" s="1">
        <f>Hyperlink("https://www.wallsandfloors.co.uk/mini-metro-150x75-tiles-victoria-cream-tiles","Product")</f>
        <v/>
      </c>
      <c r="B238" s="1" t="inlineStr">
        <is>
          <t>8389</t>
        </is>
      </c>
      <c r="C238" s="1" t="inlineStr">
        <is>
          <t>Victoria Gloss Cream Mini Metro Tiles</t>
        </is>
      </c>
      <c r="D238" s="1" t="inlineStr">
        <is>
          <t>150x75x7mm</t>
        </is>
      </c>
      <c r="E238" s="1" t="n">
        <v>25.95</v>
      </c>
      <c r="F238" s="1" t="n">
        <v>0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25.95</v>
      </c>
      <c r="K238" t="n">
        <v>25.95</v>
      </c>
      <c r="L238" t="n">
        <v>25.95</v>
      </c>
    </row>
    <row r="239">
      <c r="A239" s="1">
        <f>Hyperlink("https://www.wallsandfloors.co.uk/minster-rustic-20mm-tiles","Product")</f>
        <v/>
      </c>
      <c r="B239" s="1" t="inlineStr">
        <is>
          <t>44428</t>
        </is>
      </c>
      <c r="C239" s="1" t="inlineStr">
        <is>
          <t>Minster Rustic Slate Effect Porcelain Paving Slabs</t>
        </is>
      </c>
      <c r="D239" s="1" t="inlineStr">
        <is>
          <t>895x595x20mm</t>
        </is>
      </c>
      <c r="E239" s="1" t="n">
        <v>47.95</v>
      </c>
      <c r="F239" s="1" t="n">
        <v>0</v>
      </c>
      <c r="G239" s="1" t="inlineStr">
        <is>
          <t>SQM</t>
        </is>
      </c>
      <c r="H239" s="1" t="inlineStr">
        <is>
          <t>Porcelain</t>
        </is>
      </c>
      <c r="I239" s="1" t="inlineStr">
        <is>
          <t>Matt</t>
        </is>
      </c>
      <c r="J239" t="n">
        <v>47.95</v>
      </c>
      <c r="K239" t="n">
        <v>47.95</v>
      </c>
      <c r="L239" t="n">
        <v>47.95</v>
      </c>
    </row>
    <row r="240">
      <c r="A240" s="1">
        <f>Hyperlink("https://www.wallsandfloors.co.uk/prismatics-satin-natural-black-white-tiles-white-satin-medium-prs12-tiles","Product")</f>
        <v/>
      </c>
      <c r="B240" s="1" t="inlineStr">
        <is>
          <t>4596</t>
        </is>
      </c>
      <c r="C240" s="1" t="inlineStr">
        <is>
          <t>Prismatics Satin PRS12 White Wall Tiles</t>
        </is>
      </c>
      <c r="D240" s="1" t="inlineStr">
        <is>
          <t>150x150x6.5mm</t>
        </is>
      </c>
      <c r="E240" s="1" t="n">
        <v>22.95</v>
      </c>
      <c r="F240" s="1" t="n">
        <v>0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Matt</t>
        </is>
      </c>
      <c r="J240" t="n">
        <v>22.95</v>
      </c>
      <c r="K240" t="n">
        <v>22.95</v>
      </c>
      <c r="L240" t="n">
        <v>22.95</v>
      </c>
    </row>
    <row r="241">
      <c r="A241" s="1">
        <f>Hyperlink("https://www.wallsandfloors.co.uk/mixx-concrete-oak-wood-tiles","Product")</f>
        <v/>
      </c>
      <c r="B241" s="1" t="inlineStr">
        <is>
          <t>38603</t>
        </is>
      </c>
      <c r="C241" s="1" t="inlineStr">
        <is>
          <t>Mixx Concrete Oak Wood Tiles</t>
        </is>
      </c>
      <c r="D241" s="1" t="inlineStr">
        <is>
          <t>200x100x7mm</t>
        </is>
      </c>
      <c r="E241" s="1" t="n">
        <v>23.99</v>
      </c>
      <c r="F241" s="1" t="n">
        <v>0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Matt</t>
        </is>
      </c>
      <c r="J241" t="n">
        <v>23.99</v>
      </c>
      <c r="K241" t="n">
        <v>23.99</v>
      </c>
      <c r="L241" t="n">
        <v>23.99</v>
      </c>
    </row>
    <row r="242">
      <c r="A242" s="1">
        <f>Hyperlink("https://www.wallsandfloors.co.uk/prismatics-satin-natural-black-white-tiles-shark-satin-small-prs15-tiles","Product")</f>
        <v/>
      </c>
      <c r="B242" s="1" t="inlineStr">
        <is>
          <t>1441</t>
        </is>
      </c>
      <c r="C242" s="1" t="inlineStr">
        <is>
          <t>Shark Satin Small (PRS15) Tiles</t>
        </is>
      </c>
      <c r="D242" s="1" t="inlineStr">
        <is>
          <t>100x100x6.5mm</t>
        </is>
      </c>
      <c r="E242" s="1" t="n">
        <v>44.95</v>
      </c>
      <c r="F242" s="1" t="n">
        <v>0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Matt</t>
        </is>
      </c>
      <c r="J242" t="n">
        <v>44.95</v>
      </c>
      <c r="K242" t="n">
        <v>44.95</v>
      </c>
      <c r="L242" t="n">
        <v>44.95</v>
      </c>
    </row>
    <row r="243">
      <c r="A243" s="1">
        <f>Hyperlink("https://www.wallsandfloors.co.uk/modish-tiles-eggshell-white-matt-tiles","Product")</f>
        <v/>
      </c>
      <c r="B243" s="1" t="inlineStr">
        <is>
          <t>13758</t>
        </is>
      </c>
      <c r="C243" s="1" t="inlineStr">
        <is>
          <t>EggShell White Matt Tiles</t>
        </is>
      </c>
      <c r="D243" s="1" t="inlineStr">
        <is>
          <t>500x250x8mm</t>
        </is>
      </c>
      <c r="E243" s="1" t="n">
        <v>15.95</v>
      </c>
      <c r="F243" s="1" t="n">
        <v>0</v>
      </c>
      <c r="G243" s="1" t="inlineStr">
        <is>
          <t>SQM</t>
        </is>
      </c>
      <c r="H243" s="1" t="inlineStr">
        <is>
          <t>Ceramic</t>
        </is>
      </c>
      <c r="I243" s="1" t="inlineStr">
        <is>
          <t>Matt</t>
        </is>
      </c>
      <c r="J243" t="n">
        <v>15.95</v>
      </c>
      <c r="K243" t="n">
        <v>15.95</v>
      </c>
      <c r="L243" t="n">
        <v>15.95</v>
      </c>
    </row>
    <row r="244">
      <c r="A244" s="1">
        <f>Hyperlink("https://www.wallsandfloors.co.uk/prismatics-satin-natural-black-white-tiles-black-satin-medium-prs13-tiles","Product")</f>
        <v/>
      </c>
      <c r="B244" s="1" t="inlineStr">
        <is>
          <t>4593</t>
        </is>
      </c>
      <c r="C244" s="1" t="inlineStr">
        <is>
          <t>Prismatics Satin PRS13 Black Wall Tiles</t>
        </is>
      </c>
      <c r="D244" s="1" t="inlineStr">
        <is>
          <t>150x150x6.5mm</t>
        </is>
      </c>
      <c r="E244" s="1" t="n">
        <v>41.12</v>
      </c>
      <c r="F244" s="1" t="n">
        <v>0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Matt</t>
        </is>
      </c>
      <c r="J244" t="n">
        <v>41.12</v>
      </c>
      <c r="K244" t="n">
        <v>41.12</v>
      </c>
      <c r="L244" t="n">
        <v>41.12</v>
      </c>
    </row>
    <row r="245">
      <c r="A245" s="1">
        <f>Hyperlink("https://www.wallsandfloors.co.uk/prismatics-micros-tiles-white-shark-medium-prm57-tiles","Product")</f>
        <v/>
      </c>
      <c r="B245" s="1" t="inlineStr">
        <is>
          <t>1447</t>
        </is>
      </c>
      <c r="C245" s="1" t="inlineStr">
        <is>
          <t>Prismatics Gloss PRM57 Speckled Shark White Wall Tiles</t>
        </is>
      </c>
      <c r="D245" s="1" t="inlineStr">
        <is>
          <t>150x150x6.5mm</t>
        </is>
      </c>
      <c r="E245" s="1" t="n">
        <v>26.25</v>
      </c>
      <c r="F245" s="1" t="n">
        <v>0</v>
      </c>
      <c r="G245" s="1" t="inlineStr">
        <is>
          <t>SQM</t>
        </is>
      </c>
      <c r="H245" s="1" t="inlineStr">
        <is>
          <t>Ceramic</t>
        </is>
      </c>
      <c r="I245" s="1" t="inlineStr">
        <is>
          <t>-</t>
        </is>
      </c>
      <c r="J245" t="n">
        <v>26.25</v>
      </c>
      <c r="K245" t="inlineStr"/>
      <c r="L245" t="n">
        <v>26.25</v>
      </c>
    </row>
    <row r="246">
      <c r="A246" s="1">
        <f>Hyperlink("https://www.wallsandfloors.co.uk/modish-tiles-steel-grey-matt-tiles","Product")</f>
        <v/>
      </c>
      <c r="B246" s="1" t="inlineStr">
        <is>
          <t>13753</t>
        </is>
      </c>
      <c r="C246" s="1" t="inlineStr">
        <is>
          <t>Steel Grey Matt Tiles</t>
        </is>
      </c>
      <c r="D246" s="1" t="inlineStr">
        <is>
          <t>500x250x8mm</t>
        </is>
      </c>
      <c r="E246" s="1" t="n">
        <v>10.95</v>
      </c>
      <c r="F246" s="1" t="n">
        <v>0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Matt</t>
        </is>
      </c>
      <c r="J246" t="n">
        <v>10.95</v>
      </c>
      <c r="K246" t="inlineStr"/>
      <c r="L246" t="n">
        <v>10.95</v>
      </c>
    </row>
    <row r="247">
      <c r="A247" s="1">
        <f>Hyperlink("https://www.wallsandfloors.co.uk/prismatics-gloss-red-mauve-tiles-victorian-maroon-medium-prv4-tiles","Product")</f>
        <v/>
      </c>
      <c r="B247" s="1" t="inlineStr">
        <is>
          <t>5322</t>
        </is>
      </c>
      <c r="C247" s="1" t="inlineStr">
        <is>
          <t>Prismatics Gloss PRV4 Victorian Maroon Wall Tiles</t>
        </is>
      </c>
      <c r="D247" s="1" t="inlineStr">
        <is>
          <t>150x150x6.5mm</t>
        </is>
      </c>
      <c r="E247" s="1" t="n">
        <v>44.95</v>
      </c>
      <c r="F247" s="1" t="n">
        <v>0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Gloss</t>
        </is>
      </c>
      <c r="J247" t="n">
        <v>44.95</v>
      </c>
      <c r="K247" t="n">
        <v>44.95</v>
      </c>
      <c r="L247" t="n">
        <v>44.95</v>
      </c>
    </row>
    <row r="248">
      <c r="A248" s="1">
        <f>Hyperlink("https://www.wallsandfloors.co.uk/moon-shimmer-white-tiles","Product")</f>
        <v/>
      </c>
      <c r="B248" s="1" t="inlineStr">
        <is>
          <t>37276</t>
        </is>
      </c>
      <c r="C248" s="1" t="inlineStr">
        <is>
          <t>Crystal Moon White Split Face Tiles</t>
        </is>
      </c>
      <c r="D248" s="1" t="inlineStr">
        <is>
          <t>300x150x6-12mm</t>
        </is>
      </c>
      <c r="E248" s="1" t="n">
        <v>54.95</v>
      </c>
      <c r="F248" s="1" t="n">
        <v>0</v>
      </c>
      <c r="G248" s="1" t="inlineStr">
        <is>
          <t>SQM</t>
        </is>
      </c>
      <c r="H248" s="1" t="inlineStr">
        <is>
          <t>Quartzite</t>
        </is>
      </c>
      <c r="I248" s="1" t="inlineStr">
        <is>
          <t>Matt</t>
        </is>
      </c>
      <c r="J248" t="n">
        <v>54.95</v>
      </c>
      <c r="K248" t="n">
        <v>54.95</v>
      </c>
      <c r="L248" t="n">
        <v>54.95</v>
      </c>
    </row>
    <row r="249">
      <c r="A249" s="1">
        <f>Hyperlink("https://www.wallsandfloors.co.uk/mini-metro-150x75-tiles-knightsbridge-blue-tiles","Product")</f>
        <v/>
      </c>
      <c r="B249" s="1" t="inlineStr">
        <is>
          <t>8393</t>
        </is>
      </c>
      <c r="C249" s="1" t="inlineStr">
        <is>
          <t>Knightsbridge Gloss Blue Gloss Mini Metro Tiles</t>
        </is>
      </c>
      <c r="D249" s="1" t="inlineStr">
        <is>
          <t>150x75x7mm</t>
        </is>
      </c>
      <c r="E249" s="1" t="n">
        <v>25.95</v>
      </c>
      <c r="F249" s="1" t="n">
        <v>0</v>
      </c>
      <c r="G249" s="1" t="inlineStr">
        <is>
          <t>SQM</t>
        </is>
      </c>
      <c r="H249" s="1" t="inlineStr">
        <is>
          <t>Ceramic</t>
        </is>
      </c>
      <c r="I249" s="1" t="inlineStr">
        <is>
          <t>Gloss</t>
        </is>
      </c>
      <c r="J249" t="n">
        <v>25.95</v>
      </c>
      <c r="K249" t="inlineStr"/>
      <c r="L249" t="n">
        <v>25.95</v>
      </c>
    </row>
    <row r="250">
      <c r="A250" s="1">
        <f>Hyperlink("https://www.wallsandfloors.co.uk/pvc-eco-trim-13mmx12mm-white-trim","Product")</f>
        <v/>
      </c>
      <c r="B250" s="1" t="inlineStr">
        <is>
          <t>40206</t>
        </is>
      </c>
      <c r="C250" s="1" t="inlineStr">
        <is>
          <t>12mm PVC Eco 2.5m White Trim</t>
        </is>
      </c>
      <c r="D250" s="1" t="inlineStr">
        <is>
          <t>2.5mx12mm</t>
        </is>
      </c>
      <c r="E250" s="1" t="n">
        <v>3.99</v>
      </c>
      <c r="F250" s="1" t="n">
        <v>0</v>
      </c>
      <c r="G250" s="1" t="inlineStr">
        <is>
          <t>Unit</t>
        </is>
      </c>
      <c r="H250" s="1" t="inlineStr">
        <is>
          <t>Accessories</t>
        </is>
      </c>
      <c r="I250" s="1" t="inlineStr">
        <is>
          <t>-</t>
        </is>
      </c>
      <c r="J250" t="inlineStr"/>
      <c r="K250" t="inlineStr"/>
      <c r="L250" t="n">
        <v>3.99</v>
      </c>
    </row>
    <row r="251">
      <c r="A251" s="1">
        <f>Hyperlink("https://www.wallsandfloors.co.uk/mini-metro-150x75-tiles-hatton-cross-blue-tile","Product")</f>
        <v/>
      </c>
      <c r="B251" s="1" t="inlineStr">
        <is>
          <t>12231</t>
        </is>
      </c>
      <c r="C251" s="1" t="inlineStr">
        <is>
          <t>Hatton Cross Gloss Blue Mini Metro Tiles</t>
        </is>
      </c>
      <c r="D251" s="1" t="inlineStr">
        <is>
          <t>150x75x7mm</t>
        </is>
      </c>
      <c r="E251" s="1" t="n">
        <v>25.95</v>
      </c>
      <c r="F251" s="1" t="n">
        <v>0</v>
      </c>
      <c r="G251" s="1" t="inlineStr">
        <is>
          <t>SQM</t>
        </is>
      </c>
      <c r="H251" s="1" t="inlineStr">
        <is>
          <t>Ceramic</t>
        </is>
      </c>
      <c r="I251" s="1" t="inlineStr">
        <is>
          <t>Gloss</t>
        </is>
      </c>
      <c r="J251" t="n">
        <v>25.95</v>
      </c>
      <c r="K251" t="n">
        <v>25.95</v>
      </c>
      <c r="L251" t="n">
        <v>25.95</v>
      </c>
    </row>
    <row r="252">
      <c r="A252" s="1">
        <f>Hyperlink("https://www.wallsandfloors.co.uk/mini-metro-150x75-tiles-greenwich-park-sage-tiles","Product")</f>
        <v/>
      </c>
      <c r="B252" s="1" t="inlineStr">
        <is>
          <t>12230</t>
        </is>
      </c>
      <c r="C252" s="1" t="inlineStr">
        <is>
          <t>Greenwich Park Gloss Green Mini Metro Tiles</t>
        </is>
      </c>
      <c r="D252" s="1" t="inlineStr">
        <is>
          <t>150x75x7mm</t>
        </is>
      </c>
      <c r="E252" s="1" t="n">
        <v>25.95</v>
      </c>
      <c r="F252" s="1" t="n">
        <v>0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Gloss</t>
        </is>
      </c>
      <c r="J252" t="inlineStr"/>
      <c r="K252" t="n">
        <v>25.95</v>
      </c>
      <c r="L252" t="n">
        <v>25.95</v>
      </c>
    </row>
    <row r="253">
      <c r="A253" s="1">
        <f>Hyperlink("https://www.wallsandfloors.co.uk/raffinato-lilla-marble-effect-tiles-white-carrara-marble-effect-floor-tiles","Product")</f>
        <v/>
      </c>
      <c r="B253" s="1" t="inlineStr">
        <is>
          <t>15228</t>
        </is>
      </c>
      <c r="C253" s="1" t="inlineStr">
        <is>
          <t>White Carrara Marble Effect Ceramic Floor Tiles</t>
        </is>
      </c>
      <c r="D253" s="1" t="inlineStr">
        <is>
          <t>450x450x9mm</t>
        </is>
      </c>
      <c r="E253" s="1" t="n">
        <v>13.95</v>
      </c>
      <c r="F253" s="1" t="n">
        <v>0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n">
        <v>13.95</v>
      </c>
      <c r="K253" t="inlineStr"/>
      <c r="L253" t="n">
        <v>13.95</v>
      </c>
    </row>
    <row r="254">
      <c r="A254" s="1">
        <f>Hyperlink("https://www.wallsandfloors.co.uk/quartzite-mosaic-tiles-green-brick-tiles","Product")</f>
        <v/>
      </c>
      <c r="B254" s="1" t="inlineStr">
        <is>
          <t>8566</t>
        </is>
      </c>
      <c r="C254" s="1" t="inlineStr">
        <is>
          <t>Quartzite Green Brick Mosaic Tiles</t>
        </is>
      </c>
      <c r="D254" s="1" t="inlineStr">
        <is>
          <t>300x300x5mm</t>
        </is>
      </c>
      <c r="E254" s="1" t="n">
        <v>2.7</v>
      </c>
      <c r="F254" s="1" t="n">
        <v>0</v>
      </c>
      <c r="G254" s="1" t="inlineStr">
        <is>
          <t>Sheet</t>
        </is>
      </c>
      <c r="H254" s="1" t="inlineStr">
        <is>
          <t>Quartzite</t>
        </is>
      </c>
      <c r="I254" s="1" t="inlineStr">
        <is>
          <t>Matt</t>
        </is>
      </c>
      <c r="J254" t="n">
        <v>2.7</v>
      </c>
      <c r="K254" t="n">
        <v>2.7</v>
      </c>
      <c r="L254" t="n">
        <v>2.7</v>
      </c>
    </row>
    <row r="255">
      <c r="A255" s="1">
        <f>Hyperlink("https://www.wallsandfloors.co.uk/mimosa-marble-calacatta-white-gold-60x60-tiles","Product")</f>
        <v/>
      </c>
      <c r="B255" s="1" t="inlineStr">
        <is>
          <t>38475</t>
        </is>
      </c>
      <c r="C255" s="1" t="inlineStr">
        <is>
          <t>Mimosa Marble Calacatta White Gold Tiles</t>
        </is>
      </c>
      <c r="D255" s="1" t="inlineStr">
        <is>
          <t>600x600x10mm</t>
        </is>
      </c>
      <c r="E255" s="1" t="n">
        <v>59.95</v>
      </c>
      <c r="F255" s="1" t="n">
        <v>0</v>
      </c>
      <c r="G255" s="1" t="inlineStr">
        <is>
          <t>SQM</t>
        </is>
      </c>
      <c r="H255" s="1" t="inlineStr">
        <is>
          <t>Porcelain</t>
        </is>
      </c>
      <c r="I255" s="1" t="inlineStr">
        <is>
          <t>Polished</t>
        </is>
      </c>
      <c r="J255" t="n">
        <v>59.95</v>
      </c>
      <c r="K255" t="n">
        <v>59.95</v>
      </c>
      <c r="L255" t="n">
        <v>59.95</v>
      </c>
    </row>
    <row r="256">
      <c r="A256" s="1">
        <f>Hyperlink("https://www.wallsandfloors.co.uk/mimosa-marble-valley-white-gold-120x60-tiles","Product")</f>
        <v/>
      </c>
      <c r="B256" s="1" t="inlineStr">
        <is>
          <t>38476</t>
        </is>
      </c>
      <c r="C256" s="1" t="inlineStr">
        <is>
          <t>Mimosa Marble Valley White Gold Tiles</t>
        </is>
      </c>
      <c r="D256" s="1" t="inlineStr">
        <is>
          <t>1200x600x10mm</t>
        </is>
      </c>
      <c r="E256" s="1" t="n">
        <v>64.95</v>
      </c>
      <c r="F256" s="1" t="n">
        <v>0</v>
      </c>
      <c r="G256" s="1" t="inlineStr">
        <is>
          <t>SQM</t>
        </is>
      </c>
      <c r="H256" s="1" t="inlineStr">
        <is>
          <t>Porcelain</t>
        </is>
      </c>
      <c r="I256" s="1" t="inlineStr">
        <is>
          <t>Polished</t>
        </is>
      </c>
      <c r="J256" t="inlineStr"/>
      <c r="K256" t="n">
        <v>64.95</v>
      </c>
      <c r="L256" t="n">
        <v>64.95</v>
      </c>
    </row>
    <row r="257">
      <c r="A257" s="1">
        <f>Hyperlink("https://www.wallsandfloors.co.uk/quarry-red-tiles-round-edge-smooth-quarry-tiles","Product")</f>
        <v/>
      </c>
      <c r="B257" s="1" t="inlineStr">
        <is>
          <t>11490</t>
        </is>
      </c>
      <c r="C257" s="1" t="inlineStr">
        <is>
          <t>Round Edge Smooth Quarry Tiles</t>
        </is>
      </c>
      <c r="D257" s="1" t="inlineStr">
        <is>
          <t>150x150x6mm</t>
        </is>
      </c>
      <c r="E257" s="1" t="n">
        <v>3.95</v>
      </c>
      <c r="F257" s="1" t="n">
        <v>0</v>
      </c>
      <c r="G257" s="1" t="inlineStr">
        <is>
          <t>Tile</t>
        </is>
      </c>
      <c r="H257" s="1" t="inlineStr">
        <is>
          <t>Clay</t>
        </is>
      </c>
      <c r="I257" s="1" t="inlineStr">
        <is>
          <t>Matt</t>
        </is>
      </c>
      <c r="J257" t="n">
        <v>3.95</v>
      </c>
      <c r="K257" t="n">
        <v>3.95</v>
      </c>
      <c r="L257" t="n">
        <v>3.95</v>
      </c>
    </row>
    <row r="258">
      <c r="A258" s="1">
        <f>Hyperlink("https://www.wallsandfloors.co.uk/quarry-red-tiles-rex-corner-smooth-quarry-tiles","Product")</f>
        <v/>
      </c>
      <c r="B258" s="1" t="inlineStr">
        <is>
          <t>11491</t>
        </is>
      </c>
      <c r="C258" s="1" t="inlineStr">
        <is>
          <t>REX Corner Smooth Quarry Tiles</t>
        </is>
      </c>
      <c r="D258" s="1" t="inlineStr">
        <is>
          <t>150x150x6mm</t>
        </is>
      </c>
      <c r="E258" s="1" t="n">
        <v>4.95</v>
      </c>
      <c r="F258" s="1" t="n">
        <v>0</v>
      </c>
      <c r="G258" s="1" t="inlineStr">
        <is>
          <t>Tile</t>
        </is>
      </c>
      <c r="H258" s="1" t="inlineStr">
        <is>
          <t>Clay</t>
        </is>
      </c>
      <c r="I258" s="1" t="inlineStr">
        <is>
          <t>Matt</t>
        </is>
      </c>
      <c r="J258" t="n">
        <v>4.95</v>
      </c>
      <c r="K258" t="n">
        <v>4.95</v>
      </c>
      <c r="L258" t="n">
        <v>4.95</v>
      </c>
    </row>
    <row r="259">
      <c r="A259" s="1">
        <f>Hyperlink("https://www.wallsandfloors.co.uk/mimosa-marble-valley-white-gold-60x60-tiles","Product")</f>
        <v/>
      </c>
      <c r="B259" s="1" t="inlineStr">
        <is>
          <t>38477</t>
        </is>
      </c>
      <c r="C259" s="1" t="inlineStr">
        <is>
          <t>Mimosa Marble Valley White Gold Tiles</t>
        </is>
      </c>
      <c r="D259" s="1" t="inlineStr">
        <is>
          <t>600x600x10mm</t>
        </is>
      </c>
      <c r="E259" s="1" t="n">
        <v>59.95</v>
      </c>
      <c r="F259" s="1" t="n">
        <v>0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Polished</t>
        </is>
      </c>
      <c r="J259" t="inlineStr"/>
      <c r="K259" t="inlineStr"/>
      <c r="L259" t="n">
        <v>59.95</v>
      </c>
    </row>
    <row r="260">
      <c r="A260" s="1">
        <f>Hyperlink("https://www.wallsandfloors.co.uk/mineral-grey-limestone-effect-mosaic-tiles","Product")</f>
        <v/>
      </c>
      <c r="B260" s="1" t="inlineStr">
        <is>
          <t>42613</t>
        </is>
      </c>
      <c r="C260" s="1" t="inlineStr">
        <is>
          <t>Nantlle Valley Mineral Grey Limestone Effect Mosaic Tiles</t>
        </is>
      </c>
      <c r="D260" s="1" t="inlineStr">
        <is>
          <t>300x300x10.3mm</t>
        </is>
      </c>
      <c r="E260" s="1" t="n">
        <v>9.949999999999999</v>
      </c>
      <c r="F260" s="1" t="n">
        <v>0</v>
      </c>
      <c r="G260" s="1" t="inlineStr">
        <is>
          <t>Sheet</t>
        </is>
      </c>
      <c r="H260" s="1" t="inlineStr">
        <is>
          <t>Porcelain</t>
        </is>
      </c>
      <c r="I260" s="1" t="inlineStr">
        <is>
          <t>Matt</t>
        </is>
      </c>
      <c r="J260" t="inlineStr"/>
      <c r="K260" t="inlineStr"/>
      <c r="L260" t="n">
        <v>9.949999999999999</v>
      </c>
    </row>
    <row r="261">
      <c r="A261" s="1">
        <f>Hyperlink("https://www.wallsandfloors.co.uk/raku-black-tiles","Product")</f>
        <v/>
      </c>
      <c r="B261" s="1" t="inlineStr">
        <is>
          <t>44471</t>
        </is>
      </c>
      <c r="C261" s="1" t="inlineStr">
        <is>
          <t>Raku Black Tiles</t>
        </is>
      </c>
      <c r="D261" s="1" t="inlineStr">
        <is>
          <t>400x200x10.3mm</t>
        </is>
      </c>
      <c r="E261" s="1" t="n">
        <v>33.95</v>
      </c>
      <c r="F261" s="1" t="n">
        <v>0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Matt</t>
        </is>
      </c>
      <c r="J261" t="inlineStr"/>
      <c r="K261" t="n">
        <v>33.95</v>
      </c>
      <c r="L261" t="n">
        <v>33.95</v>
      </c>
    </row>
    <row r="262">
      <c r="A262" s="1">
        <f>Hyperlink("https://www.wallsandfloors.co.uk/quarry-red-tiles-red-plain-flat-brick-quarry-tiles","Product")</f>
        <v/>
      </c>
      <c r="B262" s="1" t="inlineStr">
        <is>
          <t>14594</t>
        </is>
      </c>
      <c r="C262" s="1" t="inlineStr">
        <is>
          <t>Red Plain Flat Brick Quarry Tiles</t>
        </is>
      </c>
      <c r="D262" s="1" t="inlineStr">
        <is>
          <t>200x100x6mm</t>
        </is>
      </c>
      <c r="E262" s="1" t="n">
        <v>17.95</v>
      </c>
      <c r="F262" s="1" t="n">
        <v>0</v>
      </c>
      <c r="G262" s="1" t="inlineStr">
        <is>
          <t>SQM</t>
        </is>
      </c>
      <c r="H262" s="1" t="inlineStr">
        <is>
          <t>Clay</t>
        </is>
      </c>
      <c r="I262" s="1" t="inlineStr">
        <is>
          <t>Matt</t>
        </is>
      </c>
      <c r="J262" t="n">
        <v>17.95</v>
      </c>
      <c r="K262" t="inlineStr"/>
      <c r="L262" t="n">
        <v>17.95</v>
      </c>
    </row>
    <row r="263">
      <c r="A263" s="1">
        <f>Hyperlink("https://www.wallsandfloors.co.uk/mingle-brick-sass-tiles","Product")</f>
        <v/>
      </c>
      <c r="B263" s="1" t="inlineStr">
        <is>
          <t>37749</t>
        </is>
      </c>
      <c r="C263" s="1" t="inlineStr">
        <is>
          <t>Mingle Brick Sass Mix Tiles</t>
        </is>
      </c>
      <c r="D263" s="1" t="inlineStr">
        <is>
          <t>200x100x5mm</t>
        </is>
      </c>
      <c r="E263" s="1" t="n">
        <v>30.95</v>
      </c>
      <c r="F263" s="1" t="n">
        <v>0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inlineStr"/>
      <c r="K263" t="n">
        <v>30.95</v>
      </c>
      <c r="L263" t="n">
        <v>30.95</v>
      </c>
    </row>
    <row r="264">
      <c r="A264" s="1">
        <f>Hyperlink("https://www.wallsandfloors.co.uk/mini-metro-150x75-tiles-blackfriars-black-tiles","Product")</f>
        <v/>
      </c>
      <c r="B264" s="1" t="inlineStr">
        <is>
          <t>8378</t>
        </is>
      </c>
      <c r="C264" s="1" t="inlineStr">
        <is>
          <t>Blackfriars Gloss Black Metro Tiles</t>
        </is>
      </c>
      <c r="D264" s="1" t="inlineStr">
        <is>
          <t>150x75x7mm</t>
        </is>
      </c>
      <c r="E264" s="1" t="n">
        <v>25.95</v>
      </c>
      <c r="F264" s="1" t="n">
        <v>0</v>
      </c>
      <c r="G264" s="1" t="inlineStr">
        <is>
          <t>SQM</t>
        </is>
      </c>
      <c r="H264" s="1" t="inlineStr">
        <is>
          <t>Ceramic</t>
        </is>
      </c>
      <c r="I264" s="1" t="inlineStr">
        <is>
          <t>Gloss</t>
        </is>
      </c>
      <c r="J264" t="n">
        <v>25.95</v>
      </c>
      <c r="K264" t="n">
        <v>25.95</v>
      </c>
      <c r="L264" t="n">
        <v>25.95</v>
      </c>
    </row>
    <row r="265">
      <c r="A265" s="1">
        <f>Hyperlink("https://www.wallsandfloors.co.uk/mini-metro-150x75-tiles-canons-park-dark-metallic-tiles","Product")</f>
        <v/>
      </c>
      <c r="B265" s="1" t="inlineStr">
        <is>
          <t>12348</t>
        </is>
      </c>
      <c r="C265" s="1" t="inlineStr">
        <is>
          <t>Canons Park Metallic Gloss Grey Mini Metro Tiles</t>
        </is>
      </c>
      <c r="D265" s="1" t="inlineStr">
        <is>
          <t>150x75x7mm</t>
        </is>
      </c>
      <c r="E265" s="1" t="n">
        <v>30.95</v>
      </c>
      <c r="F265" s="1" t="n">
        <v>0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inlineStr"/>
      <c r="K265" t="n">
        <v>30.95</v>
      </c>
      <c r="L265" t="n">
        <v>30.95</v>
      </c>
    </row>
    <row r="266">
      <c r="A266" s="1">
        <f>Hyperlink("https://www.wallsandfloors.co.uk/quarry-red-tiles-internal-angle-tiles","Product")</f>
        <v/>
      </c>
      <c r="B266" s="1" t="inlineStr">
        <is>
          <t>11488</t>
        </is>
      </c>
      <c r="C266" s="1" t="inlineStr">
        <is>
          <t>Internal Angle Tiles</t>
        </is>
      </c>
      <c r="D266" s="1" t="inlineStr">
        <is>
          <t>150x20x6mm</t>
        </is>
      </c>
      <c r="E266" s="1" t="n">
        <v>4.95</v>
      </c>
      <c r="F266" s="1" t="n">
        <v>0</v>
      </c>
      <c r="G266" s="1" t="inlineStr">
        <is>
          <t>Tile</t>
        </is>
      </c>
      <c r="H266" s="1" t="inlineStr">
        <is>
          <t>Clay</t>
        </is>
      </c>
      <c r="I266" s="1" t="inlineStr">
        <is>
          <t>Matt</t>
        </is>
      </c>
      <c r="J266" t="n">
        <v>4.95</v>
      </c>
      <c r="K266" t="n">
        <v>4.95</v>
      </c>
      <c r="L266" t="n">
        <v>4.95</v>
      </c>
    </row>
    <row r="267">
      <c r="A267" s="1">
        <f>Hyperlink("https://www.wallsandfloors.co.uk/quarry-red-tiles-external-angle-tiles","Product")</f>
        <v/>
      </c>
      <c r="B267" s="1" t="inlineStr">
        <is>
          <t>11486</t>
        </is>
      </c>
      <c r="C267" s="1" t="inlineStr">
        <is>
          <t>External Angle Tiles</t>
        </is>
      </c>
      <c r="D267" s="1" t="inlineStr">
        <is>
          <t>150x35x6mm</t>
        </is>
      </c>
      <c r="E267" s="1" t="n">
        <v>4.95</v>
      </c>
      <c r="F267" s="1" t="n">
        <v>0</v>
      </c>
      <c r="G267" s="1" t="inlineStr">
        <is>
          <t>Tile</t>
        </is>
      </c>
      <c r="H267" s="1" t="inlineStr">
        <is>
          <t>Clay</t>
        </is>
      </c>
      <c r="I267" s="1" t="inlineStr">
        <is>
          <t>Matt</t>
        </is>
      </c>
      <c r="J267" t="n">
        <v>4.95</v>
      </c>
      <c r="K267" t="n">
        <v>4.95</v>
      </c>
      <c r="L267" t="n">
        <v>4.95</v>
      </c>
    </row>
    <row r="268">
      <c r="A268" s="1">
        <f>Hyperlink("https://www.wallsandfloors.co.uk/quarry-red-tiles-cove-skirting-tiles","Product")</f>
        <v/>
      </c>
      <c r="B268" s="1" t="inlineStr">
        <is>
          <t>11485</t>
        </is>
      </c>
      <c r="C268" s="1" t="inlineStr">
        <is>
          <t>Cove/Skirting Tiles</t>
        </is>
      </c>
      <c r="D268" s="1" t="inlineStr">
        <is>
          <t>150x150x6mm</t>
        </is>
      </c>
      <c r="E268" s="1" t="n">
        <v>4.95</v>
      </c>
      <c r="F268" s="1" t="n">
        <v>0</v>
      </c>
      <c r="G268" s="1" t="inlineStr">
        <is>
          <t>Tile</t>
        </is>
      </c>
      <c r="H268" s="1" t="inlineStr">
        <is>
          <t>Clay</t>
        </is>
      </c>
      <c r="I268" s="1" t="inlineStr">
        <is>
          <t>Matt</t>
        </is>
      </c>
      <c r="J268" t="inlineStr"/>
      <c r="K268" t="inlineStr"/>
      <c r="L268" t="n">
        <v>4.95</v>
      </c>
    </row>
    <row r="269">
      <c r="A269" s="1">
        <f>Hyperlink("https://www.wallsandfloors.co.uk/pvc-eco-trim-7mmx6mm-white-trim","Product")</f>
        <v/>
      </c>
      <c r="B269" s="1" t="inlineStr">
        <is>
          <t>40204</t>
        </is>
      </c>
      <c r="C269" s="1" t="inlineStr">
        <is>
          <t>6mm PVC Eco 2.5m White Tile Trim</t>
        </is>
      </c>
      <c r="D269" s="1" t="inlineStr">
        <is>
          <t>7x6mm</t>
        </is>
      </c>
      <c r="E269" s="1" t="n">
        <v>3.99</v>
      </c>
      <c r="F269" s="1" t="n">
        <v>0</v>
      </c>
      <c r="G269" s="1" t="inlineStr">
        <is>
          <t>Unit</t>
        </is>
      </c>
      <c r="H269" s="1" t="inlineStr">
        <is>
          <t>Accessories</t>
        </is>
      </c>
      <c r="I269" s="1" t="inlineStr">
        <is>
          <t>-</t>
        </is>
      </c>
      <c r="J269" t="n">
        <v>3.99</v>
      </c>
      <c r="K269" t="inlineStr"/>
      <c r="L269" t="n">
        <v>3.99</v>
      </c>
    </row>
    <row r="270">
      <c r="A270" s="1">
        <f>Hyperlink("https://www.wallsandfloors.co.uk/mini-metro-150x75-tiles-covent-garden-pink-tiles","Product")</f>
        <v/>
      </c>
      <c r="B270" s="1" t="inlineStr">
        <is>
          <t>8388</t>
        </is>
      </c>
      <c r="C270" s="1" t="inlineStr">
        <is>
          <t>Covent Garden Gloss Pink Mini Metro Tiles</t>
        </is>
      </c>
      <c r="D270" s="1" t="inlineStr">
        <is>
          <t>150x75x7mm</t>
        </is>
      </c>
      <c r="E270" s="1" t="n">
        <v>25.95</v>
      </c>
      <c r="F270" s="1" t="n">
        <v>0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Gloss</t>
        </is>
      </c>
      <c r="J270" t="n">
        <v>25.95</v>
      </c>
      <c r="K270" t="n">
        <v>25.95</v>
      </c>
      <c r="L270" t="n">
        <v>25.95</v>
      </c>
    </row>
    <row r="271">
      <c r="A271" s="1">
        <f>Hyperlink("https://www.wallsandfloors.co.uk/mingle-brick-jazz-tiles","Product")</f>
        <v/>
      </c>
      <c r="B271" s="1" t="inlineStr">
        <is>
          <t>37750</t>
        </is>
      </c>
      <c r="C271" s="1" t="inlineStr">
        <is>
          <t>Mingle Brick Jazz Mix Tiles</t>
        </is>
      </c>
      <c r="D271" s="1" t="inlineStr">
        <is>
          <t>200x100x5mm</t>
        </is>
      </c>
      <c r="E271" s="1" t="n">
        <v>30.95</v>
      </c>
      <c r="F271" s="1" t="n">
        <v>0</v>
      </c>
      <c r="G271" s="1" t="inlineStr">
        <is>
          <t>SQM</t>
        </is>
      </c>
      <c r="H271" s="1" t="inlineStr">
        <is>
          <t>Ceramic</t>
        </is>
      </c>
      <c r="I271" s="1" t="inlineStr">
        <is>
          <t>Gloss</t>
        </is>
      </c>
      <c r="J271" t="n">
        <v>30.95</v>
      </c>
      <c r="K271" t="n">
        <v>30.95</v>
      </c>
      <c r="L271" t="n">
        <v>30.95</v>
      </c>
    </row>
    <row r="272">
      <c r="A272" s="1">
        <f>Hyperlink("https://www.wallsandfloors.co.uk/retro-metro-tiles-bevelled-brick-light-grey-gloss-wall-tiles","Product")</f>
        <v/>
      </c>
      <c r="B272" s="1" t="inlineStr">
        <is>
          <t>20253</t>
        </is>
      </c>
      <c r="C272" s="1" t="inlineStr">
        <is>
          <t>Metro Elephant &amp; Castle Grey Gloss Tiles</t>
        </is>
      </c>
      <c r="D272" s="1" t="inlineStr">
        <is>
          <t>200x100x7mm</t>
        </is>
      </c>
      <c r="E272" s="1" t="n">
        <v>18.95</v>
      </c>
      <c r="F272" s="1" t="n">
        <v>0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inlineStr"/>
      <c r="K272" t="n">
        <v>18.95</v>
      </c>
      <c r="L272" t="n">
        <v>18.95</v>
      </c>
    </row>
    <row r="273">
      <c r="A273" s="1">
        <f>Hyperlink("https://www.wallsandfloors.co.uk/oasis-tiles-beige-haven-mosaic-tiles","Product")</f>
        <v/>
      </c>
      <c r="B273" s="1" t="inlineStr">
        <is>
          <t>14690</t>
        </is>
      </c>
      <c r="C273" s="1" t="inlineStr">
        <is>
          <t>Oasis Beige Haven Mosaic Tiles</t>
        </is>
      </c>
      <c r="D273" s="1" t="inlineStr">
        <is>
          <t>300x300x10mm</t>
        </is>
      </c>
      <c r="E273" s="1" t="n">
        <v>7.95</v>
      </c>
      <c r="F273" s="1" t="n">
        <v>0</v>
      </c>
      <c r="G273" s="1" t="inlineStr">
        <is>
          <t>Sheet</t>
        </is>
      </c>
      <c r="H273" s="1" t="inlineStr">
        <is>
          <t>Porcelain</t>
        </is>
      </c>
      <c r="I273" s="1" t="inlineStr">
        <is>
          <t>Matt</t>
        </is>
      </c>
      <c r="J273" t="n">
        <v>7.95</v>
      </c>
      <c r="K273" t="n">
        <v>7.95</v>
      </c>
      <c r="L273" t="n">
        <v>7.95</v>
      </c>
    </row>
    <row r="274">
      <c r="A274" s="1">
        <f>Hyperlink("https://www.wallsandfloors.co.uk/metro-smooth-150x75-tiles-victoria-tiles","Product")</f>
        <v/>
      </c>
      <c r="B274" s="1" t="inlineStr">
        <is>
          <t>10727</t>
        </is>
      </c>
      <c r="C274" s="1" t="inlineStr">
        <is>
          <t>Victoria Gloss Cream Mini Metro Tiles</t>
        </is>
      </c>
      <c r="D274" s="1" t="inlineStr">
        <is>
          <t>150x75x7mm</t>
        </is>
      </c>
      <c r="E274" s="1" t="n">
        <v>23.95</v>
      </c>
      <c r="F274" s="1" t="n">
        <v>0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Gloss</t>
        </is>
      </c>
      <c r="J274" t="n">
        <v>23.95</v>
      </c>
      <c r="K274" t="n">
        <v>23.95</v>
      </c>
      <c r="L274" t="n">
        <v>23.95</v>
      </c>
    </row>
    <row r="275">
      <c r="A275" s="1">
        <f>Hyperlink("https://www.wallsandfloors.co.uk/metro-200x100-tiles-covent-garden-rosa-pink-tiles","Product")</f>
        <v/>
      </c>
      <c r="B275" s="1" t="inlineStr">
        <is>
          <t>44290</t>
        </is>
      </c>
      <c r="C275" s="1" t="inlineStr">
        <is>
          <t>Covent Garden Gloss Pink Metro Tiles</t>
        </is>
      </c>
      <c r="D275" s="1" t="inlineStr">
        <is>
          <t>200x100x7mm</t>
        </is>
      </c>
      <c r="E275" s="1" t="n">
        <v>20.95</v>
      </c>
      <c r="F275" s="1" t="n">
        <v>0</v>
      </c>
      <c r="G275" s="1" t="inlineStr"/>
      <c r="H275" s="1" t="inlineStr">
        <is>
          <t>Ceramic</t>
        </is>
      </c>
      <c r="I275" s="1" t="inlineStr">
        <is>
          <t>Gloss</t>
        </is>
      </c>
      <c r="J275" t="inlineStr"/>
      <c r="K275" t="n">
        <v>20.95</v>
      </c>
      <c r="L275" t="n">
        <v>20.95</v>
      </c>
    </row>
    <row r="276">
      <c r="A276" s="1">
        <f>Hyperlink("https://www.wallsandfloors.co.uk/ritz-sage-gloss-30x10-tiles","Product")</f>
        <v/>
      </c>
      <c r="B276" s="1" t="inlineStr">
        <is>
          <t>43877</t>
        </is>
      </c>
      <c r="C276" s="1" t="inlineStr">
        <is>
          <t>Ritz Sage Gloss Tiles</t>
        </is>
      </c>
      <c r="D276" s="1" t="inlineStr">
        <is>
          <t>300x100x8mm</t>
        </is>
      </c>
      <c r="E276" s="1" t="n">
        <v>38.95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Gloss</t>
        </is>
      </c>
      <c r="J276" t="inlineStr"/>
      <c r="K276" t="n">
        <v>38.95</v>
      </c>
      <c r="L276" t="n">
        <v>38.95</v>
      </c>
    </row>
    <row r="277">
      <c r="A277" s="1">
        <f>Hyperlink("https://www.wallsandfloors.co.uk/ritz-sage-finishing-strip-gloss-tiles","Product")</f>
        <v/>
      </c>
      <c r="B277" s="1" t="inlineStr">
        <is>
          <t>43875</t>
        </is>
      </c>
      <c r="C277" s="1" t="inlineStr">
        <is>
          <t>Ritz Sage Finishing Strip Gloss Tiles</t>
        </is>
      </c>
      <c r="D277" s="1" t="inlineStr">
        <is>
          <t>300x14x10mm</t>
        </is>
      </c>
      <c r="E277" s="1" t="n">
        <v>3.95</v>
      </c>
      <c r="F277" s="1" t="n">
        <v>0</v>
      </c>
      <c r="G277" s="1" t="inlineStr">
        <is>
          <t>Tile</t>
        </is>
      </c>
      <c r="H277" s="1" t="inlineStr">
        <is>
          <t>Ceramic</t>
        </is>
      </c>
      <c r="I277" s="1" t="inlineStr">
        <is>
          <t>Gloss</t>
        </is>
      </c>
      <c r="J277" t="n">
        <v>3.95</v>
      </c>
      <c r="K277" t="n">
        <v>3.95</v>
      </c>
      <c r="L277" t="n">
        <v>3.95</v>
      </c>
    </row>
    <row r="278">
      <c r="A278" s="1">
        <f>Hyperlink("https://www.wallsandfloors.co.uk/metro-200x100-tiles-knightsbridge-blue-tiles","Product")</f>
        <v/>
      </c>
      <c r="B278" s="1" t="inlineStr">
        <is>
          <t>8415</t>
        </is>
      </c>
      <c r="C278" s="1" t="inlineStr">
        <is>
          <t>Metro Knightsbridge Blue Gloss Tiles</t>
        </is>
      </c>
      <c r="D278" s="1" t="inlineStr">
        <is>
          <t>200x100x7mm</t>
        </is>
      </c>
      <c r="E278" s="1" t="n">
        <v>20.95</v>
      </c>
      <c r="F278" s="1" t="n">
        <v>0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Gloss</t>
        </is>
      </c>
      <c r="J278" t="n">
        <v>20.95</v>
      </c>
      <c r="K278" t="inlineStr"/>
      <c r="L278" t="n">
        <v>20.95</v>
      </c>
    </row>
    <row r="279">
      <c r="A279" s="1">
        <f>Hyperlink("https://www.wallsandfloors.co.uk/ritz-sage-decor-gloss-30x10-tiles","Product")</f>
        <v/>
      </c>
      <c r="B279" s="1" t="inlineStr">
        <is>
          <t>43998</t>
        </is>
      </c>
      <c r="C279" s="1" t="inlineStr">
        <is>
          <t>Ritz Sage Gloss Decor Tiles</t>
        </is>
      </c>
      <c r="D279" s="1" t="inlineStr">
        <is>
          <t>300x100x8mm</t>
        </is>
      </c>
      <c r="E279" s="1" t="n">
        <v>38.95</v>
      </c>
      <c r="F279" s="1" t="n">
        <v>0</v>
      </c>
      <c r="G279" s="1" t="inlineStr">
        <is>
          <t>SQM</t>
        </is>
      </c>
      <c r="H279" s="1" t="inlineStr">
        <is>
          <t>Ceramic</t>
        </is>
      </c>
      <c r="I279" s="1" t="inlineStr">
        <is>
          <t>Gloss</t>
        </is>
      </c>
      <c r="J279" t="n">
        <v>38.95</v>
      </c>
      <c r="K279" t="n">
        <v>38.95</v>
      </c>
      <c r="L279" t="n">
        <v>38.95</v>
      </c>
    </row>
    <row r="280">
      <c r="A280" s="1">
        <f>Hyperlink("https://www.wallsandfloors.co.uk/ritz-petrol-gloss-30x10-tiles","Product")</f>
        <v/>
      </c>
      <c r="B280" s="1" t="inlineStr">
        <is>
          <t>43849</t>
        </is>
      </c>
      <c r="C280" s="1" t="inlineStr">
        <is>
          <t>Ritz Petrol Gloss Tiles</t>
        </is>
      </c>
      <c r="D280" s="1" t="inlineStr">
        <is>
          <t>300x100x8mm</t>
        </is>
      </c>
      <c r="E280" s="1" t="n">
        <v>38.95</v>
      </c>
      <c r="F280" s="1" t="n">
        <v>0</v>
      </c>
      <c r="G280" s="1" t="inlineStr"/>
      <c r="H280" s="1" t="inlineStr">
        <is>
          <t>Ceramic</t>
        </is>
      </c>
      <c r="I280" s="1" t="inlineStr">
        <is>
          <t>Gloss</t>
        </is>
      </c>
      <c r="J280" t="n">
        <v>38.95</v>
      </c>
      <c r="K280" t="n">
        <v>38.95</v>
      </c>
      <c r="L280" t="n">
        <v>38.95</v>
      </c>
    </row>
    <row r="281">
      <c r="A281" s="1">
        <f>Hyperlink("https://www.wallsandfloors.co.uk/ritz-petrol-finishing-strip-gloss-tiles","Product")</f>
        <v/>
      </c>
      <c r="B281" s="1" t="inlineStr">
        <is>
          <t>44005</t>
        </is>
      </c>
      <c r="C281" s="1" t="inlineStr">
        <is>
          <t>Ritz Petrol Finishing Strip Gloss Tiles</t>
        </is>
      </c>
      <c r="D281" s="1" t="inlineStr">
        <is>
          <t>300x14x10mm</t>
        </is>
      </c>
      <c r="E281" s="1" t="n">
        <v>2.95</v>
      </c>
      <c r="F281" s="1" t="n">
        <v>0</v>
      </c>
      <c r="G281" s="1" t="inlineStr">
        <is>
          <t>Tile</t>
        </is>
      </c>
      <c r="H281" s="1" t="inlineStr">
        <is>
          <t>Ceramic</t>
        </is>
      </c>
      <c r="I281" s="1" t="inlineStr">
        <is>
          <t>Gloss</t>
        </is>
      </c>
      <c r="J281" t="inlineStr"/>
      <c r="K281" t="n">
        <v>2.95</v>
      </c>
      <c r="L281" t="n">
        <v>2.95</v>
      </c>
    </row>
    <row r="282">
      <c r="A282" s="1">
        <f>Hyperlink("https://www.wallsandfloors.co.uk/ritz-petrol-decor-gloss-tiles","Product")</f>
        <v/>
      </c>
      <c r="B282" s="1" t="inlineStr">
        <is>
          <t>44006</t>
        </is>
      </c>
      <c r="C282" s="1" t="inlineStr">
        <is>
          <t>Ritz Petrol Decor Gloss Tiles</t>
        </is>
      </c>
      <c r="D282" s="1" t="inlineStr">
        <is>
          <t>300x100x8mm</t>
        </is>
      </c>
      <c r="E282" s="1" t="n">
        <v>38.95</v>
      </c>
      <c r="F282" s="1" t="n">
        <v>0</v>
      </c>
      <c r="G282" s="1" t="inlineStr"/>
      <c r="H282" s="1" t="inlineStr">
        <is>
          <t>Ceramic</t>
        </is>
      </c>
      <c r="I282" s="1" t="inlineStr">
        <is>
          <t>Gloss</t>
        </is>
      </c>
      <c r="J282" t="n">
        <v>38.95</v>
      </c>
      <c r="K282" t="n">
        <v>38.95</v>
      </c>
      <c r="L282" t="n">
        <v>38.95</v>
      </c>
    </row>
    <row r="283">
      <c r="A283" s="1">
        <f>Hyperlink("https://www.wallsandfloors.co.uk/ritz-pebble-gloss-30x10-tiles","Product")</f>
        <v/>
      </c>
      <c r="B283" s="1" t="inlineStr">
        <is>
          <t>44001</t>
        </is>
      </c>
      <c r="C283" s="1" t="inlineStr">
        <is>
          <t>Ritz Pebble Gloss Tiles</t>
        </is>
      </c>
      <c r="D283" s="1" t="inlineStr">
        <is>
          <t>300x100x8mm</t>
        </is>
      </c>
      <c r="E283" s="1" t="n">
        <v>38.95</v>
      </c>
      <c r="F283" s="1" t="n">
        <v>0</v>
      </c>
      <c r="G283" s="1" t="inlineStr"/>
      <c r="H283" s="1" t="inlineStr">
        <is>
          <t>Ceramic</t>
        </is>
      </c>
      <c r="I283" s="1" t="inlineStr">
        <is>
          <t>Gloss</t>
        </is>
      </c>
      <c r="J283" t="n">
        <v>38.95</v>
      </c>
      <c r="K283" t="n">
        <v>38.95</v>
      </c>
      <c r="L283" t="n">
        <v>38.95</v>
      </c>
    </row>
    <row r="284">
      <c r="A284" s="1">
        <f>Hyperlink("https://www.wallsandfloors.co.uk/metro-200x100-tiles-lime-house-green-bevelled-tiles","Product")</f>
        <v/>
      </c>
      <c r="B284" s="1" t="inlineStr">
        <is>
          <t>44548</t>
        </is>
      </c>
      <c r="C284" s="1" t="inlineStr">
        <is>
          <t>Lime House Gloss Green Metro Tiles</t>
        </is>
      </c>
      <c r="D284" s="1" t="inlineStr">
        <is>
          <t>200x100x7mm</t>
        </is>
      </c>
      <c r="E284" s="1" t="n">
        <v>20.95</v>
      </c>
      <c r="F284" s="1" t="n">
        <v>0</v>
      </c>
      <c r="G284" s="1" t="inlineStr"/>
      <c r="H284" s="1" t="inlineStr">
        <is>
          <t>Ceramic</t>
        </is>
      </c>
      <c r="I284" s="1" t="inlineStr">
        <is>
          <t>Gloss</t>
        </is>
      </c>
      <c r="J284" t="n">
        <v>20.95</v>
      </c>
      <c r="K284" t="n">
        <v>20.95</v>
      </c>
      <c r="L284" t="n">
        <v>20.95</v>
      </c>
    </row>
    <row r="285">
      <c r="A285" s="1">
        <f>Hyperlink("https://www.wallsandfloors.co.uk/ritz-pebble-finishing-strip-gloss-tiles","Product")</f>
        <v/>
      </c>
      <c r="B285" s="1" t="inlineStr">
        <is>
          <t>43996</t>
        </is>
      </c>
      <c r="C285" s="1" t="inlineStr">
        <is>
          <t>Ritz Pebble Finishing Strip Gloss Tiles</t>
        </is>
      </c>
      <c r="D285" s="1" t="inlineStr">
        <is>
          <t>300x14x10mm</t>
        </is>
      </c>
      <c r="E285" s="1" t="n">
        <v>2.95</v>
      </c>
      <c r="F285" s="1" t="n">
        <v>0</v>
      </c>
      <c r="G285" s="1" t="inlineStr">
        <is>
          <t>Tile</t>
        </is>
      </c>
      <c r="H285" s="1" t="inlineStr">
        <is>
          <t>Ceramic</t>
        </is>
      </c>
      <c r="I285" s="1" t="inlineStr">
        <is>
          <t>Gloss</t>
        </is>
      </c>
      <c r="J285" t="n">
        <v>2.95</v>
      </c>
      <c r="K285" t="inlineStr"/>
      <c r="L285" t="n">
        <v>2.95</v>
      </c>
    </row>
    <row r="286">
      <c r="A286" s="1">
        <f>Hyperlink("https://www.wallsandfloors.co.uk/ritz-pebble-decor-gloss-tiles","Product")</f>
        <v/>
      </c>
      <c r="B286" s="1" t="inlineStr">
        <is>
          <t>44002</t>
        </is>
      </c>
      <c r="C286" s="1" t="inlineStr">
        <is>
          <t>Ritz Pebble Decor Gloss Tiles</t>
        </is>
      </c>
      <c r="D286" s="1" t="inlineStr">
        <is>
          <t>300x100x8mm</t>
        </is>
      </c>
      <c r="E286" s="1" t="n">
        <v>38.95</v>
      </c>
      <c r="F286" s="1" t="n">
        <v>0</v>
      </c>
      <c r="G286" s="1" t="inlineStr">
        <is>
          <t>SQM</t>
        </is>
      </c>
      <c r="H286" s="1" t="inlineStr">
        <is>
          <t>Ceramic</t>
        </is>
      </c>
      <c r="I286" s="1" t="inlineStr">
        <is>
          <t>Gloss</t>
        </is>
      </c>
      <c r="J286" t="n">
        <v>38.95</v>
      </c>
      <c r="K286" t="n">
        <v>38.95</v>
      </c>
      <c r="L286" t="n">
        <v>38.95</v>
      </c>
    </row>
    <row r="287">
      <c r="A287" s="1">
        <f>Hyperlink("https://www.wallsandfloors.co.uk/ritz-natural-mingle-tiles","Product")</f>
        <v/>
      </c>
      <c r="B287" s="1" t="inlineStr">
        <is>
          <t>44013</t>
        </is>
      </c>
      <c r="C287" s="1" t="inlineStr">
        <is>
          <t>Ritz Natural Mingle Tiles</t>
        </is>
      </c>
      <c r="D287" s="1" t="inlineStr">
        <is>
          <t>200x200x8.5mm</t>
        </is>
      </c>
      <c r="E287" s="1" t="n">
        <v>40.95</v>
      </c>
      <c r="F287" s="1" t="n">
        <v>0</v>
      </c>
      <c r="G287" s="1" t="inlineStr">
        <is>
          <t>SQM</t>
        </is>
      </c>
      <c r="H287" s="1" t="inlineStr">
        <is>
          <t>Porcelain</t>
        </is>
      </c>
      <c r="I287" s="1" t="inlineStr">
        <is>
          <t>Matt</t>
        </is>
      </c>
      <c r="J287" t="n">
        <v>40.95</v>
      </c>
      <c r="K287" t="n">
        <v>40.95</v>
      </c>
      <c r="L287" t="n">
        <v>40.95</v>
      </c>
    </row>
    <row r="288">
      <c r="A288" s="1">
        <f>Hyperlink("https://www.wallsandfloors.co.uk/ritz-marine-gloss-30x10-tiles","Product")</f>
        <v/>
      </c>
      <c r="B288" s="1" t="inlineStr">
        <is>
          <t>44009</t>
        </is>
      </c>
      <c r="C288" s="1" t="inlineStr">
        <is>
          <t>Ritz Marine Gloss Tiles</t>
        </is>
      </c>
      <c r="D288" s="1" t="inlineStr">
        <is>
          <t>300x100x8mm</t>
        </is>
      </c>
      <c r="E288" s="1" t="n">
        <v>38.95</v>
      </c>
      <c r="F288" s="1" t="n">
        <v>0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Gloss</t>
        </is>
      </c>
      <c r="J288" t="inlineStr"/>
      <c r="K288" t="inlineStr"/>
      <c r="L288" t="n">
        <v>38.95</v>
      </c>
    </row>
    <row r="289">
      <c r="A289" s="1">
        <f>Hyperlink("https://www.wallsandfloors.co.uk/ritz-marine-finishing-strip-gloss-tiles","Product")</f>
        <v/>
      </c>
      <c r="B289" s="1" t="inlineStr">
        <is>
          <t>44008</t>
        </is>
      </c>
      <c r="C289" s="1" t="inlineStr">
        <is>
          <t>Ritz Marine Finishing Strip Gloss Tiles</t>
        </is>
      </c>
      <c r="D289" s="1" t="inlineStr">
        <is>
          <t>300x14x10mm</t>
        </is>
      </c>
      <c r="E289" s="1" t="n">
        <v>3.95</v>
      </c>
      <c r="F289" s="1" t="n">
        <v>0</v>
      </c>
      <c r="G289" s="1" t="inlineStr">
        <is>
          <t>Tile</t>
        </is>
      </c>
      <c r="H289" s="1" t="inlineStr">
        <is>
          <t>Ceramic</t>
        </is>
      </c>
      <c r="I289" s="1" t="inlineStr">
        <is>
          <t>Gloss</t>
        </is>
      </c>
      <c r="J289" t="n">
        <v>3.95</v>
      </c>
      <c r="K289" t="inlineStr"/>
      <c r="L289" t="n">
        <v>3.95</v>
      </c>
    </row>
    <row r="290">
      <c r="A290" s="1">
        <f>Hyperlink("https://www.wallsandfloors.co.uk/ritz-marine-decor-gloss-tiles","Product")</f>
        <v/>
      </c>
      <c r="B290" s="1" t="inlineStr">
        <is>
          <t>44010</t>
        </is>
      </c>
      <c r="C290" s="1" t="inlineStr">
        <is>
          <t>Ritz Marine Decor Gloss Tiles</t>
        </is>
      </c>
      <c r="D290" s="1" t="inlineStr">
        <is>
          <t>300x100x8mm</t>
        </is>
      </c>
      <c r="E290" s="1" t="n">
        <v>38.95</v>
      </c>
      <c r="F290" s="1" t="n">
        <v>0</v>
      </c>
      <c r="G290" s="1" t="inlineStr">
        <is>
          <t>SQM</t>
        </is>
      </c>
      <c r="H290" s="1" t="inlineStr">
        <is>
          <t>Ceramic</t>
        </is>
      </c>
      <c r="I290" s="1" t="inlineStr">
        <is>
          <t>Gloss</t>
        </is>
      </c>
      <c r="J290" t="n">
        <v>38.95</v>
      </c>
      <c r="K290" t="n">
        <v>38.95</v>
      </c>
      <c r="L290" t="n">
        <v>38.95</v>
      </c>
    </row>
    <row r="291">
      <c r="A291" s="1">
        <f>Hyperlink("https://www.wallsandfloors.co.uk/ritz-luna-gloss-30x10-tiles","Product")</f>
        <v/>
      </c>
      <c r="B291" s="1" t="inlineStr">
        <is>
          <t>43876</t>
        </is>
      </c>
      <c r="C291" s="1" t="inlineStr">
        <is>
          <t>Ritz Luna Gloss Tiles</t>
        </is>
      </c>
      <c r="D291" s="1" t="inlineStr">
        <is>
          <t>300x100x8mm</t>
        </is>
      </c>
      <c r="E291" s="1" t="n">
        <v>38.95</v>
      </c>
      <c r="F291" s="1" t="n">
        <v>0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38.95</v>
      </c>
      <c r="K291" t="n">
        <v>38.95</v>
      </c>
      <c r="L291" t="n">
        <v>38.95</v>
      </c>
    </row>
    <row r="292">
      <c r="A292" s="1">
        <f>Hyperlink("https://www.wallsandfloors.co.uk/metro-200x100-tiles-bond-street-blue-tiles","Product")</f>
        <v/>
      </c>
      <c r="B292" s="1" t="inlineStr">
        <is>
          <t>11146</t>
        </is>
      </c>
      <c r="C292" s="1" t="inlineStr">
        <is>
          <t>Metro Bond Street Blue Gloss Tiles</t>
        </is>
      </c>
      <c r="D292" s="1" t="inlineStr">
        <is>
          <t>200x100x7mm</t>
        </is>
      </c>
      <c r="E292" s="1" t="n">
        <v>20.95</v>
      </c>
      <c r="F292" s="1" t="n">
        <v>0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Gloss</t>
        </is>
      </c>
      <c r="J292" t="n">
        <v>20.95</v>
      </c>
      <c r="K292" t="n">
        <v>20.95</v>
      </c>
      <c r="L292" t="n">
        <v>20.95</v>
      </c>
    </row>
    <row r="293">
      <c r="A293" s="1">
        <f>Hyperlink("https://www.wallsandfloors.co.uk/metro-200x100-tiles-aldgate-yellow-tiles","Product")</f>
        <v/>
      </c>
      <c r="B293" s="1" t="inlineStr">
        <is>
          <t>8416</t>
        </is>
      </c>
      <c r="C293" s="1" t="inlineStr">
        <is>
          <t>Metro Aldgate Yellow Gloss Tiles</t>
        </is>
      </c>
      <c r="D293" s="1" t="inlineStr">
        <is>
          <t>200x100x7mm</t>
        </is>
      </c>
      <c r="E293" s="1" t="n">
        <v>20.95</v>
      </c>
      <c r="F293" s="1" t="n">
        <v>0</v>
      </c>
      <c r="G293" s="1" t="inlineStr">
        <is>
          <t>SQM</t>
        </is>
      </c>
      <c r="H293" s="1" t="inlineStr">
        <is>
          <t>Ceramic</t>
        </is>
      </c>
      <c r="I293" s="1" t="inlineStr">
        <is>
          <t>Gloss</t>
        </is>
      </c>
      <c r="J293" t="n">
        <v>20.95</v>
      </c>
      <c r="K293" t="inlineStr"/>
      <c r="L293" t="n">
        <v>20.95</v>
      </c>
    </row>
    <row r="294">
      <c r="A294" s="1">
        <f>Hyperlink("https://www.wallsandfloors.co.uk/metallic-bronze-mosaic-4360","Product")</f>
        <v/>
      </c>
      <c r="B294" s="1" t="inlineStr">
        <is>
          <t>4360</t>
        </is>
      </c>
      <c r="C294" s="1" t="inlineStr">
        <is>
          <t>Navarra Metallic Bronze Mosaic Tiles</t>
        </is>
      </c>
      <c r="D294" s="1" t="inlineStr">
        <is>
          <t>300x300x9mm</t>
        </is>
      </c>
      <c r="E294" s="1" t="n">
        <v>19.95</v>
      </c>
      <c r="F294" s="1" t="n">
        <v>0</v>
      </c>
      <c r="G294" s="1" t="inlineStr">
        <is>
          <t>Sheet</t>
        </is>
      </c>
      <c r="H294" s="1" t="inlineStr">
        <is>
          <t>Porcelain</t>
        </is>
      </c>
      <c r="I294" s="1" t="inlineStr">
        <is>
          <t>Satin</t>
        </is>
      </c>
      <c r="J294" t="n">
        <v>19.95</v>
      </c>
      <c r="K294" t="inlineStr"/>
      <c r="L294" t="n">
        <v>19.95</v>
      </c>
    </row>
    <row r="295">
      <c r="A295" s="1">
        <f>Hyperlink("https://www.wallsandfloors.co.uk/ritz-slate-decor-gloss-tiles","Product")</f>
        <v/>
      </c>
      <c r="B295" s="1" t="inlineStr">
        <is>
          <t>44004</t>
        </is>
      </c>
      <c r="C295" s="1" t="inlineStr">
        <is>
          <t>Ritz Slate Decor Gloss Tiles</t>
        </is>
      </c>
      <c r="D295" s="1" t="inlineStr">
        <is>
          <t>300x100x8mm</t>
        </is>
      </c>
      <c r="E295" s="1" t="n">
        <v>38.95</v>
      </c>
      <c r="F295" s="1" t="n">
        <v>0</v>
      </c>
      <c r="G295" s="1" t="inlineStr">
        <is>
          <t>SQM</t>
        </is>
      </c>
      <c r="H295" s="1" t="inlineStr">
        <is>
          <t>Ceramic</t>
        </is>
      </c>
      <c r="I295" s="1" t="inlineStr">
        <is>
          <t>Gloss</t>
        </is>
      </c>
      <c r="J295" t="inlineStr"/>
      <c r="K295" t="inlineStr"/>
      <c r="L295" t="n">
        <v>38.95</v>
      </c>
    </row>
    <row r="296">
      <c r="A296" s="1">
        <f>Hyperlink("https://www.wallsandfloors.co.uk/ritz-tiles-oat-gloss-30x10-tile","Product")</f>
        <v/>
      </c>
      <c r="B296" s="1" t="inlineStr">
        <is>
          <t>12981</t>
        </is>
      </c>
      <c r="C296" s="1" t="inlineStr">
        <is>
          <t>Ritz Oat Gloss Tiles</t>
        </is>
      </c>
      <c r="D296" s="1" t="inlineStr">
        <is>
          <t>300x100x10mm</t>
        </is>
      </c>
      <c r="E296" s="1" t="n">
        <v>37.95</v>
      </c>
      <c r="F296" s="1" t="n">
        <v>0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Gloss</t>
        </is>
      </c>
      <c r="J296" t="inlineStr"/>
      <c r="K296" t="n">
        <v>37.95</v>
      </c>
      <c r="L296" t="n">
        <v>37.95</v>
      </c>
    </row>
    <row r="297">
      <c r="A297" s="1">
        <f>Hyperlink("https://www.wallsandfloors.co.uk/ritz-tiles-oat-gloss-20x10-tile","Product")</f>
        <v/>
      </c>
      <c r="B297" s="1" t="inlineStr">
        <is>
          <t>12980</t>
        </is>
      </c>
      <c r="C297" s="1" t="inlineStr">
        <is>
          <t>Ritz Oat Gloss Tiles</t>
        </is>
      </c>
      <c r="D297" s="1" t="inlineStr">
        <is>
          <t>200x100x6.5mm</t>
        </is>
      </c>
      <c r="E297" s="1" t="n">
        <v>38.95</v>
      </c>
      <c r="F297" s="1" t="n">
        <v>0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Gloss</t>
        </is>
      </c>
      <c r="J297" t="n">
        <v>38.95</v>
      </c>
      <c r="K297" t="n">
        <v>38.95</v>
      </c>
      <c r="L297" t="n">
        <v>38.95</v>
      </c>
    </row>
    <row r="298">
      <c r="A298" s="1">
        <f>Hyperlink("https://www.wallsandfloors.co.uk/ritz-tiles-noir-gloss-decor-tiles","Product")</f>
        <v/>
      </c>
      <c r="B298" s="1" t="inlineStr">
        <is>
          <t>13028</t>
        </is>
      </c>
      <c r="C298" s="1" t="inlineStr">
        <is>
          <t>Noir Gloss Decor Tiles</t>
        </is>
      </c>
      <c r="D298" s="1" t="inlineStr">
        <is>
          <t>300x100x10mm</t>
        </is>
      </c>
      <c r="E298" s="1" t="n">
        <v>37.95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Gloss</t>
        </is>
      </c>
      <c r="J298" t="n">
        <v>37.95</v>
      </c>
      <c r="K298" t="inlineStr"/>
      <c r="L298" t="n">
        <v>37.95</v>
      </c>
    </row>
    <row r="299">
      <c r="A299" s="1">
        <f>Hyperlink("https://www.wallsandfloors.co.uk/ritz-tiles-noir-gloss-30x10-tiles","Product")</f>
        <v/>
      </c>
      <c r="B299" s="1" t="inlineStr">
        <is>
          <t>13027</t>
        </is>
      </c>
      <c r="C299" s="1" t="inlineStr">
        <is>
          <t>Ritz Noir Gloss Tiles</t>
        </is>
      </c>
      <c r="D299" s="1" t="inlineStr">
        <is>
          <t>300x100x10mm</t>
        </is>
      </c>
      <c r="E299" s="1" t="n">
        <v>38.95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Gloss</t>
        </is>
      </c>
      <c r="J299" t="n">
        <v>38.95</v>
      </c>
      <c r="K299" t="n">
        <v>38.95</v>
      </c>
      <c r="L299" t="n">
        <v>38.95</v>
      </c>
    </row>
    <row r="300">
      <c r="A300" s="1">
        <f>Hyperlink("https://www.wallsandfloors.co.uk/ritz-tiles-noir-gloss-20x10-tiles","Product")</f>
        <v/>
      </c>
      <c r="B300" s="1" t="inlineStr">
        <is>
          <t>13026</t>
        </is>
      </c>
      <c r="C300" s="1" t="inlineStr">
        <is>
          <t>Ritz Noir Gloss Tiles</t>
        </is>
      </c>
      <c r="D300" s="1" t="inlineStr">
        <is>
          <t>200x100x6.5mm</t>
        </is>
      </c>
      <c r="E300" s="1" t="n">
        <v>38.95</v>
      </c>
      <c r="F300" s="1" t="n">
        <v>0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inlineStr"/>
      <c r="K300" t="n">
        <v>38.95</v>
      </c>
      <c r="L300" t="n">
        <v>38.95</v>
      </c>
    </row>
    <row r="301">
      <c r="A301" s="1">
        <f>Hyperlink("https://www.wallsandfloors.co.uk/ritz-tiles-leaf-gloss-decor-tiles","Product")</f>
        <v/>
      </c>
      <c r="B301" s="1" t="inlineStr">
        <is>
          <t>13031</t>
        </is>
      </c>
      <c r="C301" s="1" t="inlineStr">
        <is>
          <t>Leaf Gloss Decor Tiles</t>
        </is>
      </c>
      <c r="D301" s="1" t="inlineStr">
        <is>
          <t>300x100x10mm</t>
        </is>
      </c>
      <c r="E301" s="1" t="n">
        <v>37.95</v>
      </c>
      <c r="F301" s="1" t="n">
        <v>0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Gloss</t>
        </is>
      </c>
      <c r="J301" t="n">
        <v>37.95</v>
      </c>
      <c r="K301" t="n">
        <v>37.95</v>
      </c>
      <c r="L301" t="n">
        <v>37.95</v>
      </c>
    </row>
    <row r="302">
      <c r="A302" s="1">
        <f>Hyperlink("https://www.wallsandfloors.co.uk/ritz-tiles-leaf-gloss-30x10-tiles","Product")</f>
        <v/>
      </c>
      <c r="B302" s="1" t="inlineStr">
        <is>
          <t>13030</t>
        </is>
      </c>
      <c r="C302" s="1" t="inlineStr">
        <is>
          <t>Ritz Leaf Gloss Tiles</t>
        </is>
      </c>
      <c r="D302" s="1" t="inlineStr">
        <is>
          <t>300x100x10mm</t>
        </is>
      </c>
      <c r="E302" s="1" t="n">
        <v>33.95</v>
      </c>
      <c r="F302" s="1" t="n">
        <v>0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Gloss</t>
        </is>
      </c>
      <c r="J302" t="n">
        <v>33.95</v>
      </c>
      <c r="K302" t="n">
        <v>33.95</v>
      </c>
      <c r="L302" t="n">
        <v>33.95</v>
      </c>
    </row>
    <row r="303">
      <c r="A303" s="1">
        <f>Hyperlink("https://www.wallsandfloors.co.uk/ritz-tiles-grain-gloss-decor-tiles","Product")</f>
        <v/>
      </c>
      <c r="B303" s="1" t="inlineStr">
        <is>
          <t>13014</t>
        </is>
      </c>
      <c r="C303" s="1" t="inlineStr">
        <is>
          <t>Grain Gloss Decor Tiles</t>
        </is>
      </c>
      <c r="D303" s="1" t="inlineStr">
        <is>
          <t>300x100x10mm</t>
        </is>
      </c>
      <c r="E303" s="1" t="n">
        <v>38.95</v>
      </c>
      <c r="F303" s="1" t="n">
        <v>0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inlineStr"/>
      <c r="K303" t="n">
        <v>38.95</v>
      </c>
      <c r="L303" t="n">
        <v>38.95</v>
      </c>
    </row>
    <row r="304">
      <c r="A304" s="1">
        <f>Hyperlink("https://www.wallsandfloors.co.uk/ritz-luna-gloss-30x10-decor-tiles","Product")</f>
        <v/>
      </c>
      <c r="B304" s="1" t="inlineStr">
        <is>
          <t>43878</t>
        </is>
      </c>
      <c r="C304" s="1" t="inlineStr">
        <is>
          <t>Ritz Luna Gloss Decor Tiles</t>
        </is>
      </c>
      <c r="D304" s="1" t="inlineStr">
        <is>
          <t>300x100x8mm</t>
        </is>
      </c>
      <c r="E304" s="1" t="n">
        <v>38.95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inlineStr"/>
      <c r="K304" t="n">
        <v>38.95</v>
      </c>
      <c r="L304" t="n">
        <v>38.95</v>
      </c>
    </row>
    <row r="305">
      <c r="A305" s="1">
        <f>Hyperlink("https://www.wallsandfloors.co.uk/memoir-encaustic-effect-tiles-oakham-black-scored-tiles","Product")</f>
        <v/>
      </c>
      <c r="B305" s="1" t="inlineStr">
        <is>
          <t>15385</t>
        </is>
      </c>
      <c r="C305" s="1" t="inlineStr">
        <is>
          <t>Oakham Black Pattern Tiles</t>
        </is>
      </c>
      <c r="D305" s="1" t="inlineStr">
        <is>
          <t>450x450x10mm</t>
        </is>
      </c>
      <c r="E305" s="1" t="n">
        <v>20.95</v>
      </c>
      <c r="F305" s="1" t="n">
        <v>0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Matt</t>
        </is>
      </c>
      <c r="J305" t="n">
        <v>20.95</v>
      </c>
      <c r="K305" t="n">
        <v>20.95</v>
      </c>
      <c r="L305" t="n">
        <v>20.95</v>
      </c>
    </row>
    <row r="306">
      <c r="A306" s="1">
        <f>Hyperlink("https://www.wallsandfloors.co.uk/ritz-tiles-grain-gloss-30x10-tiles","Product")</f>
        <v/>
      </c>
      <c r="B306" s="1" t="inlineStr">
        <is>
          <t>13012</t>
        </is>
      </c>
      <c r="C306" s="1" t="inlineStr">
        <is>
          <t>Ritz Grain Gloss Tiles</t>
        </is>
      </c>
      <c r="D306" s="1" t="inlineStr">
        <is>
          <t>300x100x10mm</t>
        </is>
      </c>
      <c r="E306" s="1" t="n">
        <v>33.95</v>
      </c>
      <c r="F306" s="1" t="n">
        <v>0</v>
      </c>
      <c r="G306" s="1" t="inlineStr">
        <is>
          <t>SQM</t>
        </is>
      </c>
      <c r="H306" s="1" t="inlineStr">
        <is>
          <t>Ceramic</t>
        </is>
      </c>
      <c r="I306" s="1" t="inlineStr">
        <is>
          <t>Gloss</t>
        </is>
      </c>
      <c r="J306" t="n">
        <v>33.95</v>
      </c>
      <c r="K306" t="n">
        <v>33.95</v>
      </c>
      <c r="L306" t="n">
        <v>33.95</v>
      </c>
    </row>
    <row r="307">
      <c r="A307" s="1">
        <f>Hyperlink("https://www.wallsandfloors.co.uk/ritz-tiles-grain-gloss-20x10-tile","Product")</f>
        <v/>
      </c>
      <c r="B307" s="1" t="inlineStr">
        <is>
          <t>12983</t>
        </is>
      </c>
      <c r="C307" s="1" t="inlineStr">
        <is>
          <t>Ritz Grain Gloss Tiles</t>
        </is>
      </c>
      <c r="D307" s="1" t="inlineStr">
        <is>
          <t>200x100x6.5mm</t>
        </is>
      </c>
      <c r="E307" s="1" t="n">
        <v>38.95</v>
      </c>
      <c r="F307" s="1" t="n">
        <v>0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n">
        <v>38.95</v>
      </c>
      <c r="K307" t="n">
        <v>38.95</v>
      </c>
      <c r="L307" t="n">
        <v>38.95</v>
      </c>
    </row>
    <row r="308">
      <c r="A308" s="1">
        <f>Hyperlink("https://www.wallsandfloors.co.uk/ritz-tiles-dew-gloss-decor-tiles","Product")</f>
        <v/>
      </c>
      <c r="B308" s="1" t="inlineStr">
        <is>
          <t>13022</t>
        </is>
      </c>
      <c r="C308" s="1" t="inlineStr">
        <is>
          <t>Dew Gloss Decor Tiles</t>
        </is>
      </c>
      <c r="D308" s="1" t="inlineStr">
        <is>
          <t>300x100x10mm</t>
        </is>
      </c>
      <c r="E308" s="1" t="n">
        <v>37.95</v>
      </c>
      <c r="F308" s="1" t="n">
        <v>0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Gloss</t>
        </is>
      </c>
      <c r="J308" t="n">
        <v>37.95</v>
      </c>
      <c r="K308" t="inlineStr"/>
      <c r="L308" t="n">
        <v>37.95</v>
      </c>
    </row>
    <row r="309">
      <c r="A309" s="1">
        <f>Hyperlink("https://www.wallsandfloors.co.uk/ritz-tiles-dew-gloss-30x10-tiles","Product")</f>
        <v/>
      </c>
      <c r="B309" s="1" t="inlineStr">
        <is>
          <t>13021</t>
        </is>
      </c>
      <c r="C309" s="1" t="inlineStr">
        <is>
          <t>Ritz Dew Gloss Tiles</t>
        </is>
      </c>
      <c r="D309" s="1" t="inlineStr">
        <is>
          <t>300x100x10mm</t>
        </is>
      </c>
      <c r="E309" s="1" t="n">
        <v>33.95</v>
      </c>
      <c r="F309" s="1" t="n">
        <v>0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Gloss</t>
        </is>
      </c>
      <c r="J309" t="n">
        <v>33.95</v>
      </c>
      <c r="K309" t="inlineStr"/>
      <c r="L309" t="n">
        <v>33.95</v>
      </c>
    </row>
    <row r="310">
      <c r="A310" s="1">
        <f>Hyperlink("https://www.wallsandfloors.co.uk/memoir-encaustic-effect-tiles-penzance-scored-tiles","Product")</f>
        <v/>
      </c>
      <c r="B310" s="1" t="inlineStr">
        <is>
          <t>15384</t>
        </is>
      </c>
      <c r="C310" s="1" t="inlineStr">
        <is>
          <t>Memoir Encaustic Penzance Pattern Tiles</t>
        </is>
      </c>
      <c r="D310" s="1" t="inlineStr">
        <is>
          <t>450x450x10mm</t>
        </is>
      </c>
      <c r="E310" s="1" t="n">
        <v>20.95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Matt</t>
        </is>
      </c>
      <c r="J310" t="inlineStr"/>
      <c r="K310" t="n">
        <v>20.95</v>
      </c>
      <c r="L310" t="n">
        <v>20.95</v>
      </c>
    </row>
    <row r="311">
      <c r="A311" s="1">
        <f>Hyperlink("https://www.wallsandfloors.co.uk/metalico-tiles-white-tiles","Product")</f>
        <v/>
      </c>
      <c r="B311" s="1" t="inlineStr">
        <is>
          <t>12607</t>
        </is>
      </c>
      <c r="C311" s="1" t="inlineStr">
        <is>
          <t>Metalico White Linear Tiles</t>
        </is>
      </c>
      <c r="D311" s="1" t="inlineStr">
        <is>
          <t>600x300x8.5mm</t>
        </is>
      </c>
      <c r="E311" s="1" t="n">
        <v>20.95</v>
      </c>
      <c r="F311" s="1" t="n">
        <v>0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Matt</t>
        </is>
      </c>
      <c r="J311" t="inlineStr"/>
      <c r="K311" t="n">
        <v>20.95</v>
      </c>
      <c r="L311" t="n">
        <v>20.95</v>
      </c>
    </row>
    <row r="312">
      <c r="A312" s="1">
        <f>Hyperlink("https://www.wallsandfloors.co.uk/ritz-tiles-caraway-gloss-20x10-tiles","Product")</f>
        <v/>
      </c>
      <c r="B312" s="1" t="inlineStr">
        <is>
          <t>13017</t>
        </is>
      </c>
      <c r="C312" s="1" t="inlineStr">
        <is>
          <t>Ritz Caraway Gloss Tiles</t>
        </is>
      </c>
      <c r="D312" s="1" t="inlineStr">
        <is>
          <t>200x100x6.5mm</t>
        </is>
      </c>
      <c r="E312" s="1" t="n">
        <v>32.95</v>
      </c>
      <c r="F312" s="1" t="n">
        <v>0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Gloss</t>
        </is>
      </c>
      <c r="J312" t="n">
        <v>32.95</v>
      </c>
      <c r="K312" t="n">
        <v>32.95</v>
      </c>
      <c r="L312" t="n">
        <v>32.95</v>
      </c>
    </row>
    <row r="313">
      <c r="A313" s="1">
        <f>Hyperlink("https://www.wallsandfloors.co.uk/ritz-slate-gloss-30x10-tiles","Product")</f>
        <v/>
      </c>
      <c r="B313" s="1" t="inlineStr">
        <is>
          <t>44003</t>
        </is>
      </c>
      <c r="C313" s="1" t="inlineStr">
        <is>
          <t>Ritz Slate Gloss Tiles</t>
        </is>
      </c>
      <c r="D313" s="1" t="inlineStr">
        <is>
          <t>300x100x8mm</t>
        </is>
      </c>
      <c r="E313" s="1" t="n">
        <v>38.95</v>
      </c>
      <c r="F313" s="1" t="n">
        <v>0</v>
      </c>
      <c r="G313" s="1" t="inlineStr">
        <is>
          <t>SQM</t>
        </is>
      </c>
      <c r="H313" s="1" t="inlineStr">
        <is>
          <t>Ceramic</t>
        </is>
      </c>
      <c r="I313" s="1" t="inlineStr">
        <is>
          <t>Gloss</t>
        </is>
      </c>
      <c r="J313" t="n">
        <v>38.95</v>
      </c>
      <c r="K313" t="n">
        <v>38.95</v>
      </c>
      <c r="L313" t="n">
        <v>38.95</v>
      </c>
    </row>
    <row r="314">
      <c r="A314" s="1">
        <f>Hyperlink("https://www.wallsandfloors.co.uk/memoir-encaustic-effect-tiles-oakham-grey-scored-tiles","Product")</f>
        <v/>
      </c>
      <c r="B314" s="1" t="inlineStr">
        <is>
          <t>15386</t>
        </is>
      </c>
      <c r="C314" s="1" t="inlineStr">
        <is>
          <t>Oakham Grey Pattern Tiles</t>
        </is>
      </c>
      <c r="D314" s="1" t="inlineStr">
        <is>
          <t>450x450x10mm</t>
        </is>
      </c>
      <c r="E314" s="1" t="n">
        <v>20.95</v>
      </c>
      <c r="F314" s="1" t="n">
        <v>0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Matt</t>
        </is>
      </c>
      <c r="J314" t="n">
        <v>20.95</v>
      </c>
      <c r="K314" t="n">
        <v>20.95</v>
      </c>
      <c r="L314" t="n">
        <v>20.95</v>
      </c>
    </row>
    <row r="315">
      <c r="A315" s="1">
        <f>Hyperlink("https://www.wallsandfloors.co.uk/metro-smooth-200x100-tiles-bond-street-smooth-gloss-blue-tiles","Product")</f>
        <v/>
      </c>
      <c r="B315" s="1" t="inlineStr">
        <is>
          <t>44302</t>
        </is>
      </c>
      <c r="C315" s="1" t="inlineStr">
        <is>
          <t>Bond Street Gloss Blue Flat Metro Tiles</t>
        </is>
      </c>
      <c r="D315" s="1" t="inlineStr">
        <is>
          <t>200x100x7mm</t>
        </is>
      </c>
      <c r="E315" s="1" t="n">
        <v>23.95</v>
      </c>
      <c r="F315" s="1" t="n">
        <v>0</v>
      </c>
      <c r="G315" s="1" t="inlineStr">
        <is>
          <t>SQM</t>
        </is>
      </c>
      <c r="H315" s="1" t="inlineStr">
        <is>
          <t>Ceramic</t>
        </is>
      </c>
      <c r="I315" s="1" t="inlineStr">
        <is>
          <t>Gloss</t>
        </is>
      </c>
      <c r="J315" t="n">
        <v>23.95</v>
      </c>
      <c r="K315" t="inlineStr"/>
      <c r="L315" t="n">
        <v>23.95</v>
      </c>
    </row>
    <row r="316">
      <c r="A316" s="1">
        <f>Hyperlink("https://www.wallsandfloors.co.uk/metro-200x100-tiles-lime-house-green-tiles","Product")</f>
        <v/>
      </c>
      <c r="B316" s="1" t="inlineStr">
        <is>
          <t>8411</t>
        </is>
      </c>
      <c r="C316" s="1" t="inlineStr">
        <is>
          <t>Lime House Gloss Green Flat Metro Tiles</t>
        </is>
      </c>
      <c r="D316" s="1" t="inlineStr">
        <is>
          <t>200x100x7mm</t>
        </is>
      </c>
      <c r="E316" s="1" t="n">
        <v>20.95</v>
      </c>
      <c r="F316" s="1" t="n">
        <v>0</v>
      </c>
      <c r="G316" s="1" t="inlineStr">
        <is>
          <t>SQM</t>
        </is>
      </c>
      <c r="H316" s="1" t="inlineStr">
        <is>
          <t>Ceramic</t>
        </is>
      </c>
      <c r="I316" s="1" t="inlineStr">
        <is>
          <t>Gloss</t>
        </is>
      </c>
      <c r="J316" t="inlineStr"/>
      <c r="K316" t="inlineStr"/>
      <c r="L316" t="n">
        <v>20.95</v>
      </c>
    </row>
    <row r="317">
      <c r="A317" s="1">
        <f>Hyperlink("https://www.wallsandfloors.co.uk/metro-200x100-tiles-sloane-square-grey-tiles","Product")</f>
        <v/>
      </c>
      <c r="B317" s="1" t="inlineStr">
        <is>
          <t>11149</t>
        </is>
      </c>
      <c r="C317" s="1" t="inlineStr">
        <is>
          <t>Sloane Square Gloss Grey Metro Tiles</t>
        </is>
      </c>
      <c r="D317" s="1" t="inlineStr">
        <is>
          <t>200x100x7mm</t>
        </is>
      </c>
      <c r="E317" s="1" t="n">
        <v>20.95</v>
      </c>
      <c r="F317" s="1" t="n">
        <v>0</v>
      </c>
      <c r="G317" s="1" t="inlineStr"/>
      <c r="H317" s="1" t="inlineStr">
        <is>
          <t>Ceramic</t>
        </is>
      </c>
      <c r="I317" s="1" t="inlineStr">
        <is>
          <t>Gloss</t>
        </is>
      </c>
      <c r="J317" t="n">
        <v>20.95</v>
      </c>
      <c r="K317" t="n">
        <v>20.95</v>
      </c>
      <c r="L317" t="n">
        <v>20.95</v>
      </c>
    </row>
    <row r="318">
      <c r="A318" s="1">
        <f>Hyperlink("https://www.wallsandfloors.co.uk/rhian-30x10-tiles-pillar-box-red-gloss-tiles","Product")</f>
        <v/>
      </c>
      <c r="B318" s="1" t="inlineStr">
        <is>
          <t>10609</t>
        </is>
      </c>
      <c r="C318" s="1" t="inlineStr">
        <is>
          <t>Rhian Pillar Box Red Gloss Tiles</t>
        </is>
      </c>
      <c r="D318" s="1" t="inlineStr">
        <is>
          <t>300x100x7mm</t>
        </is>
      </c>
      <c r="E318" s="1" t="n">
        <v>30.95</v>
      </c>
      <c r="F318" s="1" t="n">
        <v>0</v>
      </c>
      <c r="G318" s="1" t="inlineStr"/>
      <c r="H318" s="1" t="inlineStr">
        <is>
          <t>Ceramic</t>
        </is>
      </c>
      <c r="I318" s="1" t="inlineStr">
        <is>
          <t>Gloss</t>
        </is>
      </c>
      <c r="J318" t="inlineStr"/>
      <c r="K318" t="n">
        <v>30.95</v>
      </c>
      <c r="L318" t="n">
        <v>30.95</v>
      </c>
    </row>
    <row r="319">
      <c r="A319" s="1">
        <f>Hyperlink("https://www.wallsandfloors.co.uk/rhian-30x10-tiles-perla-matt-tiles","Product")</f>
        <v/>
      </c>
      <c r="B319" s="1" t="inlineStr">
        <is>
          <t>8375</t>
        </is>
      </c>
      <c r="C319" s="1" t="inlineStr">
        <is>
          <t>Rhian Perla Grey Matt Tiles</t>
        </is>
      </c>
      <c r="D319" s="1" t="inlineStr">
        <is>
          <t>300x100x7mm</t>
        </is>
      </c>
      <c r="E319" s="1" t="n">
        <v>25.95</v>
      </c>
      <c r="F319" s="1" t="n">
        <v>0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inlineStr"/>
      <c r="K319" t="n">
        <v>25.95</v>
      </c>
      <c r="L319" t="n">
        <v>25.95</v>
      </c>
    </row>
    <row r="320">
      <c r="A320" s="1">
        <f>Hyperlink("https://www.wallsandfloors.co.uk/metro-300x100-tiles-dark-gris-grey-gloss-tiles","Product")</f>
        <v/>
      </c>
      <c r="B320" s="1" t="inlineStr">
        <is>
          <t>15157</t>
        </is>
      </c>
      <c r="C320" s="1" t="inlineStr">
        <is>
          <t>Dark Grey Metro Tiles</t>
        </is>
      </c>
      <c r="D320" s="1" t="inlineStr">
        <is>
          <t>300x100x8mm</t>
        </is>
      </c>
      <c r="E320" s="1" t="n">
        <v>25.95</v>
      </c>
      <c r="F320" s="1" t="n">
        <v>0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Gloss</t>
        </is>
      </c>
      <c r="J320" t="n">
        <v>25.95</v>
      </c>
      <c r="K320" t="n">
        <v>25.95</v>
      </c>
      <c r="L320" t="n">
        <v>25.95</v>
      </c>
    </row>
    <row r="321">
      <c r="A321" s="1">
        <f>Hyperlink("https://www.wallsandfloors.co.uk/metro-300x100-tiles-light-gris-grey-gloss-tiles","Product")</f>
        <v/>
      </c>
      <c r="B321" s="1" t="inlineStr">
        <is>
          <t>15158</t>
        </is>
      </c>
      <c r="C321" s="1" t="inlineStr">
        <is>
          <t>Light Grey Metro Tiles</t>
        </is>
      </c>
      <c r="D321" s="1" t="inlineStr">
        <is>
          <t>300x100x8mm</t>
        </is>
      </c>
      <c r="E321" s="1" t="n">
        <v>25.95</v>
      </c>
      <c r="F321" s="1" t="n">
        <v>0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Gloss</t>
        </is>
      </c>
      <c r="J321" t="inlineStr"/>
      <c r="K321" t="n">
        <v>25.95</v>
      </c>
      <c r="L321" t="n">
        <v>25.95</v>
      </c>
    </row>
    <row r="322">
      <c r="A322" s="1">
        <f>Hyperlink("https://www.wallsandfloors.co.uk/rhian-30x10-tiles-coco-matt-tiles","Product")</f>
        <v/>
      </c>
      <c r="B322" s="1" t="inlineStr">
        <is>
          <t>8368</t>
        </is>
      </c>
      <c r="C322" s="1" t="inlineStr">
        <is>
          <t>Rhian Coco Taupe Matt Tiles</t>
        </is>
      </c>
      <c r="D322" s="1" t="inlineStr">
        <is>
          <t>300x100x7mm</t>
        </is>
      </c>
      <c r="E322" s="1" t="n">
        <v>23.95</v>
      </c>
      <c r="F322" s="1" t="n">
        <v>0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Matt</t>
        </is>
      </c>
      <c r="J322" t="n">
        <v>23.95</v>
      </c>
      <c r="K322" t="n">
        <v>23.95</v>
      </c>
      <c r="L322" t="n">
        <v>23.95</v>
      </c>
    </row>
    <row r="323">
      <c r="A323" s="1">
        <f>Hyperlink("https://www.wallsandfloors.co.uk/metro-300x100-tiles-perle-silver-gloss-tiles","Product")</f>
        <v/>
      </c>
      <c r="B323" s="1" t="inlineStr">
        <is>
          <t>12547</t>
        </is>
      </c>
      <c r="C323" s="1" t="inlineStr">
        <is>
          <t>Perle Silver Metro Tiles</t>
        </is>
      </c>
      <c r="D323" s="1" t="inlineStr">
        <is>
          <t>300x100x8mm</t>
        </is>
      </c>
      <c r="E323" s="1" t="n">
        <v>25.95</v>
      </c>
      <c r="F323" s="1" t="n">
        <v>0</v>
      </c>
      <c r="G323" s="1" t="inlineStr">
        <is>
          <t>SQM</t>
        </is>
      </c>
      <c r="H323" s="1" t="inlineStr">
        <is>
          <t>Ceramic</t>
        </is>
      </c>
      <c r="I323" s="1" t="inlineStr">
        <is>
          <t>Gloss</t>
        </is>
      </c>
      <c r="J323" t="n">
        <v>25.95</v>
      </c>
      <c r="K323" t="inlineStr"/>
      <c r="L323" t="n">
        <v>25.95</v>
      </c>
    </row>
    <row r="324">
      <c r="A324" s="1">
        <f>Hyperlink("https://www.wallsandfloors.co.uk/metro-300x100-tiles-sage-green-gloss-tiles","Product")</f>
        <v/>
      </c>
      <c r="B324" s="1" t="inlineStr">
        <is>
          <t>12551</t>
        </is>
      </c>
      <c r="C324" s="1" t="inlineStr">
        <is>
          <t>Sage Green Metro Tiles</t>
        </is>
      </c>
      <c r="D324" s="1" t="inlineStr">
        <is>
          <t>300x100x8mm</t>
        </is>
      </c>
      <c r="E324" s="1" t="n">
        <v>25.95</v>
      </c>
      <c r="F324" s="1" t="n">
        <v>0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Gloss</t>
        </is>
      </c>
      <c r="J324" t="n">
        <v>25.95</v>
      </c>
      <c r="K324" t="n">
        <v>25.95</v>
      </c>
      <c r="L324" t="n">
        <v>25.95</v>
      </c>
    </row>
    <row r="325">
      <c r="A325" s="1">
        <f>Hyperlink("https://www.wallsandfloors.co.uk/rhian-30x10-tiles-ceniza-matt-tiles","Product")</f>
        <v/>
      </c>
      <c r="B325" s="1" t="inlineStr">
        <is>
          <t>8366</t>
        </is>
      </c>
      <c r="C325" s="1" t="inlineStr">
        <is>
          <t>Ceniza Matt Tiles</t>
        </is>
      </c>
      <c r="D325" s="1" t="inlineStr">
        <is>
          <t>300x100x7mm</t>
        </is>
      </c>
      <c r="E325" s="1" t="n">
        <v>25.95</v>
      </c>
      <c r="F325" s="1" t="n">
        <v>0</v>
      </c>
      <c r="G325" s="1" t="inlineStr">
        <is>
          <t>SQM</t>
        </is>
      </c>
      <c r="H325" s="1" t="inlineStr">
        <is>
          <t>Ceramic</t>
        </is>
      </c>
      <c r="I325" s="1" t="inlineStr">
        <is>
          <t>Matt</t>
        </is>
      </c>
      <c r="J325" t="inlineStr"/>
      <c r="K325" t="n">
        <v>25.95</v>
      </c>
      <c r="L325" t="n">
        <v>25.95</v>
      </c>
    </row>
    <row r="326">
      <c r="A326" s="1">
        <f>Hyperlink("https://www.wallsandfloors.co.uk/metro-300x100-tiles-sarcelle-teal-gloss-tiles","Product")</f>
        <v/>
      </c>
      <c r="B326" s="1" t="inlineStr">
        <is>
          <t>15161</t>
        </is>
      </c>
      <c r="C326" s="1" t="inlineStr">
        <is>
          <t>Sarcelle Teal Metro Tiles</t>
        </is>
      </c>
      <c r="D326" s="1" t="inlineStr">
        <is>
          <t>300x100x8mm</t>
        </is>
      </c>
      <c r="E326" s="1" t="n">
        <v>25.95</v>
      </c>
      <c r="F326" s="1" t="n">
        <v>0</v>
      </c>
      <c r="G326" s="1" t="inlineStr">
        <is>
          <t>SQM</t>
        </is>
      </c>
      <c r="H326" s="1" t="inlineStr">
        <is>
          <t>Ceramic</t>
        </is>
      </c>
      <c r="I326" s="1" t="inlineStr">
        <is>
          <t>Gloss</t>
        </is>
      </c>
      <c r="J326" t="n">
        <v>25.95</v>
      </c>
      <c r="K326" t="inlineStr"/>
      <c r="L326" t="n">
        <v>25.95</v>
      </c>
    </row>
    <row r="327">
      <c r="A327" s="1">
        <f>Hyperlink("https://www.wallsandfloors.co.uk/metro-smooth-150x75-tiles-blackfriars-tiles","Product")</f>
        <v/>
      </c>
      <c r="B327" s="1" t="inlineStr">
        <is>
          <t>10731</t>
        </is>
      </c>
      <c r="C327" s="1" t="inlineStr">
        <is>
          <t>Blackfriars Gloss Black Mini Metro Tiles</t>
        </is>
      </c>
      <c r="D327" s="1" t="inlineStr">
        <is>
          <t>150x75x7mm</t>
        </is>
      </c>
      <c r="E327" s="1" t="n">
        <v>30.95</v>
      </c>
      <c r="F327" s="1" t="n">
        <v>0</v>
      </c>
      <c r="G327" s="1" t="inlineStr"/>
      <c r="H327" s="1" t="inlineStr">
        <is>
          <t>Ceramic</t>
        </is>
      </c>
      <c r="I327" s="1" t="inlineStr">
        <is>
          <t>Gloss</t>
        </is>
      </c>
      <c r="J327" t="inlineStr"/>
      <c r="K327" t="n">
        <v>30.95</v>
      </c>
      <c r="L327" t="n">
        <v>30.95</v>
      </c>
    </row>
    <row r="328">
      <c r="A328" s="1">
        <f>Hyperlink("https://www.wallsandfloors.co.uk/metro-smooth-150x75-tiles-chalk-farm-tiles-34981","Product")</f>
        <v/>
      </c>
      <c r="B328" s="1" t="inlineStr">
        <is>
          <t>34817</t>
        </is>
      </c>
      <c r="C328" s="1" t="inlineStr">
        <is>
          <t>Chalk Farm Matt White Flat Mini Metro Tiles</t>
        </is>
      </c>
      <c r="D328" s="1" t="inlineStr">
        <is>
          <t>150x75x7mm</t>
        </is>
      </c>
      <c r="E328" s="1" t="n">
        <v>20.95</v>
      </c>
      <c r="F328" s="1" t="n">
        <v>0</v>
      </c>
      <c r="G328" s="1" t="inlineStr">
        <is>
          <t>SQM</t>
        </is>
      </c>
      <c r="H328" s="1" t="inlineStr">
        <is>
          <t>Ceramic</t>
        </is>
      </c>
      <c r="I328" s="1" t="inlineStr">
        <is>
          <t>Matt</t>
        </is>
      </c>
      <c r="J328" t="inlineStr"/>
      <c r="K328" t="n">
        <v>20.95</v>
      </c>
      <c r="L328" t="n">
        <v>20.95</v>
      </c>
    </row>
    <row r="329">
      <c r="A329" s="1">
        <f>Hyperlink("https://www.wallsandfloors.co.uk/metro-smooth-150x75-tiles-manor-house-tile","Product")</f>
        <v/>
      </c>
      <c r="B329" s="1" t="inlineStr">
        <is>
          <t>14429</t>
        </is>
      </c>
      <c r="C329" s="1" t="inlineStr">
        <is>
          <t>Manor House Gloss Blue Flat Mini Metro Tiles</t>
        </is>
      </c>
      <c r="D329" s="1" t="inlineStr">
        <is>
          <t>150x75x7mm</t>
        </is>
      </c>
      <c r="E329" s="1" t="n">
        <v>30.95</v>
      </c>
      <c r="F329" s="1" t="n">
        <v>0</v>
      </c>
      <c r="G329" s="1" t="inlineStr">
        <is>
          <t>SQM</t>
        </is>
      </c>
      <c r="H329" s="1" t="inlineStr">
        <is>
          <t>Ceramic</t>
        </is>
      </c>
      <c r="I329" s="1" t="inlineStr">
        <is>
          <t>Gloss</t>
        </is>
      </c>
      <c r="J329" t="n">
        <v>30.95</v>
      </c>
      <c r="K329" t="n">
        <v>30.95</v>
      </c>
      <c r="L329" t="n">
        <v>30.95</v>
      </c>
    </row>
    <row r="330">
      <c r="A330" s="1">
        <f>Hyperlink("https://www.wallsandfloors.co.uk/rhian-30x10-tiles-black-matt-tiles","Product")</f>
        <v/>
      </c>
      <c r="B330" s="1" t="inlineStr">
        <is>
          <t>8372</t>
        </is>
      </c>
      <c r="C330" s="1" t="inlineStr">
        <is>
          <t>Rhian Black Matt Tiles</t>
        </is>
      </c>
      <c r="D330" s="1" t="inlineStr">
        <is>
          <t>300x100x7mm</t>
        </is>
      </c>
      <c r="E330" s="1" t="n">
        <v>25.95</v>
      </c>
      <c r="F330" s="1" t="n">
        <v>0</v>
      </c>
      <c r="G330" s="1" t="inlineStr">
        <is>
          <t>SQM</t>
        </is>
      </c>
      <c r="H330" s="1" t="inlineStr">
        <is>
          <t>Ceramic</t>
        </is>
      </c>
      <c r="I330" s="1" t="inlineStr">
        <is>
          <t>Matt</t>
        </is>
      </c>
      <c r="J330" t="n">
        <v>25.95</v>
      </c>
      <c r="K330" t="inlineStr"/>
      <c r="L330" t="n">
        <v>25.95</v>
      </c>
    </row>
    <row r="331">
      <c r="A331" s="1">
        <f>Hyperlink("https://www.wallsandfloors.co.uk/rhian-30x10-tiles-black-gloss-tiles","Product")</f>
        <v/>
      </c>
      <c r="B331" s="1" t="inlineStr">
        <is>
          <t>8371</t>
        </is>
      </c>
      <c r="C331" s="1" t="inlineStr">
        <is>
          <t>Rhian Black Gloss Tiles</t>
        </is>
      </c>
      <c r="D331" s="1" t="inlineStr">
        <is>
          <t>300x100x7mm</t>
        </is>
      </c>
      <c r="E331" s="1" t="n">
        <v>25.95</v>
      </c>
      <c r="F331" s="1" t="n">
        <v>0</v>
      </c>
      <c r="G331" s="1" t="inlineStr">
        <is>
          <t>SQM</t>
        </is>
      </c>
      <c r="H331" s="1" t="inlineStr">
        <is>
          <t>Ceramic</t>
        </is>
      </c>
      <c r="I331" s="1" t="inlineStr">
        <is>
          <t>Gloss</t>
        </is>
      </c>
      <c r="J331" t="n">
        <v>25.95</v>
      </c>
      <c r="K331" t="n">
        <v>25.95</v>
      </c>
      <c r="L331" t="n">
        <v>25.95</v>
      </c>
    </row>
    <row r="332">
      <c r="A332" s="1">
        <f>Hyperlink("https://www.wallsandfloors.co.uk/rhian-30x10-tiles-avon-matt-tiles","Product")</f>
        <v/>
      </c>
      <c r="B332" s="1" t="inlineStr">
        <is>
          <t>11943</t>
        </is>
      </c>
      <c r="C332" s="1" t="inlineStr">
        <is>
          <t>Rhian Avon Grey Matt Tiles</t>
        </is>
      </c>
      <c r="D332" s="1" t="inlineStr">
        <is>
          <t>300x100x7mm</t>
        </is>
      </c>
      <c r="E332" s="1" t="n">
        <v>25.95</v>
      </c>
      <c r="F332" s="1" t="n">
        <v>0</v>
      </c>
      <c r="G332" s="1" t="inlineStr">
        <is>
          <t>SQM</t>
        </is>
      </c>
      <c r="H332" s="1" t="inlineStr">
        <is>
          <t>Ceramic</t>
        </is>
      </c>
      <c r="I332" s="1" t="inlineStr">
        <is>
          <t>Matt</t>
        </is>
      </c>
      <c r="J332" t="n">
        <v>25.95</v>
      </c>
      <c r="K332" t="n">
        <v>25.95</v>
      </c>
      <c r="L332" t="n">
        <v>25.95</v>
      </c>
    </row>
    <row r="333">
      <c r="A333" s="1">
        <f>Hyperlink("https://www.wallsandfloors.co.uk/rhian-30x10-tiles-avon-gloss-tiles","Product")</f>
        <v/>
      </c>
      <c r="B333" s="1" t="inlineStr">
        <is>
          <t>11942</t>
        </is>
      </c>
      <c r="C333" s="1" t="inlineStr">
        <is>
          <t>Rhian Avon Grey Gloss Tiles</t>
        </is>
      </c>
      <c r="D333" s="1" t="inlineStr">
        <is>
          <t>300x100x7mm</t>
        </is>
      </c>
      <c r="E333" s="1" t="n">
        <v>25.95</v>
      </c>
      <c r="F333" s="1" t="n">
        <v>0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Gloss</t>
        </is>
      </c>
      <c r="J333" t="n">
        <v>25.95</v>
      </c>
      <c r="K333" t="n">
        <v>25.95</v>
      </c>
      <c r="L333" t="n">
        <v>25.95</v>
      </c>
    </row>
    <row r="334">
      <c r="A334" s="1">
        <f>Hyperlink("https://www.wallsandfloors.co.uk/metro-smooth-150x75-tiles-regents-park-tiles","Product")</f>
        <v/>
      </c>
      <c r="B334" s="1" t="inlineStr">
        <is>
          <t>10728</t>
        </is>
      </c>
      <c r="C334" s="1" t="inlineStr">
        <is>
          <t>Regents Park Matt Cream Flat Metro Tiles</t>
        </is>
      </c>
      <c r="D334" s="1" t="inlineStr">
        <is>
          <t>150x75x7mm</t>
        </is>
      </c>
      <c r="E334" s="1" t="n">
        <v>23.95</v>
      </c>
      <c r="F334" s="1" t="n">
        <v>0</v>
      </c>
      <c r="G334" s="1" t="inlineStr">
        <is>
          <t>SQM</t>
        </is>
      </c>
      <c r="H334" s="1" t="inlineStr">
        <is>
          <t>Ceramic</t>
        </is>
      </c>
      <c r="I334" s="1" t="inlineStr">
        <is>
          <t>Matt</t>
        </is>
      </c>
      <c r="J334" t="n">
        <v>23.95</v>
      </c>
      <c r="K334" t="n">
        <v>23.95</v>
      </c>
      <c r="L334" t="n">
        <v>23.95</v>
      </c>
    </row>
    <row r="335">
      <c r="A335" s="1">
        <f>Hyperlink("https://www.wallsandfloors.co.uk/metro-300x100-tiles-coco-brown-gloss-tiles","Product")</f>
        <v/>
      </c>
      <c r="B335" s="1" t="inlineStr">
        <is>
          <t>12538</t>
        </is>
      </c>
      <c r="C335" s="1" t="inlineStr">
        <is>
          <t>Coco Brown Metro Tiles</t>
        </is>
      </c>
      <c r="D335" s="1" t="inlineStr">
        <is>
          <t>300x100x8mm</t>
        </is>
      </c>
      <c r="E335" s="1" t="n">
        <v>25.95</v>
      </c>
      <c r="F335" s="1" t="n">
        <v>0</v>
      </c>
      <c r="G335" s="1" t="inlineStr">
        <is>
          <t>SQM</t>
        </is>
      </c>
      <c r="H335" s="1" t="inlineStr">
        <is>
          <t>Ceramic</t>
        </is>
      </c>
      <c r="I335" s="1" t="inlineStr">
        <is>
          <t>Gloss</t>
        </is>
      </c>
      <c r="J335" t="n">
        <v>25.95</v>
      </c>
      <c r="K335" t="n">
        <v>25.95</v>
      </c>
      <c r="L335" t="n">
        <v>25.95</v>
      </c>
    </row>
    <row r="336">
      <c r="A336" s="1">
        <f>Hyperlink("https://www.wallsandfloors.co.uk/rhian-30x10-tiles-sage-gloss-tiles-11949","Product")</f>
        <v/>
      </c>
      <c r="B336" s="1" t="inlineStr">
        <is>
          <t>11949</t>
        </is>
      </c>
      <c r="C336" s="1" t="inlineStr">
        <is>
          <t>Rhian Sage Green Gloss Tiles</t>
        </is>
      </c>
      <c r="D336" s="1" t="inlineStr">
        <is>
          <t>300x100x7mm</t>
        </is>
      </c>
      <c r="E336" s="1" t="n">
        <v>25.95</v>
      </c>
      <c r="F336" s="1" t="n">
        <v>0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Gloss</t>
        </is>
      </c>
      <c r="J336" t="n">
        <v>25.95</v>
      </c>
      <c r="K336" t="n">
        <v>25.95</v>
      </c>
      <c r="L336" t="n">
        <v>25.95</v>
      </c>
    </row>
    <row r="337">
      <c r="A337" s="1">
        <f>Hyperlink("https://www.wallsandfloors.co.uk/rhian-30x10-tiles-verde-gloss-tiles","Product")</f>
        <v/>
      </c>
      <c r="B337" s="1" t="inlineStr">
        <is>
          <t>8376</t>
        </is>
      </c>
      <c r="C337" s="1" t="inlineStr">
        <is>
          <t>Rhian Verde Green Gloss Tiles</t>
        </is>
      </c>
      <c r="D337" s="1" t="inlineStr">
        <is>
          <t>300x100x7mm</t>
        </is>
      </c>
      <c r="E337" s="1" t="n">
        <v>25.95</v>
      </c>
      <c r="F337" s="1" t="n">
        <v>0</v>
      </c>
      <c r="G337" s="1" t="inlineStr">
        <is>
          <t>SQM</t>
        </is>
      </c>
      <c r="H337" s="1" t="inlineStr">
        <is>
          <t>Ceramic</t>
        </is>
      </c>
      <c r="I337" s="1" t="inlineStr">
        <is>
          <t>Gloss</t>
        </is>
      </c>
      <c r="J337" t="inlineStr"/>
      <c r="K337" t="inlineStr"/>
      <c r="L337" t="n">
        <v>25.95</v>
      </c>
    </row>
    <row r="338">
      <c r="A338" s="1">
        <f>Hyperlink("https://www.wallsandfloors.co.uk/rhian-40x10-tiles-blanco-gloss-tiles","Product")</f>
        <v/>
      </c>
      <c r="B338" s="1" t="inlineStr">
        <is>
          <t>8926</t>
        </is>
      </c>
      <c r="C338" s="1" t="inlineStr">
        <is>
          <t>Rhian Blanco White Gloss Tiles</t>
        </is>
      </c>
      <c r="D338" s="1" t="inlineStr">
        <is>
          <t>400x100x7mm</t>
        </is>
      </c>
      <c r="E338" s="1" t="n">
        <v>29.95</v>
      </c>
      <c r="F338" s="1" t="n">
        <v>0</v>
      </c>
      <c r="G338" s="1" t="inlineStr">
        <is>
          <t>SQM</t>
        </is>
      </c>
      <c r="H338" s="1" t="inlineStr">
        <is>
          <t>Ceramic</t>
        </is>
      </c>
      <c r="I338" s="1" t="inlineStr">
        <is>
          <t>Gloss</t>
        </is>
      </c>
      <c r="J338" t="n">
        <v>29.95</v>
      </c>
      <c r="K338" t="n">
        <v>29.95</v>
      </c>
      <c r="L338" t="n">
        <v>29.95</v>
      </c>
    </row>
    <row r="339">
      <c r="A339" s="1">
        <f>Hyperlink("https://www.wallsandfloors.co.uk/ritz-luna-finishing-strip-gloss-tiles","Product")</f>
        <v/>
      </c>
      <c r="B339" s="1" t="inlineStr">
        <is>
          <t>43874</t>
        </is>
      </c>
      <c r="C339" s="1" t="inlineStr">
        <is>
          <t>Ritz Luna Finishing Strip Gloss Tiles</t>
        </is>
      </c>
      <c r="D339" s="1" t="inlineStr">
        <is>
          <t>300x14x10mm</t>
        </is>
      </c>
      <c r="E339" s="1" t="n">
        <v>3.95</v>
      </c>
      <c r="F339" s="1" t="n">
        <v>0</v>
      </c>
      <c r="G339" s="1" t="inlineStr">
        <is>
          <t>Tile</t>
        </is>
      </c>
      <c r="H339" s="1" t="inlineStr">
        <is>
          <t>Ceramic</t>
        </is>
      </c>
      <c r="I339" s="1" t="inlineStr">
        <is>
          <t>Gloss</t>
        </is>
      </c>
      <c r="J339" t="inlineStr"/>
      <c r="K339" t="n">
        <v>3.95</v>
      </c>
      <c r="L339" t="n">
        <v>3.95</v>
      </c>
    </row>
    <row r="340">
      <c r="A340" s="1">
        <f>Hyperlink("https://www.wallsandfloors.co.uk/ritz-ink-gloss-30x10-tiles","Product")</f>
        <v/>
      </c>
      <c r="B340" s="1" t="inlineStr">
        <is>
          <t>43131</t>
        </is>
      </c>
      <c r="C340" s="1" t="inlineStr">
        <is>
          <t>Ritz Ink Blue 30x10 Brick Shaped Gloss Ceramic Wall Tiles</t>
        </is>
      </c>
      <c r="D340" s="1" t="inlineStr">
        <is>
          <t>300x100x8mm</t>
        </is>
      </c>
      <c r="E340" s="1" t="n">
        <v>38.95</v>
      </c>
      <c r="F340" s="1" t="n">
        <v>0</v>
      </c>
      <c r="G340" s="1" t="inlineStr">
        <is>
          <t>SQM</t>
        </is>
      </c>
      <c r="H340" s="1" t="inlineStr">
        <is>
          <t>Ceramic</t>
        </is>
      </c>
      <c r="I340" s="1" t="inlineStr">
        <is>
          <t>Gloss</t>
        </is>
      </c>
      <c r="J340" t="n">
        <v>38.95</v>
      </c>
      <c r="K340" t="inlineStr"/>
      <c r="L340" t="n">
        <v>38.95</v>
      </c>
    </row>
    <row r="341">
      <c r="A341" s="1">
        <f>Hyperlink("https://www.wallsandfloors.co.uk/ritz-ink-gloss-30x10-decor-tiles","Product")</f>
        <v/>
      </c>
      <c r="B341" s="1" t="inlineStr">
        <is>
          <t>43338</t>
        </is>
      </c>
      <c r="C341" s="1" t="inlineStr">
        <is>
          <t>Ritz Ink Gloss Decor Tiles</t>
        </is>
      </c>
      <c r="D341" s="1" t="inlineStr">
        <is>
          <t>300x100x8mm</t>
        </is>
      </c>
      <c r="E341" s="1" t="n">
        <v>38.95</v>
      </c>
      <c r="F341" s="1" t="n">
        <v>0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Gloss</t>
        </is>
      </c>
      <c r="J341" t="n">
        <v>38.95</v>
      </c>
      <c r="K341" t="n">
        <v>38.95</v>
      </c>
      <c r="L341" t="n">
        <v>38.95</v>
      </c>
    </row>
    <row r="342">
      <c r="A342" s="1">
        <f>Hyperlink("https://www.wallsandfloors.co.uk/ritz-ink-finishing-strip-gloss-tiles","Product")</f>
        <v/>
      </c>
      <c r="B342" s="1" t="inlineStr">
        <is>
          <t>44007</t>
        </is>
      </c>
      <c r="C342" s="1" t="inlineStr">
        <is>
          <t>Ritz Ink Finishing Strip Gloss Tiles</t>
        </is>
      </c>
      <c r="D342" s="1" t="inlineStr">
        <is>
          <t>300x14x10mm</t>
        </is>
      </c>
      <c r="E342" s="1" t="n">
        <v>2.95</v>
      </c>
      <c r="F342" s="1" t="n">
        <v>0</v>
      </c>
      <c r="G342" s="1" t="inlineStr">
        <is>
          <t>Tile</t>
        </is>
      </c>
      <c r="H342" s="1" t="inlineStr">
        <is>
          <t>Ceramic</t>
        </is>
      </c>
      <c r="I342" s="1" t="inlineStr">
        <is>
          <t>Gloss</t>
        </is>
      </c>
      <c r="J342" t="n">
        <v>2.95</v>
      </c>
      <c r="K342" t="n">
        <v>2.95</v>
      </c>
      <c r="L342" t="n">
        <v>2.95</v>
      </c>
    </row>
    <row r="343">
      <c r="A343" s="1">
        <f>Hyperlink("https://www.wallsandfloors.co.uk/ritz-deco-taupe-tiles","Product")</f>
        <v/>
      </c>
      <c r="B343" s="1" t="inlineStr">
        <is>
          <t>44014</t>
        </is>
      </c>
      <c r="C343" s="1" t="inlineStr">
        <is>
          <t>Ritz Deco Taupe Tiles</t>
        </is>
      </c>
      <c r="D343" s="1" t="inlineStr">
        <is>
          <t>200x200x8.5mm</t>
        </is>
      </c>
      <c r="E343" s="1" t="n">
        <v>40.95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inlineStr"/>
      <c r="K343" t="n">
        <v>40.95</v>
      </c>
      <c r="L343" t="n">
        <v>40.95</v>
      </c>
    </row>
    <row r="344">
      <c r="A344" s="1">
        <f>Hyperlink("https://www.wallsandfloors.co.uk/ritz-deco-grey-tiles","Product")</f>
        <v/>
      </c>
      <c r="B344" s="1" t="inlineStr">
        <is>
          <t>44012</t>
        </is>
      </c>
      <c r="C344" s="1" t="inlineStr">
        <is>
          <t>Ritz Deco Grey Tiles</t>
        </is>
      </c>
      <c r="D344" s="1" t="inlineStr">
        <is>
          <t>200x200x8.5mm</t>
        </is>
      </c>
      <c r="E344" s="1" t="n">
        <v>40.95</v>
      </c>
      <c r="F344" s="1" t="n">
        <v>0</v>
      </c>
      <c r="G344" s="1" t="inlineStr">
        <is>
          <t>SQM</t>
        </is>
      </c>
      <c r="H344" s="1" t="inlineStr">
        <is>
          <t>Porcelain</t>
        </is>
      </c>
      <c r="I344" s="1" t="inlineStr">
        <is>
          <t>Matt</t>
        </is>
      </c>
      <c r="J344" t="inlineStr"/>
      <c r="K344" t="n">
        <v>40.95</v>
      </c>
      <c r="L344" t="n">
        <v>40.95</v>
      </c>
    </row>
    <row r="345">
      <c r="A345" s="1">
        <f>Hyperlink("https://www.wallsandfloors.co.uk/ritz-concrete-tiles","Product")</f>
        <v/>
      </c>
      <c r="B345" s="1" t="inlineStr">
        <is>
          <t>44011</t>
        </is>
      </c>
      <c r="C345" s="1" t="inlineStr">
        <is>
          <t>Ritz Concrete Tiles</t>
        </is>
      </c>
      <c r="D345" s="1" t="inlineStr">
        <is>
          <t>200x200x8.5mm</t>
        </is>
      </c>
      <c r="E345" s="1" t="n">
        <v>40.95</v>
      </c>
      <c r="F345" s="1" t="n">
        <v>0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inlineStr"/>
      <c r="K345" t="n">
        <v>40.95</v>
      </c>
      <c r="L345" t="n">
        <v>40.95</v>
      </c>
    </row>
    <row r="346">
      <c r="A346" s="1">
        <f>Hyperlink("https://www.wallsandfloors.co.uk/ritz-bone-gloss-decor-tiles","Product")</f>
        <v/>
      </c>
      <c r="B346" s="1" t="inlineStr">
        <is>
          <t>44000</t>
        </is>
      </c>
      <c r="C346" s="1" t="inlineStr">
        <is>
          <t>Ritz Bone Gloss Decor Tiles</t>
        </is>
      </c>
      <c r="D346" s="1" t="inlineStr">
        <is>
          <t>300x100x8mm</t>
        </is>
      </c>
      <c r="E346" s="1" t="n">
        <v>38.95</v>
      </c>
      <c r="F346" s="1" t="n">
        <v>0</v>
      </c>
      <c r="G346" s="1" t="inlineStr">
        <is>
          <t>SQM</t>
        </is>
      </c>
      <c r="H346" s="1" t="inlineStr">
        <is>
          <t>Ceramic</t>
        </is>
      </c>
      <c r="I346" s="1" t="inlineStr">
        <is>
          <t>Gloss</t>
        </is>
      </c>
      <c r="J346" t="n">
        <v>38.95</v>
      </c>
      <c r="K346" t="n">
        <v>38.95</v>
      </c>
      <c r="L346" t="n">
        <v>38.95</v>
      </c>
    </row>
    <row r="347">
      <c r="A347" s="1">
        <f>Hyperlink("https://www.wallsandfloors.co.uk/metro-200x100-tiles-marble-arch-grey-tiles","Product")</f>
        <v/>
      </c>
      <c r="B347" s="1" t="inlineStr">
        <is>
          <t>13260</t>
        </is>
      </c>
      <c r="C347" s="1" t="inlineStr">
        <is>
          <t>Marble Arch Gloss Grey Metro Tiles</t>
        </is>
      </c>
      <c r="D347" s="1" t="inlineStr">
        <is>
          <t>200x100x7mm</t>
        </is>
      </c>
      <c r="E347" s="1" t="n">
        <v>20.95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Gloss</t>
        </is>
      </c>
      <c r="J347" t="n">
        <v>20.95</v>
      </c>
      <c r="K347" t="n">
        <v>20.95</v>
      </c>
      <c r="L347" t="n">
        <v>20.95</v>
      </c>
    </row>
    <row r="348">
      <c r="A348" s="1">
        <f>Hyperlink("https://www.wallsandfloors.co.uk/ritz-bone-gloss-30x10-tiles","Product")</f>
        <v/>
      </c>
      <c r="B348" s="1" t="inlineStr">
        <is>
          <t>43999</t>
        </is>
      </c>
      <c r="C348" s="1" t="inlineStr">
        <is>
          <t>Ritz Bone Gloss Tiles</t>
        </is>
      </c>
      <c r="D348" s="1" t="inlineStr">
        <is>
          <t>300x100x8mm</t>
        </is>
      </c>
      <c r="E348" s="1" t="n">
        <v>38.95</v>
      </c>
      <c r="F348" s="1" t="n">
        <v>0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Gloss</t>
        </is>
      </c>
      <c r="J348" t="n">
        <v>38.95</v>
      </c>
      <c r="K348" t="inlineStr"/>
      <c r="L348" t="n">
        <v>38.95</v>
      </c>
    </row>
    <row r="349">
      <c r="A349" s="1">
        <f>Hyperlink("https://www.wallsandfloors.co.uk/ritz-bone-finishing-strip-gloss-tiles","Product")</f>
        <v/>
      </c>
      <c r="B349" s="1" t="inlineStr">
        <is>
          <t>43994</t>
        </is>
      </c>
      <c r="C349" s="1" t="inlineStr">
        <is>
          <t>Ritz Bone Finishing Strip Gloss Tiles</t>
        </is>
      </c>
      <c r="D349" s="1" t="inlineStr">
        <is>
          <t>300x14x10mm</t>
        </is>
      </c>
      <c r="E349" s="1" t="n">
        <v>3.95</v>
      </c>
      <c r="F349" s="1" t="n">
        <v>0</v>
      </c>
      <c r="G349" s="1" t="inlineStr">
        <is>
          <t>Tile</t>
        </is>
      </c>
      <c r="H349" s="1" t="inlineStr">
        <is>
          <t>Ceramic</t>
        </is>
      </c>
      <c r="I349" s="1" t="inlineStr">
        <is>
          <t>Gloss</t>
        </is>
      </c>
      <c r="J349" t="n">
        <v>3.95</v>
      </c>
      <c r="K349" t="inlineStr"/>
      <c r="L349" t="n">
        <v>3.95</v>
      </c>
    </row>
    <row r="350">
      <c r="A350" s="1">
        <f>Hyperlink("https://www.wallsandfloors.co.uk/ritz-blue-mingle-tiles","Product")</f>
        <v/>
      </c>
      <c r="B350" s="1" t="inlineStr">
        <is>
          <t>44015</t>
        </is>
      </c>
      <c r="C350" s="1" t="inlineStr">
        <is>
          <t>Ritz Blue Mingle Tiles</t>
        </is>
      </c>
      <c r="D350" s="1" t="inlineStr">
        <is>
          <t>200x200x8.5mm</t>
        </is>
      </c>
      <c r="E350" s="1" t="n">
        <v>40.95</v>
      </c>
      <c r="F350" s="1" t="n">
        <v>0</v>
      </c>
      <c r="G350" s="1" t="inlineStr"/>
      <c r="H350" s="1" t="inlineStr">
        <is>
          <t>Porcelain</t>
        </is>
      </c>
      <c r="I350" s="1" t="inlineStr">
        <is>
          <t>Matt</t>
        </is>
      </c>
      <c r="J350" t="n">
        <v>40.95</v>
      </c>
      <c r="K350" t="inlineStr"/>
      <c r="L350" t="n">
        <v>40.95</v>
      </c>
    </row>
    <row r="351">
      <c r="A351" s="1">
        <f>Hyperlink("https://www.wallsandfloors.co.uk/metro-300x100-tiles-almande-cream-gloss-tiles","Product")</f>
        <v/>
      </c>
      <c r="B351" s="1" t="inlineStr">
        <is>
          <t>15155</t>
        </is>
      </c>
      <c r="C351" s="1" t="inlineStr">
        <is>
          <t>Almande Greige Metro Tiles</t>
        </is>
      </c>
      <c r="D351" s="1" t="inlineStr">
        <is>
          <t>300x100x8mm</t>
        </is>
      </c>
      <c r="E351" s="1" t="n">
        <v>25.95</v>
      </c>
      <c r="F351" s="1" t="n">
        <v>0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n">
        <v>25.95</v>
      </c>
      <c r="K351" t="n">
        <v>25.95</v>
      </c>
      <c r="L351" t="n">
        <v>25.95</v>
      </c>
    </row>
    <row r="352">
      <c r="A352" s="1">
        <f>Hyperlink("https://www.wallsandfloors.co.uk/rhian-40x10-tiles-perla-gloss-tiles","Product")</f>
        <v/>
      </c>
      <c r="B352" s="1" t="inlineStr">
        <is>
          <t>8937</t>
        </is>
      </c>
      <c r="C352" s="1" t="inlineStr">
        <is>
          <t>Rhian Perla Grey Gloss Tiles</t>
        </is>
      </c>
      <c r="D352" s="1" t="inlineStr">
        <is>
          <t>400x100x7mm</t>
        </is>
      </c>
      <c r="E352" s="1" t="n">
        <v>33.95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33.95</v>
      </c>
      <c r="K352" t="n">
        <v>33.95</v>
      </c>
      <c r="L352" t="n">
        <v>33.95</v>
      </c>
    </row>
    <row r="353">
      <c r="A353" s="1">
        <f>Hyperlink("https://www.wallsandfloors.co.uk/metro-300x100-tiles-blanc-white-gloss-tiles-10476","Product")</f>
        <v/>
      </c>
      <c r="B353" s="1" t="inlineStr">
        <is>
          <t>10476</t>
        </is>
      </c>
      <c r="C353" s="1" t="inlineStr">
        <is>
          <t>Blanc White Metro Tiles</t>
        </is>
      </c>
      <c r="D353" s="1" t="inlineStr">
        <is>
          <t>300x100x8mm</t>
        </is>
      </c>
      <c r="E353" s="1" t="n">
        <v>25.95</v>
      </c>
      <c r="F353" s="1" t="n">
        <v>0</v>
      </c>
      <c r="G353" s="1" t="inlineStr">
        <is>
          <t>SQM</t>
        </is>
      </c>
      <c r="H353" s="1" t="inlineStr">
        <is>
          <t>Ceramic</t>
        </is>
      </c>
      <c r="I353" s="1" t="inlineStr">
        <is>
          <t>Gloss</t>
        </is>
      </c>
      <c r="J353" t="n">
        <v>25.95</v>
      </c>
      <c r="K353" t="n">
        <v>25.95</v>
      </c>
      <c r="L353" t="n">
        <v>25.95</v>
      </c>
    </row>
    <row r="354">
      <c r="A354" s="1">
        <f>Hyperlink("https://www.wallsandfloors.co.uk/rhian-40x10-tiles-coco-brillo-tiles","Product")</f>
        <v/>
      </c>
      <c r="B354" s="1" t="inlineStr">
        <is>
          <t>8930</t>
        </is>
      </c>
      <c r="C354" s="1" t="inlineStr">
        <is>
          <t>Rhian Coco Cream Gloss Tiles</t>
        </is>
      </c>
      <c r="D354" s="1" t="inlineStr">
        <is>
          <t>400x100x7mm</t>
        </is>
      </c>
      <c r="E354" s="1" t="n">
        <v>33.95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Gloss</t>
        </is>
      </c>
      <c r="J354" t="n">
        <v>33.95</v>
      </c>
      <c r="K354" t="n">
        <v>33.95</v>
      </c>
      <c r="L354" t="n">
        <v>33.95</v>
      </c>
    </row>
    <row r="355">
      <c r="A355" s="1">
        <f>Hyperlink("https://www.wallsandfloors.co.uk/metro-300x100-tiles-blanc-white-matt-tiles","Product")</f>
        <v/>
      </c>
      <c r="B355" s="1" t="inlineStr">
        <is>
          <t>12535</t>
        </is>
      </c>
      <c r="C355" s="1" t="inlineStr">
        <is>
          <t>Blanc White Metro Tiles</t>
        </is>
      </c>
      <c r="D355" s="1" t="inlineStr">
        <is>
          <t>300x100x8mm</t>
        </is>
      </c>
      <c r="E355" s="1" t="n">
        <v>25.95</v>
      </c>
      <c r="F355" s="1" t="n">
        <v>0</v>
      </c>
      <c r="G355" s="1" t="inlineStr">
        <is>
          <t>SQM</t>
        </is>
      </c>
      <c r="H355" s="1" t="inlineStr">
        <is>
          <t>Ceramic</t>
        </is>
      </c>
      <c r="I355" s="1" t="inlineStr">
        <is>
          <t>Matt</t>
        </is>
      </c>
      <c r="J355" t="n">
        <v>25.95</v>
      </c>
      <c r="K355" t="n">
        <v>25.95</v>
      </c>
      <c r="L355" t="n">
        <v>25.95</v>
      </c>
    </row>
    <row r="356">
      <c r="A356" s="1">
        <f>Hyperlink("https://www.wallsandfloors.co.uk/metro-300x100-tiles-citron-yellow-gloss-tiles","Product")</f>
        <v/>
      </c>
      <c r="B356" s="1" t="inlineStr">
        <is>
          <t>12540</t>
        </is>
      </c>
      <c r="C356" s="1" t="inlineStr">
        <is>
          <t>Citron Yellow Metro Tiles</t>
        </is>
      </c>
      <c r="D356" s="1" t="inlineStr">
        <is>
          <t>300x100x8mm</t>
        </is>
      </c>
      <c r="E356" s="1" t="n">
        <v>25.95</v>
      </c>
      <c r="F356" s="1" t="n">
        <v>0</v>
      </c>
      <c r="G356" s="1" t="inlineStr">
        <is>
          <t>SQM</t>
        </is>
      </c>
      <c r="H356" s="1" t="inlineStr">
        <is>
          <t>Ceramic</t>
        </is>
      </c>
      <c r="I356" s="1" t="inlineStr">
        <is>
          <t>Gloss</t>
        </is>
      </c>
      <c r="J356" t="n">
        <v>25.95</v>
      </c>
      <c r="K356" t="n">
        <v>25.95</v>
      </c>
      <c r="L356" t="n">
        <v>25.95</v>
      </c>
    </row>
    <row r="357">
      <c r="A357" s="1">
        <f>Hyperlink("https://www.wallsandfloors.co.uk/metro-200x100-tiles-victoria-gloss-cream-tiles","Product")</f>
        <v/>
      </c>
      <c r="B357" s="1" t="inlineStr">
        <is>
          <t>8398</t>
        </is>
      </c>
      <c r="C357" s="1" t="inlineStr">
        <is>
          <t>Metro Victoria Cream Gloss Tiles</t>
        </is>
      </c>
      <c r="D357" s="1" t="inlineStr">
        <is>
          <t>200x100x7mm</t>
        </is>
      </c>
      <c r="E357" s="1" t="n">
        <v>17.95</v>
      </c>
      <c r="F357" s="1" t="n">
        <v>0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Gloss</t>
        </is>
      </c>
      <c r="J357" t="inlineStr"/>
      <c r="K357" t="n">
        <v>17.95</v>
      </c>
      <c r="L357" t="n">
        <v>17.95</v>
      </c>
    </row>
    <row r="358">
      <c r="A358" s="1">
        <f>Hyperlink("https://www.wallsandfloors.co.uk/prismatics-gloss-orange-yellow-tiles-pumpkin-gloss-small-prg55-tiles","Product")</f>
        <v/>
      </c>
      <c r="B358" s="1" t="inlineStr">
        <is>
          <t>577</t>
        </is>
      </c>
      <c r="C358" s="1" t="inlineStr">
        <is>
          <t>Pumpkin Gloss Small (PRG55) Tiles</t>
        </is>
      </c>
      <c r="D358" s="1" t="inlineStr">
        <is>
          <t>100x100x6.5mm</t>
        </is>
      </c>
      <c r="E358" s="1" t="n">
        <v>50.95</v>
      </c>
      <c r="F358" s="1" t="n">
        <v>0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n">
        <v>50.95</v>
      </c>
      <c r="K358" t="n">
        <v>50.95</v>
      </c>
      <c r="L358" t="n">
        <v>50.95</v>
      </c>
    </row>
    <row r="359">
      <c r="A359" s="1">
        <f>Hyperlink("https://www.wallsandfloors.co.uk/prismatics-gloss-natural-tiles-victorian-cream-medium-prv2-tiles","Product")</f>
        <v/>
      </c>
      <c r="B359" s="1" t="inlineStr">
        <is>
          <t>5349</t>
        </is>
      </c>
      <c r="C359" s="1" t="inlineStr">
        <is>
          <t>Prismatics Gloss PRV2 Victorian Cream Wall Tiles</t>
        </is>
      </c>
      <c r="D359" s="1" t="inlineStr">
        <is>
          <t>150x150x6.5mm</t>
        </is>
      </c>
      <c r="E359" s="1" t="n">
        <v>32.71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Gloss</t>
        </is>
      </c>
      <c r="J359" t="n">
        <v>32.71</v>
      </c>
      <c r="K359" t="n">
        <v>32.71</v>
      </c>
      <c r="L359" t="n">
        <v>32.71</v>
      </c>
    </row>
    <row r="360">
      <c r="A360" s="1">
        <f>Hyperlink("https://www.wallsandfloors.co.uk/moorland-bone-slate-effect-tiles","Product")</f>
        <v/>
      </c>
      <c r="B360" s="1" t="inlineStr">
        <is>
          <t>15616</t>
        </is>
      </c>
      <c r="C360" s="1" t="inlineStr">
        <is>
          <t>Bone Slate Effect Tiles</t>
        </is>
      </c>
      <c r="D360" s="1" t="inlineStr">
        <is>
          <t>600x300x9.7mm</t>
        </is>
      </c>
      <c r="E360" s="1" t="n">
        <v>20.95</v>
      </c>
      <c r="F360" s="1" t="n">
        <v>0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20.95</v>
      </c>
      <c r="L360" t="n">
        <v>20.95</v>
      </c>
    </row>
    <row r="361">
      <c r="A361" s="1">
        <f>Hyperlink("https://www.wallsandfloors.co.uk/parlor-wood-effect-tiles-rich-ebony-tiles","Product")</f>
        <v/>
      </c>
      <c r="B361" s="1" t="inlineStr">
        <is>
          <t>40376</t>
        </is>
      </c>
      <c r="C361" s="1" t="inlineStr">
        <is>
          <t>Parlor Rich Ebony Wood Effect Tiles</t>
        </is>
      </c>
      <c r="D361" s="1" t="inlineStr">
        <is>
          <t>1200x233x8.7mm</t>
        </is>
      </c>
      <c r="E361" s="1" t="n">
        <v>25.95</v>
      </c>
      <c r="F361" s="1" t="n">
        <v>0</v>
      </c>
      <c r="G361" s="1" t="inlineStr">
        <is>
          <t>SQM</t>
        </is>
      </c>
      <c r="H361" s="1" t="inlineStr">
        <is>
          <t>Porcelain</t>
        </is>
      </c>
      <c r="I361" s="1" t="inlineStr">
        <is>
          <t>Matt</t>
        </is>
      </c>
      <c r="J361" t="n">
        <v>25.95</v>
      </c>
      <c r="K361" t="n">
        <v>25.95</v>
      </c>
      <c r="L361" t="n">
        <v>25.95</v>
      </c>
    </row>
    <row r="362">
      <c r="A362" s="1">
        <f>Hyperlink("https://www.wallsandfloors.co.uk/norcros-4-into-1-wall-floor-tile-grout-rustic-cedar","Product")</f>
        <v/>
      </c>
      <c r="B362" s="1" t="inlineStr">
        <is>
          <t>37114</t>
        </is>
      </c>
      <c r="C362" s="1" t="inlineStr">
        <is>
          <t>Norcros 4 into 1 Wall &amp; Floor Rustic Cedar Tile Grout</t>
        </is>
      </c>
      <c r="D362" s="1" t="inlineStr">
        <is>
          <t>5kg</t>
        </is>
      </c>
      <c r="E362" s="1" t="n">
        <v>10.95</v>
      </c>
      <c r="F362" s="1" t="n">
        <v>0</v>
      </c>
      <c r="G362" s="1" t="inlineStr">
        <is>
          <t>Unit</t>
        </is>
      </c>
      <c r="H362" s="1" t="inlineStr">
        <is>
          <t>Grout</t>
        </is>
      </c>
      <c r="I362" s="1" t="inlineStr">
        <is>
          <t>-</t>
        </is>
      </c>
      <c r="J362" t="n">
        <v>10.95</v>
      </c>
      <c r="K362" t="inlineStr"/>
      <c r="L362" t="n">
        <v>10.95</v>
      </c>
    </row>
    <row r="363">
      <c r="A363" s="1">
        <f>Hyperlink("https://www.wallsandfloors.co.uk/norcros-4-into-1-wall-floor-tile-grout-sandy-beach","Product")</f>
        <v/>
      </c>
      <c r="B363" s="1" t="inlineStr">
        <is>
          <t>37116</t>
        </is>
      </c>
      <c r="C363" s="1" t="inlineStr">
        <is>
          <t>Norcros 4 into 1 Wall &amp; Floor Sandy Beach Tile Grout</t>
        </is>
      </c>
      <c r="D363" s="1" t="inlineStr">
        <is>
          <t>5kg</t>
        </is>
      </c>
      <c r="E363" s="1" t="n">
        <v>10.95</v>
      </c>
      <c r="F363" s="1" t="n">
        <v>0</v>
      </c>
      <c r="G363" s="1" t="inlineStr">
        <is>
          <t>Unit</t>
        </is>
      </c>
      <c r="H363" s="1" t="inlineStr">
        <is>
          <t>Grout</t>
        </is>
      </c>
      <c r="I363" s="1" t="inlineStr">
        <is>
          <t>-</t>
        </is>
      </c>
      <c r="J363" t="n">
        <v>10.95</v>
      </c>
      <c r="K363" t="n">
        <v>10.95</v>
      </c>
      <c r="L363" t="n">
        <v>10.95</v>
      </c>
    </row>
    <row r="364">
      <c r="A364" s="1">
        <f>Hyperlink("https://www.wallsandfloors.co.uk/parlor-wood-effect-tiles-nordic-maple-tiles-15079","Product")</f>
        <v/>
      </c>
      <c r="B364" s="1" t="inlineStr">
        <is>
          <t>15079</t>
        </is>
      </c>
      <c r="C364" s="1" t="inlineStr">
        <is>
          <t>Parlor Nordic Maple Wood Effect Tiles</t>
        </is>
      </c>
      <c r="D364" s="1" t="inlineStr">
        <is>
          <t>1200x233x8.5mm</t>
        </is>
      </c>
      <c r="E364" s="1" t="n">
        <v>25.95</v>
      </c>
      <c r="F364" s="1" t="n">
        <v>0</v>
      </c>
      <c r="G364" s="1" t="inlineStr">
        <is>
          <t>SQM</t>
        </is>
      </c>
      <c r="H364" s="1" t="inlineStr">
        <is>
          <t>Porcelain</t>
        </is>
      </c>
      <c r="I364" s="1" t="inlineStr">
        <is>
          <t>Matt</t>
        </is>
      </c>
      <c r="J364" t="n">
        <v>25.95</v>
      </c>
      <c r="K364" t="n">
        <v>25.95</v>
      </c>
      <c r="L364" t="n">
        <v>25.95</v>
      </c>
    </row>
    <row r="365">
      <c r="A365" s="1">
        <f>Hyperlink("https://www.wallsandfloors.co.uk/norcros-4-into-1-wall-floor-tile-grout-silver-grey","Product")</f>
        <v/>
      </c>
      <c r="B365" s="1" t="inlineStr">
        <is>
          <t>37118</t>
        </is>
      </c>
      <c r="C365" s="1" t="inlineStr">
        <is>
          <t>Norcros 4 into 1 Wall &amp; Floor Silver Grey Tile Grout</t>
        </is>
      </c>
      <c r="D365" s="1" t="inlineStr">
        <is>
          <t>5kg</t>
        </is>
      </c>
      <c r="E365" s="1" t="n">
        <v>10.95</v>
      </c>
      <c r="F365" s="1" t="n">
        <v>0</v>
      </c>
      <c r="G365" s="1" t="inlineStr">
        <is>
          <t>Unit</t>
        </is>
      </c>
      <c r="H365" s="1" t="inlineStr">
        <is>
          <t>Accessories</t>
        </is>
      </c>
      <c r="I365" s="1" t="inlineStr">
        <is>
          <t>-</t>
        </is>
      </c>
      <c r="J365" t="inlineStr"/>
      <c r="K365" t="n">
        <v>10.95</v>
      </c>
      <c r="L365" t="n">
        <v>10.95</v>
      </c>
    </row>
    <row r="366">
      <c r="A366" s="1">
        <f>Hyperlink("https://www.wallsandfloors.co.uk/parlor-wood-effect-tiles-fallow-walnut-tiles-14698","Product")</f>
        <v/>
      </c>
      <c r="B366" s="1" t="inlineStr">
        <is>
          <t>14698</t>
        </is>
      </c>
      <c r="C366" s="1" t="inlineStr">
        <is>
          <t>Parlor Fallow Walnut Wood Effect Tiles</t>
        </is>
      </c>
      <c r="D366" s="1" t="inlineStr">
        <is>
          <t>1200x233x8.5mm</t>
        </is>
      </c>
      <c r="E366" s="1" t="n">
        <v>25.95</v>
      </c>
      <c r="F366" s="1" t="n">
        <v>0</v>
      </c>
      <c r="G366" s="1" t="inlineStr">
        <is>
          <t>SQM</t>
        </is>
      </c>
      <c r="H366" s="1" t="inlineStr">
        <is>
          <t>Porcelain</t>
        </is>
      </c>
      <c r="I366" s="1" t="inlineStr">
        <is>
          <t>Matt</t>
        </is>
      </c>
      <c r="J366" t="n">
        <v>25.95</v>
      </c>
      <c r="K366" t="n">
        <v>25.95</v>
      </c>
      <c r="L366" t="n">
        <v>25.95</v>
      </c>
    </row>
    <row r="367">
      <c r="A367" s="1">
        <f>Hyperlink("https://www.wallsandfloors.co.uk/paragon-glass-mosaic-tiles-moonlight-mix-tiles","Product")</f>
        <v/>
      </c>
      <c r="B367" s="1" t="inlineStr">
        <is>
          <t>14822</t>
        </is>
      </c>
      <c r="C367" s="1" t="inlineStr">
        <is>
          <t>Moonlight Mix Tiles</t>
        </is>
      </c>
      <c r="D367" s="1" t="inlineStr">
        <is>
          <t>297x297x8mm</t>
        </is>
      </c>
      <c r="E367" s="1" t="n">
        <v>6.95</v>
      </c>
      <c r="F367" s="1" t="n">
        <v>0</v>
      </c>
      <c r="G367" s="1" t="inlineStr">
        <is>
          <t>SQM</t>
        </is>
      </c>
      <c r="H367" s="1" t="inlineStr">
        <is>
          <t>Glass</t>
        </is>
      </c>
      <c r="I367" s="1" t="inlineStr">
        <is>
          <t>Gloss</t>
        </is>
      </c>
      <c r="J367" t="n">
        <v>6.95</v>
      </c>
      <c r="K367" t="n">
        <v>6.95</v>
      </c>
      <c r="L367" t="n">
        <v>6.95</v>
      </c>
    </row>
    <row r="368">
      <c r="A368" s="1">
        <f>Hyperlink("https://www.wallsandfloors.co.uk/pale-grey-strip-150x50mm-tiles","Product")</f>
        <v/>
      </c>
      <c r="B368" s="1" t="inlineStr">
        <is>
          <t>990276</t>
        </is>
      </c>
      <c r="C368" s="1" t="inlineStr">
        <is>
          <t>Pale Grey Strip Tiles</t>
        </is>
      </c>
      <c r="D368" s="1" t="inlineStr">
        <is>
          <t>150x50x9-10mm</t>
        </is>
      </c>
      <c r="E368" s="1" t="n">
        <v>1.58</v>
      </c>
      <c r="F368" s="1" t="n">
        <v>0</v>
      </c>
      <c r="G368" s="1" t="inlineStr">
        <is>
          <t>SQM</t>
        </is>
      </c>
      <c r="H368" s="1" t="inlineStr">
        <is>
          <t>Porcelain</t>
        </is>
      </c>
      <c r="I368" s="1" t="inlineStr">
        <is>
          <t>Matt</t>
        </is>
      </c>
      <c r="J368" t="n">
        <v>1.58</v>
      </c>
      <c r="K368" t="n">
        <v>1.58</v>
      </c>
      <c r="L368" t="n">
        <v>1.58</v>
      </c>
    </row>
    <row r="369">
      <c r="A369" s="1">
        <f>Hyperlink("https://www.wallsandfloors.co.uk/norcros-4-into-1-wall-floor-tile-grout-slate-grey","Product")</f>
        <v/>
      </c>
      <c r="B369" s="1" t="inlineStr">
        <is>
          <t>37120</t>
        </is>
      </c>
      <c r="C369" s="1" t="inlineStr">
        <is>
          <t>Norcros 4 into 1 Wall &amp; Floor Slate Grey Tile Grout</t>
        </is>
      </c>
      <c r="D369" s="1" t="inlineStr">
        <is>
          <t>5kg</t>
        </is>
      </c>
      <c r="E369" s="1" t="n">
        <v>10.95</v>
      </c>
      <c r="F369" s="1" t="n">
        <v>0</v>
      </c>
      <c r="G369" s="1" t="inlineStr">
        <is>
          <t>Unit</t>
        </is>
      </c>
      <c r="H369" s="1" t="inlineStr">
        <is>
          <t>Accessories</t>
        </is>
      </c>
      <c r="I369" s="1" t="inlineStr">
        <is>
          <t>-</t>
        </is>
      </c>
      <c r="J369" t="n">
        <v>10.95</v>
      </c>
      <c r="K369" t="n">
        <v>10.95</v>
      </c>
      <c r="L369" t="n">
        <v>10.95</v>
      </c>
    </row>
    <row r="370">
      <c r="A370" s="1">
        <f>Hyperlink("https://www.wallsandfloors.co.uk/pale-green-triangle-50x50x70mm-tiles","Product")</f>
        <v/>
      </c>
      <c r="B370" s="1" t="inlineStr">
        <is>
          <t>990175</t>
        </is>
      </c>
      <c r="C370" s="1" t="inlineStr">
        <is>
          <t>Pale Green Triangle Tiles</t>
        </is>
      </c>
      <c r="D370" s="1" t="inlineStr">
        <is>
          <t>50x50x70mm</t>
        </is>
      </c>
      <c r="E370" s="1" t="n">
        <v>2.03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inlineStr"/>
      <c r="K370" t="n">
        <v>2.03</v>
      </c>
      <c r="L370" t="n">
        <v>2.03</v>
      </c>
    </row>
    <row r="371">
      <c r="A371" s="1">
        <f>Hyperlink("https://www.wallsandfloors.co.uk/norcros-4-into-1-wall-floor-tile-grout-steel-grey","Product")</f>
        <v/>
      </c>
      <c r="B371" s="1" t="inlineStr">
        <is>
          <t>37122</t>
        </is>
      </c>
      <c r="C371" s="1" t="inlineStr">
        <is>
          <t>Norcros 4 into 1 Wall &amp; Floor Steel Grey Tile Grout</t>
        </is>
      </c>
      <c r="D371" s="1" t="inlineStr">
        <is>
          <t>5kg</t>
        </is>
      </c>
      <c r="E371" s="1" t="n">
        <v>10.95</v>
      </c>
      <c r="F371" s="1" t="n">
        <v>0</v>
      </c>
      <c r="G371" s="1" t="inlineStr">
        <is>
          <t>Unit</t>
        </is>
      </c>
      <c r="H371" s="1" t="inlineStr">
        <is>
          <t>Grout</t>
        </is>
      </c>
      <c r="I371" s="1" t="inlineStr">
        <is>
          <t>-</t>
        </is>
      </c>
      <c r="J371" t="n">
        <v>10.95</v>
      </c>
      <c r="K371" t="inlineStr"/>
      <c r="L371" t="n">
        <v>10.95</v>
      </c>
    </row>
    <row r="372">
      <c r="A372" s="1">
        <f>Hyperlink("https://www.wallsandfloors.co.uk/pale-green-triangle-35x35x50mm-tiles","Product")</f>
        <v/>
      </c>
      <c r="B372" s="1" t="inlineStr">
        <is>
          <t>990150</t>
        </is>
      </c>
      <c r="C372" s="1" t="inlineStr">
        <is>
          <t>Pale Green Triangle 35x35x50mm Tiles</t>
        </is>
      </c>
      <c r="D372" s="1" t="inlineStr">
        <is>
          <t>35x35x50mm</t>
        </is>
      </c>
      <c r="E372" s="1" t="n">
        <v>1.76</v>
      </c>
      <c r="F372" s="1" t="n">
        <v>0</v>
      </c>
      <c r="G372" s="1" t="inlineStr">
        <is>
          <t>SQM</t>
        </is>
      </c>
      <c r="H372" s="1" t="inlineStr">
        <is>
          <t>Porcelain</t>
        </is>
      </c>
      <c r="I372" s="1" t="inlineStr">
        <is>
          <t>Matt</t>
        </is>
      </c>
      <c r="J372" t="n">
        <v>1.76</v>
      </c>
      <c r="K372" t="inlineStr"/>
      <c r="L372" t="n">
        <v>1.76</v>
      </c>
    </row>
    <row r="373">
      <c r="A373" s="1">
        <f>Hyperlink("https://www.wallsandfloors.co.uk/norcros-4-into-1-wall-floor-tile-grout-tropical-ebony","Product")</f>
        <v/>
      </c>
      <c r="B373" s="1" t="inlineStr">
        <is>
          <t>37124</t>
        </is>
      </c>
      <c r="C373" s="1" t="inlineStr">
        <is>
          <t>Norcros 4 into 1 Wall &amp; Floor Tropical Ebony Tile Grout</t>
        </is>
      </c>
      <c r="D373" s="1" t="inlineStr">
        <is>
          <t>5kg</t>
        </is>
      </c>
      <c r="E373" s="1" t="n">
        <v>10.95</v>
      </c>
      <c r="F373" s="1" t="n">
        <v>0</v>
      </c>
      <c r="G373" s="1" t="inlineStr">
        <is>
          <t>Unit</t>
        </is>
      </c>
      <c r="H373" s="1" t="inlineStr">
        <is>
          <t>Grout</t>
        </is>
      </c>
      <c r="I373" s="1" t="inlineStr">
        <is>
          <t>-</t>
        </is>
      </c>
      <c r="J373" t="n">
        <v>10.95</v>
      </c>
      <c r="K373" t="n">
        <v>10.95</v>
      </c>
      <c r="L373" t="n">
        <v>10.95</v>
      </c>
    </row>
    <row r="374">
      <c r="A374" s="1">
        <f>Hyperlink("https://www.wallsandfloors.co.uk/pale-green-strip-150x25mm-tiles","Product")</f>
        <v/>
      </c>
      <c r="B374" s="1" t="inlineStr">
        <is>
          <t>990250</t>
        </is>
      </c>
      <c r="C374" s="1" t="inlineStr">
        <is>
          <t>Pale Green Strip Tiles</t>
        </is>
      </c>
      <c r="D374" s="1" t="inlineStr">
        <is>
          <t>150x25x9-10mm</t>
        </is>
      </c>
      <c r="E374" s="1" t="n">
        <v>2.37</v>
      </c>
      <c r="F374" s="1" t="n">
        <v>0</v>
      </c>
      <c r="G374" s="1" t="inlineStr">
        <is>
          <t>SQM</t>
        </is>
      </c>
      <c r="H374" s="1" t="inlineStr">
        <is>
          <t>Porcelain</t>
        </is>
      </c>
      <c r="I374" s="1" t="inlineStr">
        <is>
          <t>Matt</t>
        </is>
      </c>
      <c r="J374" t="n">
        <v>2.37</v>
      </c>
      <c r="K374" t="inlineStr"/>
      <c r="L374" t="n">
        <v>2.37</v>
      </c>
    </row>
    <row r="375">
      <c r="A375" s="1">
        <f>Hyperlink("https://www.wallsandfloors.co.uk/pale-green-squares-70mm-tiles","Product")</f>
        <v/>
      </c>
      <c r="B375" s="1" t="inlineStr">
        <is>
          <t>990065</t>
        </is>
      </c>
      <c r="C375" s="1" t="inlineStr">
        <is>
          <t>Pale Green Squares 70mm Tiles</t>
        </is>
      </c>
      <c r="D375" s="1" t="inlineStr">
        <is>
          <t>70x70x9-10mm</t>
        </is>
      </c>
      <c r="E375" s="1" t="n">
        <v>1.3</v>
      </c>
      <c r="F375" s="1" t="n">
        <v>0</v>
      </c>
      <c r="G375" s="1" t="inlineStr">
        <is>
          <t>SQM</t>
        </is>
      </c>
      <c r="H375" s="1" t="inlineStr">
        <is>
          <t>Porcelain</t>
        </is>
      </c>
      <c r="I375" s="1" t="inlineStr">
        <is>
          <t>Matt</t>
        </is>
      </c>
      <c r="J375" t="inlineStr"/>
      <c r="K375" t="n">
        <v>1.3</v>
      </c>
      <c r="L375" t="n">
        <v>1.3</v>
      </c>
    </row>
    <row r="376">
      <c r="A376" s="1">
        <f>Hyperlink("https://www.wallsandfloors.co.uk/pale-green-150-spare-tiles","Product")</f>
        <v/>
      </c>
      <c r="B376" s="1" t="inlineStr">
        <is>
          <t>990003</t>
        </is>
      </c>
      <c r="C376" s="1" t="inlineStr">
        <is>
          <t>Pale Green Spare Tiles</t>
        </is>
      </c>
      <c r="D376" s="1" t="inlineStr">
        <is>
          <t>150x150x9-10mm</t>
        </is>
      </c>
      <c r="E376" s="1" t="n">
        <v>4.3</v>
      </c>
      <c r="F376" s="1" t="n">
        <v>0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inlineStr"/>
      <c r="K376" t="n">
        <v>4.3</v>
      </c>
      <c r="L376" t="n">
        <v>4.3</v>
      </c>
    </row>
    <row r="377">
      <c r="A377" s="1">
        <f>Hyperlink("https://www.wallsandfloors.co.uk/pale-blue-triangle-50x50x70mm-tiles","Product")</f>
        <v/>
      </c>
      <c r="B377" s="1" t="inlineStr">
        <is>
          <t>990174</t>
        </is>
      </c>
      <c r="C377" s="1" t="inlineStr">
        <is>
          <t>Pale Blue Triangle Tiles</t>
        </is>
      </c>
      <c r="D377" s="1" t="inlineStr">
        <is>
          <t>50x50x70mm</t>
        </is>
      </c>
      <c r="E377" s="1" t="n">
        <v>2.03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inlineStr"/>
      <c r="K377" t="inlineStr"/>
      <c r="L377" t="n">
        <v>2.03</v>
      </c>
    </row>
    <row r="378">
      <c r="A378" s="1">
        <f>Hyperlink("https://www.wallsandfloors.co.uk/norcros-4-into-1-wall-floor-tile-grout-midnight-coal","Product")</f>
        <v/>
      </c>
      <c r="B378" s="1" t="inlineStr">
        <is>
          <t>37110</t>
        </is>
      </c>
      <c r="C378" s="1" t="inlineStr">
        <is>
          <t>Norcros 4 into 1 Wall &amp; Floor Midnight Coal Tile Grout</t>
        </is>
      </c>
      <c r="D378" s="1" t="inlineStr">
        <is>
          <t>5kg</t>
        </is>
      </c>
      <c r="E378" s="1" t="n">
        <v>10.95</v>
      </c>
      <c r="F378" s="1" t="n">
        <v>0</v>
      </c>
      <c r="G378" s="1" t="inlineStr">
        <is>
          <t>Unit</t>
        </is>
      </c>
      <c r="H378" s="1" t="inlineStr">
        <is>
          <t>Grout</t>
        </is>
      </c>
      <c r="I378" s="1" t="inlineStr">
        <is>
          <t>-</t>
        </is>
      </c>
      <c r="J378" t="n">
        <v>10.95</v>
      </c>
      <c r="K378" t="inlineStr"/>
      <c r="L378" t="n">
        <v>10.95</v>
      </c>
    </row>
    <row r="379">
      <c r="A379" s="1">
        <f>Hyperlink("https://www.wallsandfloors.co.uk/norcros-tile-to-gypsum-adhesive-22kg","Product")</f>
        <v/>
      </c>
      <c r="B379" s="1" t="inlineStr">
        <is>
          <t>33488</t>
        </is>
      </c>
      <c r="C379" s="1" t="inlineStr">
        <is>
          <t>Norcros Tile to Gypsum Adhesive 22kg</t>
        </is>
      </c>
      <c r="D379" s="1" t="inlineStr">
        <is>
          <t>22kg</t>
        </is>
      </c>
      <c r="E379" s="1" t="n">
        <v>39.95</v>
      </c>
      <c r="F379" s="1" t="n">
        <v>0</v>
      </c>
      <c r="G379" s="1" t="inlineStr">
        <is>
          <t>Unit</t>
        </is>
      </c>
      <c r="H379" s="1" t="inlineStr">
        <is>
          <t>Adhesive</t>
        </is>
      </c>
      <c r="I379" s="1" t="inlineStr">
        <is>
          <t>-</t>
        </is>
      </c>
      <c r="J379" t="n">
        <v>39.95</v>
      </c>
      <c r="K379" t="n">
        <v>39.95</v>
      </c>
      <c r="L379" t="n">
        <v>39.95</v>
      </c>
    </row>
    <row r="380">
      <c r="A380" s="1">
        <f>Hyperlink("https://www.wallsandfloors.co.uk/parlor-wood-effect-tiles-spruce-beech-tiles","Product")</f>
        <v/>
      </c>
      <c r="B380" s="1" t="inlineStr">
        <is>
          <t>15080</t>
        </is>
      </c>
      <c r="C380" s="1" t="inlineStr">
        <is>
          <t>Parlor Spruce Beech Wood Effect Tiles</t>
        </is>
      </c>
      <c r="D380" s="1" t="inlineStr">
        <is>
          <t>1200x233x8.5mm</t>
        </is>
      </c>
      <c r="E380" s="1" t="n">
        <v>25.95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n">
        <v>25.95</v>
      </c>
      <c r="K380" t="n">
        <v>25.95</v>
      </c>
      <c r="L380" t="n">
        <v>25.95</v>
      </c>
    </row>
    <row r="381">
      <c r="A381" s="1">
        <f>Hyperlink("https://www.wallsandfloors.co.uk/parme-squares-50mm-tiles","Product")</f>
        <v/>
      </c>
      <c r="B381" s="1" t="inlineStr">
        <is>
          <t>990092</t>
        </is>
      </c>
      <c r="C381" s="1" t="inlineStr">
        <is>
          <t>Parme Squares 50mm Tiles</t>
        </is>
      </c>
      <c r="D381" s="1" t="inlineStr">
        <is>
          <t>50x50x9-10mm</t>
        </is>
      </c>
      <c r="E381" s="1" t="n">
        <v>0.67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n">
        <v>0.67</v>
      </c>
      <c r="K381" t="n">
        <v>0.67</v>
      </c>
      <c r="L381" t="n">
        <v>0.67</v>
      </c>
    </row>
    <row r="382">
      <c r="A382" s="1">
        <f>Hyperlink("https://www.wallsandfloors.co.uk/petrichor-desert-stone-tiles","Product")</f>
        <v/>
      </c>
      <c r="B382" s="1" t="inlineStr">
        <is>
          <t>35439</t>
        </is>
      </c>
      <c r="C382" s="1" t="inlineStr">
        <is>
          <t>Desert Stone Tiles</t>
        </is>
      </c>
      <c r="D382" s="1" t="inlineStr">
        <is>
          <t>597x597x10.5mm</t>
        </is>
      </c>
      <c r="E382" s="1" t="n">
        <v>19.95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n">
        <v>19.95</v>
      </c>
      <c r="K382" t="n">
        <v>19.95</v>
      </c>
      <c r="L382" t="n">
        <v>19.95</v>
      </c>
    </row>
    <row r="383">
      <c r="A383" s="1">
        <f>Hyperlink("https://www.wallsandfloors.co.uk/ritz-tiles-oat-gloss-decor-tile","Product")</f>
        <v/>
      </c>
      <c r="B383" s="1" t="inlineStr">
        <is>
          <t>12982</t>
        </is>
      </c>
      <c r="C383" s="1" t="inlineStr">
        <is>
          <t>Oat Gloss Decor Tile</t>
        </is>
      </c>
      <c r="D383" s="1" t="inlineStr">
        <is>
          <t>300x100x10mm</t>
        </is>
      </c>
      <c r="E383" s="1" t="n">
        <v>37.95</v>
      </c>
      <c r="F383" s="1" t="n">
        <v>0</v>
      </c>
      <c r="G383" s="1" t="inlineStr">
        <is>
          <t>SQM</t>
        </is>
      </c>
      <c r="H383" s="1" t="inlineStr">
        <is>
          <t>Ceramic</t>
        </is>
      </c>
      <c r="I383" s="1" t="inlineStr">
        <is>
          <t>Gloss</t>
        </is>
      </c>
      <c r="J383" t="n">
        <v>37.95</v>
      </c>
      <c r="K383" t="n">
        <v>37.95</v>
      </c>
      <c r="L383" t="n">
        <v>37.95</v>
      </c>
    </row>
    <row r="384">
      <c r="A384" s="1">
        <f>Hyperlink("https://www.wallsandfloors.co.uk/noir-gloss","Product")</f>
        <v/>
      </c>
      <c r="B384" s="1" t="inlineStr">
        <is>
          <t>10475</t>
        </is>
      </c>
      <c r="C384" s="1" t="inlineStr">
        <is>
          <t>Noir Black Metro Tiles</t>
        </is>
      </c>
      <c r="D384" s="1" t="inlineStr">
        <is>
          <t>300x100x8mm</t>
        </is>
      </c>
      <c r="E384" s="1" t="n">
        <v>24.95</v>
      </c>
      <c r="F384" s="1" t="n">
        <v>0</v>
      </c>
      <c r="G384" s="1" t="inlineStr">
        <is>
          <t>SQM</t>
        </is>
      </c>
      <c r="H384" s="1" t="inlineStr">
        <is>
          <t>Ceramic</t>
        </is>
      </c>
      <c r="I384" s="1" t="inlineStr">
        <is>
          <t>Gloss</t>
        </is>
      </c>
      <c r="J384" t="n">
        <v>24.95</v>
      </c>
      <c r="K384" t="n">
        <v>24.95</v>
      </c>
      <c r="L384" t="n">
        <v>24.95</v>
      </c>
    </row>
    <row r="385">
      <c r="A385" s="1">
        <f>Hyperlink("https://www.wallsandfloors.co.uk/norcros-4-into-1-wall-floor-tile-grout-arctic-white","Product")</f>
        <v/>
      </c>
      <c r="B385" s="1" t="inlineStr">
        <is>
          <t>37098</t>
        </is>
      </c>
      <c r="C385" s="1" t="inlineStr">
        <is>
          <t>Norcros 4 into 1 Wall &amp; Floor Arctic White Tile Grout</t>
        </is>
      </c>
      <c r="D385" s="1" t="inlineStr">
        <is>
          <t>5kg</t>
        </is>
      </c>
      <c r="E385" s="1" t="n">
        <v>10.95</v>
      </c>
      <c r="F385" s="1" t="n">
        <v>0</v>
      </c>
      <c r="G385" s="1" t="inlineStr"/>
      <c r="H385" s="1" t="inlineStr">
        <is>
          <t>Grout</t>
        </is>
      </c>
      <c r="I385" s="1" t="inlineStr">
        <is>
          <t>-</t>
        </is>
      </c>
      <c r="J385" t="n">
        <v>10.95</v>
      </c>
      <c r="K385" t="n">
        <v>10.95</v>
      </c>
      <c r="L385" t="n">
        <v>10.95</v>
      </c>
    </row>
    <row r="386">
      <c r="A386" s="1">
        <f>Hyperlink("https://www.wallsandfloors.co.uk/persian-stone-mosaic-tiles-trav-chira-square-tiles-27364","Product")</f>
        <v/>
      </c>
      <c r="B386" s="1" t="inlineStr">
        <is>
          <t>4218</t>
        </is>
      </c>
      <c r="C386" s="1" t="inlineStr">
        <is>
          <t>Persian Stone Trav Chira Square Mosaic Tiles</t>
        </is>
      </c>
      <c r="D386" s="1" t="inlineStr">
        <is>
          <t>300x300x10mm</t>
        </is>
      </c>
      <c r="E386" s="1" t="n">
        <v>7.95</v>
      </c>
      <c r="F386" s="1" t="n">
        <v>0</v>
      </c>
      <c r="G386" s="1" t="inlineStr">
        <is>
          <t>Sheet</t>
        </is>
      </c>
      <c r="H386" s="1" t="inlineStr">
        <is>
          <t>Stone</t>
        </is>
      </c>
      <c r="I386" s="1" t="inlineStr">
        <is>
          <t>Matt</t>
        </is>
      </c>
      <c r="J386" t="n">
        <v>7.95</v>
      </c>
      <c r="K386" t="n">
        <v>7.95</v>
      </c>
      <c r="L386" t="n">
        <v>7.95</v>
      </c>
    </row>
    <row r="387">
      <c r="A387" s="1">
        <f>Hyperlink("https://www.wallsandfloors.co.uk/persian-stone-mosaic-tiles-polished-ivory-brick-tiles","Product")</f>
        <v/>
      </c>
      <c r="B387" s="1" t="inlineStr">
        <is>
          <t>4227</t>
        </is>
      </c>
      <c r="C387" s="1" t="inlineStr">
        <is>
          <t>Persian Stone Polished Ivory Brick Mosaic Tiles</t>
        </is>
      </c>
      <c r="D387" s="1" t="inlineStr">
        <is>
          <t>290x290x10mm</t>
        </is>
      </c>
      <c r="E387" s="1" t="n">
        <v>7.95</v>
      </c>
      <c r="F387" s="1" t="n">
        <v>0</v>
      </c>
      <c r="G387" s="1" t="inlineStr">
        <is>
          <t>Sheet</t>
        </is>
      </c>
      <c r="H387" s="1" t="inlineStr">
        <is>
          <t>Stone</t>
        </is>
      </c>
      <c r="I387" s="1" t="inlineStr">
        <is>
          <t>Matt</t>
        </is>
      </c>
      <c r="J387" t="n">
        <v>7.95</v>
      </c>
      <c r="K387" t="n">
        <v>7.95</v>
      </c>
      <c r="L387" t="n">
        <v>7.95</v>
      </c>
    </row>
    <row r="388">
      <c r="A388" s="1">
        <f>Hyperlink("https://www.wallsandfloors.co.uk/persian-stone-mosaic-tiles-blanco-brick-tiles","Product")</f>
        <v/>
      </c>
      <c r="B388" s="1" t="inlineStr">
        <is>
          <t>4215</t>
        </is>
      </c>
      <c r="C388" s="1" t="inlineStr">
        <is>
          <t>Blanco Brick Tiles</t>
        </is>
      </c>
      <c r="D388" s="1" t="inlineStr">
        <is>
          <t>300x280x10mm</t>
        </is>
      </c>
      <c r="E388" s="1" t="n">
        <v>7.95</v>
      </c>
      <c r="F388" s="1" t="n">
        <v>0</v>
      </c>
      <c r="G388" s="1" t="inlineStr"/>
      <c r="H388" s="1" t="inlineStr">
        <is>
          <t>Stone</t>
        </is>
      </c>
      <c r="I388" s="1" t="inlineStr">
        <is>
          <t>Matt</t>
        </is>
      </c>
      <c r="J388" t="n">
        <v>7.95</v>
      </c>
      <c r="K388" t="inlineStr"/>
      <c r="L388" t="n">
        <v>7.95</v>
      </c>
    </row>
    <row r="389">
      <c r="A389" s="1">
        <f>Hyperlink("https://www.wallsandfloors.co.uk/perla-brillo-8374","Product")</f>
        <v/>
      </c>
      <c r="B389" s="1" t="inlineStr">
        <is>
          <t>8374</t>
        </is>
      </c>
      <c r="C389" s="1" t="inlineStr">
        <is>
          <t>Rhian Perla Grey Gloss Tiles</t>
        </is>
      </c>
      <c r="D389" s="1" t="inlineStr">
        <is>
          <t>300x100x7mm</t>
        </is>
      </c>
      <c r="E389" s="1" t="n">
        <v>25.95</v>
      </c>
      <c r="F389" s="1" t="n">
        <v>0</v>
      </c>
      <c r="G389" s="1" t="inlineStr">
        <is>
          <t>SQM</t>
        </is>
      </c>
      <c r="H389" s="1" t="inlineStr">
        <is>
          <t>Ceramic</t>
        </is>
      </c>
      <c r="I389" s="1" t="inlineStr">
        <is>
          <t>Gloss</t>
        </is>
      </c>
      <c r="J389" t="n">
        <v>25.95</v>
      </c>
      <c r="K389" t="n">
        <v>25.95</v>
      </c>
      <c r="L389" t="n">
        <v>25.95</v>
      </c>
    </row>
    <row r="390">
      <c r="A390" s="1">
        <f>Hyperlink("https://www.wallsandfloors.co.uk/norcros-4-into-1-wall-floor-tile-grout-coffee-bean","Product")</f>
        <v/>
      </c>
      <c r="B390" s="1" t="inlineStr">
        <is>
          <t>37102</t>
        </is>
      </c>
      <c r="C390" s="1" t="inlineStr">
        <is>
          <t>Norcros 4 into 1 Wall &amp; Floor Coffee Bean Tile Grout</t>
        </is>
      </c>
      <c r="D390" s="1" t="inlineStr">
        <is>
          <t>5kg</t>
        </is>
      </c>
      <c r="E390" s="1" t="n">
        <v>10.95</v>
      </c>
      <c r="F390" s="1" t="n">
        <v>0</v>
      </c>
      <c r="G390" s="1" t="inlineStr">
        <is>
          <t>Unit</t>
        </is>
      </c>
      <c r="H390" s="1" t="inlineStr">
        <is>
          <t>Grout</t>
        </is>
      </c>
      <c r="I390" s="1" t="inlineStr">
        <is>
          <t>-</t>
        </is>
      </c>
      <c r="J390" t="n">
        <v>10.95</v>
      </c>
      <c r="K390" t="n">
        <v>10.95</v>
      </c>
      <c r="L390" t="n">
        <v>10.95</v>
      </c>
    </row>
    <row r="391">
      <c r="A391" s="1">
        <f>Hyperlink("https://www.wallsandfloors.co.uk/norcros-4-into-1-wall-floor-tile-grout-cornish-cream","Product")</f>
        <v/>
      </c>
      <c r="B391" s="1" t="inlineStr">
        <is>
          <t>37104</t>
        </is>
      </c>
      <c r="C391" s="1" t="inlineStr">
        <is>
          <t>Norcros 4 into 1 Wall &amp; Floor Cornish Cream Tile Grout</t>
        </is>
      </c>
      <c r="D391" s="1" t="inlineStr">
        <is>
          <t>5kg</t>
        </is>
      </c>
      <c r="E391" s="1" t="n">
        <v>10.95</v>
      </c>
      <c r="F391" s="1" t="n">
        <v>0</v>
      </c>
      <c r="G391" s="1" t="inlineStr">
        <is>
          <t>Unit</t>
        </is>
      </c>
      <c r="H391" s="1" t="inlineStr">
        <is>
          <t>Grout</t>
        </is>
      </c>
      <c r="I391" s="1" t="inlineStr">
        <is>
          <t>-</t>
        </is>
      </c>
      <c r="J391" t="n">
        <v>10.95</v>
      </c>
      <c r="K391" t="n">
        <v>10.95</v>
      </c>
      <c r="L391" t="n">
        <v>10.95</v>
      </c>
    </row>
    <row r="392">
      <c r="A392" s="1">
        <f>Hyperlink("https://www.wallsandfloors.co.uk/pearl-grey-triangle-50x50x70mm-tiles","Product")</f>
        <v/>
      </c>
      <c r="B392" s="1" t="inlineStr">
        <is>
          <t>990178</t>
        </is>
      </c>
      <c r="C392" s="1" t="inlineStr">
        <is>
          <t>Pearl Grey Triangle Tiles</t>
        </is>
      </c>
      <c r="D392" s="1" t="inlineStr">
        <is>
          <t>50x50x70mm</t>
        </is>
      </c>
      <c r="E392" s="1" t="n">
        <v>2.03</v>
      </c>
      <c r="F392" s="1" t="n">
        <v>0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Matt</t>
        </is>
      </c>
      <c r="J392" t="n">
        <v>2.03</v>
      </c>
      <c r="K392" t="n">
        <v>2.03</v>
      </c>
      <c r="L392" t="n">
        <v>2.03</v>
      </c>
    </row>
    <row r="393">
      <c r="A393" s="1">
        <f>Hyperlink("https://www.wallsandfloors.co.uk/norcros-4-into-1-wall-floor-tile-grout-forest-acorn","Product")</f>
        <v/>
      </c>
      <c r="B393" s="1" t="inlineStr">
        <is>
          <t>37106</t>
        </is>
      </c>
      <c r="C393" s="1" t="inlineStr">
        <is>
          <t>Norcros 4 into 1 Wall &amp; Floor Forest Acorn Tile Grout</t>
        </is>
      </c>
      <c r="D393" s="1" t="inlineStr">
        <is>
          <t>5kg</t>
        </is>
      </c>
      <c r="E393" s="1" t="n">
        <v>10.95</v>
      </c>
      <c r="F393" s="1" t="n">
        <v>0</v>
      </c>
      <c r="G393" s="1" t="inlineStr">
        <is>
          <t>Unit</t>
        </is>
      </c>
      <c r="H393" s="1" t="inlineStr">
        <is>
          <t>Grout</t>
        </is>
      </c>
      <c r="I393" s="1" t="inlineStr">
        <is>
          <t>-</t>
        </is>
      </c>
      <c r="J393" t="n">
        <v>10.95</v>
      </c>
      <c r="K393" t="inlineStr"/>
      <c r="L393" t="n">
        <v>10.95</v>
      </c>
    </row>
    <row r="394">
      <c r="A394" s="1">
        <f>Hyperlink("https://www.wallsandfloors.co.uk/pearl-grey-squares-70mm-tiles","Product")</f>
        <v/>
      </c>
      <c r="B394" s="1" t="inlineStr">
        <is>
          <t>990068</t>
        </is>
      </c>
      <c r="C394" s="1" t="inlineStr">
        <is>
          <t>Pearl Grey Squares 70mm Tiles</t>
        </is>
      </c>
      <c r="D394" s="1" t="inlineStr">
        <is>
          <t>70x70x9-10mm</t>
        </is>
      </c>
      <c r="E394" s="1" t="n">
        <v>0.85</v>
      </c>
      <c r="F394" s="1" t="n">
        <v>0</v>
      </c>
      <c r="G394" s="1" t="inlineStr">
        <is>
          <t>SQM</t>
        </is>
      </c>
      <c r="H394" s="1" t="inlineStr">
        <is>
          <t>Porcelain</t>
        </is>
      </c>
      <c r="I394" s="1" t="inlineStr">
        <is>
          <t>Matt</t>
        </is>
      </c>
      <c r="J394" t="n">
        <v>0.85</v>
      </c>
      <c r="K394" t="inlineStr"/>
      <c r="L394" t="n">
        <v>0.85</v>
      </c>
    </row>
    <row r="395">
      <c r="A395" s="1">
        <f>Hyperlink("https://www.wallsandfloors.co.uk/pearl-grey-squares-50mm-tiles","Product")</f>
        <v/>
      </c>
      <c r="B395" s="1" t="inlineStr">
        <is>
          <t>990093</t>
        </is>
      </c>
      <c r="C395" s="1" t="inlineStr">
        <is>
          <t>Pearl Grey Squares 50mm Tiles</t>
        </is>
      </c>
      <c r="D395" s="1" t="inlineStr">
        <is>
          <t>50x50x9-10mm</t>
        </is>
      </c>
      <c r="E395" s="1" t="n">
        <v>0.67</v>
      </c>
      <c r="F395" s="1" t="n">
        <v>0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inlineStr"/>
      <c r="K395" t="n">
        <v>0.67</v>
      </c>
      <c r="L395" t="n">
        <v>0.67</v>
      </c>
    </row>
    <row r="396">
      <c r="A396" s="1">
        <f>Hyperlink("https://www.wallsandfloors.co.uk/pearl-grey-squares-150mm-tiles","Product")</f>
        <v/>
      </c>
      <c r="B396" s="1" t="inlineStr">
        <is>
          <t>990006</t>
        </is>
      </c>
      <c r="C396" s="1" t="inlineStr">
        <is>
          <t>Pearl Grey Squares Tiles</t>
        </is>
      </c>
      <c r="D396" s="1" t="inlineStr">
        <is>
          <t>150x150x9-10mm</t>
        </is>
      </c>
      <c r="E396" s="1" t="n">
        <v>3.95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n">
        <v>3.95</v>
      </c>
      <c r="K396" t="n">
        <v>3.95</v>
      </c>
      <c r="L396" t="n">
        <v>3.95</v>
      </c>
    </row>
    <row r="397">
      <c r="A397" s="1">
        <f>Hyperlink("https://www.wallsandfloors.co.uk/pearl-grey-squares-100mm-tiles","Product")</f>
        <v/>
      </c>
      <c r="B397" s="1" t="inlineStr">
        <is>
          <t>990043</t>
        </is>
      </c>
      <c r="C397" s="1" t="inlineStr">
        <is>
          <t>Pearl Grey Squares 100mm Tiles</t>
        </is>
      </c>
      <c r="D397" s="1" t="inlineStr">
        <is>
          <t>100x100x9-10mm</t>
        </is>
      </c>
      <c r="E397" s="1" t="n">
        <v>1.62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n">
        <v>1.62</v>
      </c>
      <c r="K397" t="n">
        <v>1.62</v>
      </c>
      <c r="L397" t="n">
        <v>1.62</v>
      </c>
    </row>
    <row r="398">
      <c r="A398" s="1">
        <f>Hyperlink("https://www.wallsandfloors.co.uk/pastiche-tiles-dusted-ornamental-decor-tiles-23200","Product")</f>
        <v/>
      </c>
      <c r="B398" s="1" t="inlineStr">
        <is>
          <t>14688</t>
        </is>
      </c>
      <c r="C398" s="1" t="inlineStr">
        <is>
          <t>Pastiche Dusted Ornamental Patchwork Pattern Tiles</t>
        </is>
      </c>
      <c r="D398" s="1" t="inlineStr">
        <is>
          <t>750x750x11mm</t>
        </is>
      </c>
      <c r="E398" s="1" t="n">
        <v>21.95</v>
      </c>
      <c r="F398" s="1" t="n">
        <v>0</v>
      </c>
      <c r="G398" s="1" t="inlineStr">
        <is>
          <t>SQM</t>
        </is>
      </c>
      <c r="H398" s="1" t="inlineStr">
        <is>
          <t>Porcelain</t>
        </is>
      </c>
      <c r="I398" s="1" t="inlineStr">
        <is>
          <t>Matt</t>
        </is>
      </c>
      <c r="J398" t="inlineStr"/>
      <c r="K398" t="n">
        <v>21.95</v>
      </c>
      <c r="L398" t="n">
        <v>21.95</v>
      </c>
    </row>
    <row r="399">
      <c r="A399" s="1">
        <f>Hyperlink("https://www.wallsandfloors.co.uk/norcros-4-into-1-wall-floor-tile-grout-golden-jasmine","Product")</f>
        <v/>
      </c>
      <c r="B399" s="1" t="inlineStr">
        <is>
          <t>37108</t>
        </is>
      </c>
      <c r="C399" s="1" t="inlineStr">
        <is>
          <t>Norcros 4 into 1 Wall &amp; Floor Golden Jasmine Tile Grout</t>
        </is>
      </c>
      <c r="D399" s="1" t="inlineStr">
        <is>
          <t>5kg</t>
        </is>
      </c>
      <c r="E399" s="1" t="n">
        <v>10.95</v>
      </c>
      <c r="F399" s="1" t="n">
        <v>0</v>
      </c>
      <c r="G399" s="1" t="inlineStr">
        <is>
          <t>Unit</t>
        </is>
      </c>
      <c r="H399" s="1" t="inlineStr">
        <is>
          <t>Grout</t>
        </is>
      </c>
      <c r="I399" s="1" t="inlineStr">
        <is>
          <t>-</t>
        </is>
      </c>
      <c r="J399" t="n">
        <v>10.95</v>
      </c>
      <c r="K399" t="inlineStr"/>
      <c r="L399" t="n">
        <v>10.95</v>
      </c>
    </row>
    <row r="400">
      <c r="A400" s="1">
        <f>Hyperlink("https://www.wallsandfloors.co.uk/petrichor-pearl-stone-tiles","Product")</f>
        <v/>
      </c>
      <c r="B400" s="1" t="inlineStr">
        <is>
          <t>35435</t>
        </is>
      </c>
      <c r="C400" s="1" t="inlineStr">
        <is>
          <t>Pearl Stone Tiles</t>
        </is>
      </c>
      <c r="D400" s="1" t="inlineStr">
        <is>
          <t>597x597x10.5mm</t>
        </is>
      </c>
      <c r="E400" s="1" t="n">
        <v>21.98</v>
      </c>
      <c r="F400" s="1" t="n">
        <v>0</v>
      </c>
      <c r="G400" s="1" t="inlineStr">
        <is>
          <t>SQM</t>
        </is>
      </c>
      <c r="H400" s="1" t="inlineStr">
        <is>
          <t>Porcelain</t>
        </is>
      </c>
      <c r="I400" s="1" t="inlineStr">
        <is>
          <t>Matt</t>
        </is>
      </c>
      <c r="J400" t="n">
        <v>21.98</v>
      </c>
      <c r="K400" t="n">
        <v>21.98</v>
      </c>
      <c r="L400" t="n">
        <v>21.98</v>
      </c>
    </row>
    <row r="401">
      <c r="A401" s="1">
        <f>Hyperlink("https://www.wallsandfloors.co.uk/pale-blue-strip-150x25mm-tiles","Product")</f>
        <v/>
      </c>
      <c r="B401" s="1" t="inlineStr">
        <is>
          <t>990249</t>
        </is>
      </c>
      <c r="C401" s="1" t="inlineStr">
        <is>
          <t>Pale Blue Strip Tiles</t>
        </is>
      </c>
      <c r="D401" s="1" t="inlineStr">
        <is>
          <t>150x25x9-10mm</t>
        </is>
      </c>
      <c r="E401" s="1" t="n">
        <v>2.37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2.37</v>
      </c>
      <c r="K401" t="inlineStr"/>
      <c r="L401" t="n">
        <v>2.37</v>
      </c>
    </row>
    <row r="402">
      <c r="A402" s="1">
        <f>Hyperlink("https://www.wallsandfloors.co.uk/palace-heat-resistant-tile-adhesive-10-kg","Product")</f>
        <v/>
      </c>
      <c r="B402" s="1" t="inlineStr">
        <is>
          <t>15381</t>
        </is>
      </c>
      <c r="C402" s="1" t="inlineStr">
        <is>
          <t>Palace Heat Resistant Tile Adhesive 10kg</t>
        </is>
      </c>
      <c r="D402" s="1" t="inlineStr">
        <is>
          <t>10 Kg</t>
        </is>
      </c>
      <c r="E402" s="1" t="n">
        <v>34.95</v>
      </c>
      <c r="F402" s="1" t="n">
        <v>0</v>
      </c>
      <c r="G402" s="1" t="inlineStr">
        <is>
          <t>Unit</t>
        </is>
      </c>
      <c r="H402" s="1" t="inlineStr">
        <is>
          <t>Adhesive</t>
        </is>
      </c>
      <c r="I402" s="1" t="inlineStr">
        <is>
          <t>-</t>
        </is>
      </c>
      <c r="J402" t="inlineStr"/>
      <c r="K402" t="n">
        <v>34.95</v>
      </c>
      <c r="L402" t="n">
        <v>34.95</v>
      </c>
    </row>
    <row r="403">
      <c r="A403" s="1">
        <f>Hyperlink("https://www.wallsandfloors.co.uk/ornato-bella-tiles-bella-corner-tile","Product")</f>
        <v/>
      </c>
      <c r="B403" s="1" t="inlineStr">
        <is>
          <t>15218</t>
        </is>
      </c>
      <c r="C403" s="1" t="inlineStr">
        <is>
          <t>Ornato Bella Corner Tile</t>
        </is>
      </c>
      <c r="D403" s="1" t="inlineStr">
        <is>
          <t>200x200x10mm</t>
        </is>
      </c>
      <c r="E403" s="1" t="n">
        <v>5.45</v>
      </c>
      <c r="F403" s="1" t="n">
        <v>0</v>
      </c>
      <c r="G403" s="1" t="inlineStr">
        <is>
          <t>Tile</t>
        </is>
      </c>
      <c r="H403" s="1" t="inlineStr">
        <is>
          <t>Porcelain</t>
        </is>
      </c>
      <c r="I403" s="1" t="inlineStr">
        <is>
          <t>Matt</t>
        </is>
      </c>
      <c r="J403" t="inlineStr"/>
      <c r="K403" t="n">
        <v>5.45</v>
      </c>
      <c r="L403" t="n">
        <v>5.45</v>
      </c>
    </row>
    <row r="404">
      <c r="A404" s="1">
        <f>Hyperlink("https://www.wallsandfloors.co.uk/ornato-bella-tiles-bella-border-tile","Product")</f>
        <v/>
      </c>
      <c r="B404" s="1" t="inlineStr">
        <is>
          <t>15219</t>
        </is>
      </c>
      <c r="C404" s="1" t="inlineStr">
        <is>
          <t>Ornato Bella Border Tile</t>
        </is>
      </c>
      <c r="D404" s="1" t="inlineStr">
        <is>
          <t>200x200x10mm</t>
        </is>
      </c>
      <c r="E404" s="1" t="n">
        <v>3.95</v>
      </c>
      <c r="F404" s="1" t="n">
        <v>0</v>
      </c>
      <c r="G404" s="1" t="inlineStr">
        <is>
          <t>Tile</t>
        </is>
      </c>
      <c r="H404" s="1" t="inlineStr">
        <is>
          <t>Porcelain</t>
        </is>
      </c>
      <c r="I404" s="1" t="inlineStr">
        <is>
          <t>Matt</t>
        </is>
      </c>
      <c r="J404" t="inlineStr"/>
      <c r="K404" t="n">
        <v>3.95</v>
      </c>
      <c r="L404" t="n">
        <v>3.95</v>
      </c>
    </row>
    <row r="405">
      <c r="A405" s="1">
        <f>Hyperlink("https://www.wallsandfloors.co.uk/opus-concrete-effect-tiles-gainsboro-grey-tiles","Product")</f>
        <v/>
      </c>
      <c r="B405" s="1" t="inlineStr">
        <is>
          <t>15438</t>
        </is>
      </c>
      <c r="C405" s="1" t="inlineStr">
        <is>
          <t>Opus Gainsboro Grey Concrete Effect Tiles</t>
        </is>
      </c>
      <c r="D405" s="1" t="inlineStr">
        <is>
          <t>605x605x8mm</t>
        </is>
      </c>
      <c r="E405" s="1" t="n">
        <v>20.95</v>
      </c>
      <c r="F405" s="1" t="n">
        <v>0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inlineStr"/>
      <c r="K405" t="n">
        <v>20.95</v>
      </c>
      <c r="L405" t="n">
        <v>20.95</v>
      </c>
    </row>
    <row r="406">
      <c r="A406" s="1">
        <f>Hyperlink("https://www.wallsandfloors.co.uk/opus-concrete-effect-tiles-cinereous-grey-tiles","Product")</f>
        <v/>
      </c>
      <c r="B406" s="1" t="inlineStr">
        <is>
          <t>15437</t>
        </is>
      </c>
      <c r="C406" s="1" t="inlineStr">
        <is>
          <t>Opus Cinereous Grey Concrete Effect Tiles</t>
        </is>
      </c>
      <c r="D406" s="1" t="inlineStr">
        <is>
          <t>605x605x8mm</t>
        </is>
      </c>
      <c r="E406" s="1" t="n">
        <v>20.95</v>
      </c>
      <c r="F406" s="1" t="n">
        <v>0</v>
      </c>
      <c r="G406" s="1" t="inlineStr">
        <is>
          <t>SQM</t>
        </is>
      </c>
      <c r="H406" s="1" t="inlineStr">
        <is>
          <t>Porcelain</t>
        </is>
      </c>
      <c r="I406" s="1" t="inlineStr">
        <is>
          <t>Matt</t>
        </is>
      </c>
      <c r="J406" t="n">
        <v>20.95</v>
      </c>
      <c r="K406" t="n">
        <v>20.95</v>
      </c>
      <c r="L406" t="n">
        <v>20.95</v>
      </c>
    </row>
    <row r="407">
      <c r="A407" s="1">
        <f>Hyperlink("https://www.wallsandfloors.co.uk/notched-trowel-3mm-stainless-steel","Product")</f>
        <v/>
      </c>
      <c r="B407" s="1" t="inlineStr">
        <is>
          <t>27867</t>
        </is>
      </c>
      <c r="C407" s="1" t="inlineStr">
        <is>
          <t>INOX Notched Trowel 3x3 mm</t>
        </is>
      </c>
      <c r="D407" s="1" t="inlineStr">
        <is>
          <t>3x3mm</t>
        </is>
      </c>
      <c r="E407" s="1" t="n">
        <v>16.87</v>
      </c>
      <c r="F407" s="1" t="n">
        <v>0</v>
      </c>
      <c r="G407" s="1" t="inlineStr">
        <is>
          <t>Unit</t>
        </is>
      </c>
      <c r="H407" s="1" t="inlineStr">
        <is>
          <t>Tools</t>
        </is>
      </c>
      <c r="I407" s="1" t="inlineStr">
        <is>
          <t>-</t>
        </is>
      </c>
      <c r="J407" t="n">
        <v>16.87</v>
      </c>
      <c r="K407" t="n">
        <v>16.87</v>
      </c>
      <c r="L407" t="n">
        <v>16.87</v>
      </c>
    </row>
    <row r="408">
      <c r="A408" s="1">
        <f>Hyperlink("https://www.wallsandfloors.co.uk/opal-white-imperial-tiles-gloss-opal-white-large-tiles","Product")</f>
        <v/>
      </c>
      <c r="B408" s="1" t="inlineStr">
        <is>
          <t>4427</t>
        </is>
      </c>
      <c r="C408" s="1" t="inlineStr">
        <is>
          <t>Opal Large Gloss White Tiles</t>
        </is>
      </c>
      <c r="D408" s="1" t="inlineStr">
        <is>
          <t>152x152x5.5mm</t>
        </is>
      </c>
      <c r="E408" s="1" t="n">
        <v>28.45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Gloss</t>
        </is>
      </c>
      <c r="J408" t="n">
        <v>28.45</v>
      </c>
      <c r="K408" t="n">
        <v>28.45</v>
      </c>
      <c r="L408" t="n">
        <v>28.45</v>
      </c>
    </row>
    <row r="409">
      <c r="A409" s="1">
        <f>Hyperlink("https://www.wallsandfloors.co.uk/olde-victorian-floor-tiles-black-squares-50mm-tiles","Product")</f>
        <v/>
      </c>
      <c r="B409" s="1" t="inlineStr">
        <is>
          <t>990077</t>
        </is>
      </c>
      <c r="C409" s="1" t="inlineStr">
        <is>
          <t>Black Squares 50mm Tiles</t>
        </is>
      </c>
      <c r="D409" s="1" t="inlineStr">
        <is>
          <t>50x50x9-10mm</t>
        </is>
      </c>
      <c r="E409" s="1" t="n">
        <v>2.95</v>
      </c>
      <c r="F409" s="1" t="n">
        <v>0</v>
      </c>
      <c r="G409" s="1" t="inlineStr">
        <is>
          <t>Tile</t>
        </is>
      </c>
      <c r="H409" s="1" t="inlineStr">
        <is>
          <t>Porcelain</t>
        </is>
      </c>
      <c r="I409" s="1" t="inlineStr">
        <is>
          <t>Matt</t>
        </is>
      </c>
      <c r="J409" t="n">
        <v>2.95</v>
      </c>
      <c r="K409" t="n">
        <v>2.95</v>
      </c>
      <c r="L409" t="n">
        <v>2.95</v>
      </c>
    </row>
    <row r="410">
      <c r="A410" s="1">
        <f>Hyperlink("https://www.wallsandfloors.co.uk/nutmeg-beige-wood-effect-tile","Product")</f>
        <v/>
      </c>
      <c r="B410" s="1" t="inlineStr">
        <is>
          <t>40050</t>
        </is>
      </c>
      <c r="C410" s="1" t="inlineStr">
        <is>
          <t>Nutmeg Beige Wood Effect Tiles</t>
        </is>
      </c>
      <c r="D410" s="1" t="inlineStr">
        <is>
          <t>154x600x9mm</t>
        </is>
      </c>
      <c r="E410" s="1" t="n">
        <v>16.95</v>
      </c>
      <c r="F410" s="1" t="n">
        <v>0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n">
        <v>16.95</v>
      </c>
      <c r="K410" t="n">
        <v>16.95</v>
      </c>
      <c r="L410" t="n">
        <v>16.95</v>
      </c>
    </row>
    <row r="411">
      <c r="A411" s="1">
        <f>Hyperlink("https://www.wallsandfloors.co.uk/nutmeg-taupe-wood-effect-tile","Product")</f>
        <v/>
      </c>
      <c r="B411" s="1" t="inlineStr">
        <is>
          <t>40052</t>
        </is>
      </c>
      <c r="C411" s="1" t="inlineStr">
        <is>
          <t>Nutmeg Taupe Wood Effect Tile</t>
        </is>
      </c>
      <c r="D411" s="1" t="inlineStr">
        <is>
          <t>154x600x9mm</t>
        </is>
      </c>
      <c r="E411" s="1" t="n">
        <v>16.95</v>
      </c>
      <c r="F411" s="1" t="n">
        <v>0</v>
      </c>
      <c r="G411" s="1" t="inlineStr">
        <is>
          <t>SQM</t>
        </is>
      </c>
      <c r="H411" s="1" t="inlineStr">
        <is>
          <t>Ceramic</t>
        </is>
      </c>
      <c r="I411" s="1" t="inlineStr">
        <is>
          <t>Matt</t>
        </is>
      </c>
      <c r="J411" t="inlineStr"/>
      <c r="K411" t="n">
        <v>16.95</v>
      </c>
      <c r="L411" t="n">
        <v>16.95</v>
      </c>
    </row>
    <row r="412">
      <c r="A412" s="1">
        <f>Hyperlink("https://www.wallsandfloors.co.uk/octagon-marine-tiles","Product")</f>
        <v/>
      </c>
      <c r="B412" s="1" t="inlineStr">
        <is>
          <t>43093</t>
        </is>
      </c>
      <c r="C412" s="1" t="inlineStr">
        <is>
          <t>Octagon Marine Tiles</t>
        </is>
      </c>
      <c r="D412" s="1" t="inlineStr">
        <is>
          <t>450x450x10.5mm</t>
        </is>
      </c>
      <c r="E412" s="1" t="n">
        <v>26.95</v>
      </c>
      <c r="F412" s="1" t="n">
        <v>0</v>
      </c>
      <c r="G412" s="1" t="inlineStr">
        <is>
          <t>SQM</t>
        </is>
      </c>
      <c r="H412" s="1" t="inlineStr">
        <is>
          <t>Ceramic</t>
        </is>
      </c>
      <c r="I412" s="1" t="inlineStr">
        <is>
          <t>Matt</t>
        </is>
      </c>
      <c r="J412" t="n">
        <v>26.95</v>
      </c>
      <c r="K412" t="n">
        <v>26.95</v>
      </c>
      <c r="L412" t="n">
        <v>26.95</v>
      </c>
    </row>
    <row r="413">
      <c r="A413" s="1">
        <f>Hyperlink("https://www.wallsandfloors.co.uk/oaken-teal-tiles","Product")</f>
        <v/>
      </c>
      <c r="B413" s="1" t="inlineStr">
        <is>
          <t>43852</t>
        </is>
      </c>
      <c r="C413" s="1" t="inlineStr">
        <is>
          <t>Oaken Teal Oxidised Hexagon Tiles</t>
        </is>
      </c>
      <c r="D413" s="1" t="inlineStr">
        <is>
          <t>333x280x9mm</t>
        </is>
      </c>
      <c r="E413" s="1" t="n">
        <v>35.95</v>
      </c>
      <c r="F413" s="1" t="n">
        <v>0</v>
      </c>
      <c r="G413" s="1" t="inlineStr">
        <is>
          <t>SQM</t>
        </is>
      </c>
      <c r="H413" s="1" t="inlineStr">
        <is>
          <t>Porcelain</t>
        </is>
      </c>
      <c r="I413" s="1" t="inlineStr">
        <is>
          <t>Matt</t>
        </is>
      </c>
      <c r="J413" t="n">
        <v>35.95</v>
      </c>
      <c r="K413" t="n">
        <v>35.95</v>
      </c>
      <c r="L413" t="n">
        <v>35.95</v>
      </c>
    </row>
    <row r="414">
      <c r="A414" s="1">
        <f>Hyperlink("https://www.wallsandfloors.co.uk/ocean-teal-tiles","Product")</f>
        <v/>
      </c>
      <c r="B414" s="1" t="inlineStr">
        <is>
          <t>38983</t>
        </is>
      </c>
      <c r="C414" s="1" t="inlineStr">
        <is>
          <t>Nyans Ocean Teal Wood Effect Tiles</t>
        </is>
      </c>
      <c r="D414" s="1" t="inlineStr">
        <is>
          <t>593x98x9.5mm</t>
        </is>
      </c>
      <c r="E414" s="1" t="n">
        <v>40.95</v>
      </c>
      <c r="F414" s="1" t="n">
        <v>0</v>
      </c>
      <c r="G414" s="1" t="inlineStr">
        <is>
          <t>SQM</t>
        </is>
      </c>
      <c r="H414" s="1" t="inlineStr">
        <is>
          <t>Porcelain</t>
        </is>
      </c>
      <c r="I414" s="1" t="inlineStr">
        <is>
          <t>Matt</t>
        </is>
      </c>
      <c r="J414" t="n">
        <v>40.95</v>
      </c>
      <c r="K414" t="inlineStr"/>
      <c r="L414" t="n">
        <v>40.95</v>
      </c>
    </row>
    <row r="415">
      <c r="A415" s="1">
        <f>Hyperlink("https://www.wallsandfloors.co.uk/obra-wood-mix-tiles","Product")</f>
        <v/>
      </c>
      <c r="B415" s="1" t="inlineStr">
        <is>
          <t>39075</t>
        </is>
      </c>
      <c r="C415" s="1" t="inlineStr">
        <is>
          <t>Obra Wood Mix Tiles</t>
        </is>
      </c>
      <c r="D415" s="1" t="inlineStr">
        <is>
          <t>300x300x8mm</t>
        </is>
      </c>
      <c r="E415" s="1" t="n">
        <v>29.95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29.95</v>
      </c>
      <c r="K415" t="inlineStr"/>
      <c r="L415" t="n">
        <v>29.95</v>
      </c>
    </row>
    <row r="416">
      <c r="A416" s="1">
        <f>Hyperlink("https://www.wallsandfloors.co.uk/oasis-tiles-grey-haven-tiles","Product")</f>
        <v/>
      </c>
      <c r="B416" s="1" t="inlineStr">
        <is>
          <t>14694</t>
        </is>
      </c>
      <c r="C416" s="1" t="inlineStr">
        <is>
          <t>Oasis Haven Matt Grey Tiles</t>
        </is>
      </c>
      <c r="D416" s="1" t="inlineStr">
        <is>
          <t>600x300x10mm</t>
        </is>
      </c>
      <c r="E416" s="1" t="n">
        <v>18.95</v>
      </c>
      <c r="F416" s="1" t="n">
        <v>0</v>
      </c>
      <c r="G416" s="1" t="inlineStr">
        <is>
          <t>SQM</t>
        </is>
      </c>
      <c r="H416" s="1" t="inlineStr">
        <is>
          <t>Porcelain</t>
        </is>
      </c>
      <c r="I416" s="1" t="inlineStr">
        <is>
          <t>Matt</t>
        </is>
      </c>
      <c r="J416" t="n">
        <v>18.95</v>
      </c>
      <c r="K416" t="n">
        <v>18.95</v>
      </c>
      <c r="L416" t="n">
        <v>18.95</v>
      </c>
    </row>
    <row r="417">
      <c r="A417" s="1">
        <f>Hyperlink("https://www.wallsandfloors.co.uk/oasis-tiles-grey-haven-mosaic-tiles","Product")</f>
        <v/>
      </c>
      <c r="B417" s="1" t="inlineStr">
        <is>
          <t>14692</t>
        </is>
      </c>
      <c r="C417" s="1" t="inlineStr">
        <is>
          <t>Grey Haven Mosaic Tiles</t>
        </is>
      </c>
      <c r="D417" s="1" t="inlineStr">
        <is>
          <t>300x300x10mm</t>
        </is>
      </c>
      <c r="E417" s="1" t="n">
        <v>7.95</v>
      </c>
      <c r="F417" s="1" t="n">
        <v>0</v>
      </c>
      <c r="G417" s="1" t="inlineStr">
        <is>
          <t>Sheet</t>
        </is>
      </c>
      <c r="H417" s="1" t="inlineStr">
        <is>
          <t>Porcelain</t>
        </is>
      </c>
      <c r="I417" s="1" t="inlineStr">
        <is>
          <t>Matt</t>
        </is>
      </c>
      <c r="J417" t="n">
        <v>7.95</v>
      </c>
      <c r="K417" t="n">
        <v>7.95</v>
      </c>
      <c r="L417" t="n">
        <v>7.95</v>
      </c>
    </row>
    <row r="418">
      <c r="A418" s="1">
        <f>Hyperlink("https://www.wallsandfloors.co.uk/oasis-tiles-cream-haven-tiles","Product")</f>
        <v/>
      </c>
      <c r="B418" s="1" t="inlineStr">
        <is>
          <t>14693</t>
        </is>
      </c>
      <c r="C418" s="1" t="inlineStr">
        <is>
          <t>Oasis Haven Matt Cream Tiles</t>
        </is>
      </c>
      <c r="D418" s="1" t="inlineStr">
        <is>
          <t>600x300x10mm</t>
        </is>
      </c>
      <c r="E418" s="1" t="n">
        <v>18.95</v>
      </c>
      <c r="F418" s="1" t="n">
        <v>0</v>
      </c>
      <c r="G418" s="1" t="inlineStr">
        <is>
          <t>SQM</t>
        </is>
      </c>
      <c r="H418" s="1" t="inlineStr">
        <is>
          <t>Porcelain</t>
        </is>
      </c>
      <c r="I418" s="1" t="inlineStr">
        <is>
          <t>Matt</t>
        </is>
      </c>
      <c r="J418" t="n">
        <v>18.95</v>
      </c>
      <c r="K418" t="inlineStr"/>
      <c r="L418" t="n">
        <v>18.95</v>
      </c>
    </row>
    <row r="419">
      <c r="A419" s="1">
        <f>Hyperlink("https://www.wallsandfloors.co.uk/oasis-tiles-cream-haven-mosaic-tiles","Product")</f>
        <v/>
      </c>
      <c r="B419" s="1" t="inlineStr">
        <is>
          <t>14691</t>
        </is>
      </c>
      <c r="C419" s="1" t="inlineStr">
        <is>
          <t>Cream Haven Mosaic Tiles</t>
        </is>
      </c>
      <c r="D419" s="1" t="inlineStr">
        <is>
          <t>300x300x10mm</t>
        </is>
      </c>
      <c r="E419" s="1" t="n">
        <v>7.95</v>
      </c>
      <c r="F419" s="1" t="n">
        <v>0</v>
      </c>
      <c r="G419" s="1" t="inlineStr">
        <is>
          <t>Sheet</t>
        </is>
      </c>
      <c r="H419" s="1" t="inlineStr">
        <is>
          <t>Porcelain</t>
        </is>
      </c>
      <c r="I419" s="1" t="inlineStr">
        <is>
          <t>Matt</t>
        </is>
      </c>
      <c r="J419" t="n">
        <v>7.95</v>
      </c>
      <c r="K419" t="n">
        <v>7.95</v>
      </c>
      <c r="L419" t="n">
        <v>7.95</v>
      </c>
    </row>
    <row r="420">
      <c r="A420" s="1">
        <f>Hyperlink("https://www.wallsandfloors.co.uk/ornato-bella-tiles-bella-decor-tile","Product")</f>
        <v/>
      </c>
      <c r="B420" s="1" t="inlineStr">
        <is>
          <t>15217</t>
        </is>
      </c>
      <c r="C420" s="1" t="inlineStr">
        <is>
          <t>Ornato Bella Decor Tile</t>
        </is>
      </c>
      <c r="D420" s="1" t="inlineStr">
        <is>
          <t>200x200x10mm</t>
        </is>
      </c>
      <c r="E420" s="1" t="n">
        <v>50.95</v>
      </c>
      <c r="F420" s="1" t="n">
        <v>0</v>
      </c>
      <c r="G420" s="1" t="inlineStr">
        <is>
          <t>SQM</t>
        </is>
      </c>
      <c r="H420" s="1" t="inlineStr">
        <is>
          <t>Porcelain</t>
        </is>
      </c>
      <c r="I420" s="1" t="inlineStr">
        <is>
          <t>Matt</t>
        </is>
      </c>
      <c r="J420" t="n">
        <v>50.95</v>
      </c>
      <c r="K420" t="n">
        <v>50.95</v>
      </c>
      <c r="L420" t="n">
        <v>50.95</v>
      </c>
    </row>
    <row r="421">
      <c r="A421" s="1">
        <f>Hyperlink("https://www.wallsandfloors.co.uk/pale-blue-squares-70mm-tiles","Product")</f>
        <v/>
      </c>
      <c r="B421" s="1" t="inlineStr">
        <is>
          <t>990064</t>
        </is>
      </c>
      <c r="C421" s="1" t="inlineStr">
        <is>
          <t>Pale Blue Squares 70mm Tiles</t>
        </is>
      </c>
      <c r="D421" s="1" t="inlineStr">
        <is>
          <t>70x70x9-10mm</t>
        </is>
      </c>
      <c r="E421" s="1" t="n">
        <v>1.3</v>
      </c>
      <c r="F421" s="1" t="n">
        <v>0</v>
      </c>
      <c r="G421" s="1" t="inlineStr">
        <is>
          <t>SQM</t>
        </is>
      </c>
      <c r="H421" s="1" t="inlineStr">
        <is>
          <t>Porcelain</t>
        </is>
      </c>
      <c r="I421" s="1" t="inlineStr">
        <is>
          <t>Matt</t>
        </is>
      </c>
      <c r="J421" t="n">
        <v>1.3</v>
      </c>
      <c r="K421" t="n">
        <v>1.3</v>
      </c>
      <c r="L421" t="n">
        <v>1.3</v>
      </c>
    </row>
    <row r="422">
      <c r="A422" s="1">
        <f>Hyperlink("https://www.wallsandfloors.co.uk/ornato-bella-tiles-bianca-opaco-tile","Product")</f>
        <v/>
      </c>
      <c r="B422" s="1" t="inlineStr">
        <is>
          <t>15216</t>
        </is>
      </c>
      <c r="C422" s="1" t="inlineStr">
        <is>
          <t>Ornato Bianca Opaco Tile</t>
        </is>
      </c>
      <c r="D422" s="1" t="inlineStr">
        <is>
          <t>200x200x10mm</t>
        </is>
      </c>
      <c r="E422" s="1" t="n">
        <v>40.95</v>
      </c>
      <c r="F422" s="1" t="n">
        <v>0</v>
      </c>
      <c r="G422" s="1" t="inlineStr">
        <is>
          <t>SQM</t>
        </is>
      </c>
      <c r="H422" s="1" t="inlineStr">
        <is>
          <t>Porcelain</t>
        </is>
      </c>
      <c r="I422" s="1" t="inlineStr">
        <is>
          <t>Matt</t>
        </is>
      </c>
      <c r="J422" t="n">
        <v>40.95</v>
      </c>
      <c r="K422" t="n">
        <v>40.95</v>
      </c>
      <c r="L422" t="n">
        <v>40.95</v>
      </c>
    </row>
    <row r="423">
      <c r="A423" s="1">
        <f>Hyperlink("https://www.wallsandfloors.co.uk/ornato-bella-tiles-grigio-opaco-tile","Product")</f>
        <v/>
      </c>
      <c r="B423" s="1" t="inlineStr">
        <is>
          <t>15214</t>
        </is>
      </c>
      <c r="C423" s="1" t="inlineStr">
        <is>
          <t>Ornato Grigio Opaco Tile</t>
        </is>
      </c>
      <c r="D423" s="1" t="inlineStr">
        <is>
          <t>200x200x10mm</t>
        </is>
      </c>
      <c r="E423" s="1" t="n">
        <v>40.95</v>
      </c>
      <c r="F423" s="1" t="n">
        <v>0</v>
      </c>
      <c r="G423" s="1" t="inlineStr">
        <is>
          <t>SQM</t>
        </is>
      </c>
      <c r="H423" s="1" t="inlineStr">
        <is>
          <t>Porcelain</t>
        </is>
      </c>
      <c r="I423" s="1" t="inlineStr">
        <is>
          <t>Matt</t>
        </is>
      </c>
      <c r="J423" t="inlineStr"/>
      <c r="K423" t="n">
        <v>40.95</v>
      </c>
      <c r="L423" t="n">
        <v>40.95</v>
      </c>
    </row>
    <row r="424">
      <c r="A424" s="1">
        <f>Hyperlink("https://www.wallsandfloors.co.uk/norcros-wall-grout-white-3-5kg","Product")</f>
        <v/>
      </c>
      <c r="B424" s="1" t="inlineStr">
        <is>
          <t>33560</t>
        </is>
      </c>
      <c r="C424" s="1" t="inlineStr">
        <is>
          <t>Norcros White Wall Tile Grout</t>
        </is>
      </c>
      <c r="D424" s="1" t="inlineStr">
        <is>
          <t>3.5kg</t>
        </is>
      </c>
      <c r="E424" s="1" t="n">
        <v>14.95</v>
      </c>
      <c r="F424" s="1" t="n">
        <v>0</v>
      </c>
      <c r="G424" s="1" t="inlineStr">
        <is>
          <t>Unit</t>
        </is>
      </c>
      <c r="H424" s="1" t="inlineStr">
        <is>
          <t>Grout</t>
        </is>
      </c>
      <c r="I424" s="1" t="inlineStr">
        <is>
          <t>-</t>
        </is>
      </c>
      <c r="J424" t="n">
        <v>14.95</v>
      </c>
      <c r="K424" t="n">
        <v>14.95</v>
      </c>
      <c r="L424" t="n">
        <v>14.95</v>
      </c>
    </row>
    <row r="425">
      <c r="A425" s="1">
        <f>Hyperlink("https://www.wallsandfloors.co.uk/p-v-c-straight-edge-trim-white-08mm-46751","Product")</f>
        <v/>
      </c>
      <c r="B425" s="1" t="inlineStr">
        <is>
          <t>9476</t>
        </is>
      </c>
      <c r="C425" s="1" t="inlineStr">
        <is>
          <t>White 8mm PVC Straight Edge Tile Trim</t>
        </is>
      </c>
      <c r="D425" s="1" t="inlineStr">
        <is>
          <t>2.5m Length x 8mm Depth</t>
        </is>
      </c>
      <c r="E425" s="1" t="n">
        <v>2.95</v>
      </c>
      <c r="F425" s="1" t="n">
        <v>0</v>
      </c>
      <c r="G425" s="1" t="inlineStr">
        <is>
          <t>Unit</t>
        </is>
      </c>
      <c r="H425" s="1" t="inlineStr">
        <is>
          <t>P.V.C.</t>
        </is>
      </c>
      <c r="I425" s="1" t="inlineStr">
        <is>
          <t>-</t>
        </is>
      </c>
      <c r="J425" t="inlineStr"/>
      <c r="K425" t="inlineStr"/>
      <c r="L425" t="n">
        <v>2.95</v>
      </c>
    </row>
    <row r="426">
      <c r="A426" s="1">
        <f>Hyperlink("https://www.wallsandfloors.co.uk/norcross-one-part-flexible-grey-20kg","Product")</f>
        <v/>
      </c>
      <c r="B426" s="1" t="inlineStr">
        <is>
          <t>33496</t>
        </is>
      </c>
      <c r="C426" s="1" t="inlineStr">
        <is>
          <t>Norcros One Part Flexible Grey Tile Adhesive</t>
        </is>
      </c>
      <c r="D426" s="1" t="inlineStr">
        <is>
          <t>20kg</t>
        </is>
      </c>
      <c r="E426" s="1" t="n">
        <v>16.95</v>
      </c>
      <c r="F426" s="1" t="n">
        <v>0</v>
      </c>
      <c r="G426" s="1" t="inlineStr">
        <is>
          <t>Unit</t>
        </is>
      </c>
      <c r="H426" s="1" t="inlineStr">
        <is>
          <t>Adhesive</t>
        </is>
      </c>
      <c r="I426" s="1" t="inlineStr">
        <is>
          <t>-</t>
        </is>
      </c>
      <c r="J426" t="inlineStr"/>
      <c r="K426" t="n">
        <v>16.95</v>
      </c>
      <c r="L426" t="n">
        <v>16.95</v>
      </c>
    </row>
    <row r="427">
      <c r="A427" s="1">
        <f>Hyperlink("https://www.wallsandfloors.co.uk/p-v-c-economic-tile-edge-trim-06mm-depth-white-trim","Product")</f>
        <v/>
      </c>
      <c r="B427" s="1" t="inlineStr">
        <is>
          <t>9419</t>
        </is>
      </c>
      <c r="C427" s="1" t="inlineStr">
        <is>
          <t>White PVC Tile Trim</t>
        </is>
      </c>
      <c r="D427" s="1" t="inlineStr">
        <is>
          <t>2.5m Length x 6mm Depth</t>
        </is>
      </c>
      <c r="E427" s="1" t="n">
        <v>3.99</v>
      </c>
      <c r="F427" s="1" t="n">
        <v>0</v>
      </c>
      <c r="G427" s="1" t="inlineStr">
        <is>
          <t>Unit</t>
        </is>
      </c>
      <c r="H427" s="1" t="inlineStr">
        <is>
          <t>P.V.C.</t>
        </is>
      </c>
      <c r="I427" s="1" t="inlineStr">
        <is>
          <t>-</t>
        </is>
      </c>
      <c r="J427" t="n">
        <v>3.99</v>
      </c>
      <c r="K427" t="n">
        <v>3.99</v>
      </c>
      <c r="L427" t="n">
        <v>3.99</v>
      </c>
    </row>
    <row r="428">
      <c r="A428" s="1">
        <f>Hyperlink("https://www.wallsandfloors.co.uk/otono-tiles-white-gloss-marble-effect-wall-tiles","Product")</f>
        <v/>
      </c>
      <c r="B428" s="1" t="inlineStr">
        <is>
          <t>12135</t>
        </is>
      </c>
      <c r="C428" s="1" t="inlineStr">
        <is>
          <t>Otono White Gloss Marble Effect Wall Tiles</t>
        </is>
      </c>
      <c r="D428" s="1" t="inlineStr">
        <is>
          <t>400x250x8mm</t>
        </is>
      </c>
      <c r="E428" s="1" t="n">
        <v>18.95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Gloss</t>
        </is>
      </c>
      <c r="J428" t="n">
        <v>18.95</v>
      </c>
      <c r="K428" t="n">
        <v>18.95</v>
      </c>
      <c r="L428" t="n">
        <v>18.95</v>
      </c>
    </row>
    <row r="429">
      <c r="A429" s="1">
        <f>Hyperlink("https://www.wallsandfloors.co.uk/ornato-carino-tiles-taupe-opaco-tile","Product")</f>
        <v/>
      </c>
      <c r="B429" s="1" t="inlineStr">
        <is>
          <t>15215</t>
        </is>
      </c>
      <c r="C429" s="1" t="inlineStr">
        <is>
          <t>Taupe Opaco Tile</t>
        </is>
      </c>
      <c r="D429" s="1" t="inlineStr">
        <is>
          <t>200x200x10mm</t>
        </is>
      </c>
      <c r="E429" s="1" t="n">
        <v>40.95</v>
      </c>
      <c r="F429" s="1" t="n">
        <v>0</v>
      </c>
      <c r="G429" s="1" t="inlineStr">
        <is>
          <t>SQM</t>
        </is>
      </c>
      <c r="H429" s="1" t="inlineStr">
        <is>
          <t>Porcelain</t>
        </is>
      </c>
      <c r="I429" s="1" t="inlineStr">
        <is>
          <t>Matt</t>
        </is>
      </c>
      <c r="J429" t="n">
        <v>40.95</v>
      </c>
      <c r="K429" t="n">
        <v>40.95</v>
      </c>
      <c r="L429" t="n">
        <v>40.95</v>
      </c>
    </row>
    <row r="430">
      <c r="A430" s="1">
        <f>Hyperlink("https://www.wallsandfloors.co.uk/ornato-carino-tiles-signorile-taupe-tile","Product")</f>
        <v/>
      </c>
      <c r="B430" s="1" t="inlineStr">
        <is>
          <t>15224</t>
        </is>
      </c>
      <c r="C430" s="1" t="inlineStr">
        <is>
          <t>Signorile Taupe Tile</t>
        </is>
      </c>
      <c r="D430" s="1" t="inlineStr">
        <is>
          <t>200x200x10mm</t>
        </is>
      </c>
      <c r="E430" s="1" t="n">
        <v>50.95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n">
        <v>50.95</v>
      </c>
      <c r="K430" t="inlineStr"/>
      <c r="L430" t="n">
        <v>50.95</v>
      </c>
    </row>
    <row r="431">
      <c r="A431" s="1">
        <f>Hyperlink("https://www.wallsandfloors.co.uk/ornato-carino-tiles-crema-opaco-tile","Product")</f>
        <v/>
      </c>
      <c r="B431" s="1" t="inlineStr">
        <is>
          <t>15213</t>
        </is>
      </c>
      <c r="C431" s="1" t="inlineStr">
        <is>
          <t>Crema Opaco Tile</t>
        </is>
      </c>
      <c r="D431" s="1" t="inlineStr">
        <is>
          <t>200x200x10mm</t>
        </is>
      </c>
      <c r="E431" s="1" t="n">
        <v>40.95</v>
      </c>
      <c r="F431" s="1" t="n">
        <v>0</v>
      </c>
      <c r="G431" s="1" t="inlineStr">
        <is>
          <t>SQM</t>
        </is>
      </c>
      <c r="H431" s="1" t="inlineStr">
        <is>
          <t>Porcelain</t>
        </is>
      </c>
      <c r="I431" s="1" t="inlineStr">
        <is>
          <t>Matt</t>
        </is>
      </c>
      <c r="J431" t="n">
        <v>40.95</v>
      </c>
      <c r="K431" t="inlineStr"/>
      <c r="L431" t="n">
        <v>40.95</v>
      </c>
    </row>
    <row r="432">
      <c r="A432" s="1">
        <f>Hyperlink("https://www.wallsandfloors.co.uk/ornato-carino-tiles-carino-decor-tile","Product")</f>
        <v/>
      </c>
      <c r="B432" s="1" t="inlineStr">
        <is>
          <t>15221</t>
        </is>
      </c>
      <c r="C432" s="1" t="inlineStr">
        <is>
          <t>Carino Decor Tile</t>
        </is>
      </c>
      <c r="D432" s="1" t="inlineStr">
        <is>
          <t>200x200x10mm</t>
        </is>
      </c>
      <c r="E432" s="1" t="n">
        <v>50.95</v>
      </c>
      <c r="F432" s="1" t="n">
        <v>0</v>
      </c>
      <c r="G432" s="1" t="inlineStr">
        <is>
          <t>SQM</t>
        </is>
      </c>
      <c r="H432" s="1" t="inlineStr">
        <is>
          <t>Porcelain</t>
        </is>
      </c>
      <c r="I432" s="1" t="inlineStr">
        <is>
          <t>Matt</t>
        </is>
      </c>
      <c r="J432" t="n">
        <v>50.95</v>
      </c>
      <c r="K432" t="n">
        <v>50.95</v>
      </c>
      <c r="L432" t="n">
        <v>50.95</v>
      </c>
    </row>
    <row r="433">
      <c r="A433" s="1">
        <f>Hyperlink("https://www.wallsandfloors.co.uk/ornato-carino-tiles-carino-corner-tile","Product")</f>
        <v/>
      </c>
      <c r="B433" s="1" t="inlineStr">
        <is>
          <t>15222</t>
        </is>
      </c>
      <c r="C433" s="1" t="inlineStr">
        <is>
          <t>Ornato Carino Corner Tile</t>
        </is>
      </c>
      <c r="D433" s="1" t="inlineStr">
        <is>
          <t>200x200x10mm</t>
        </is>
      </c>
      <c r="E433" s="1" t="n">
        <v>5.45</v>
      </c>
      <c r="F433" s="1" t="n">
        <v>0</v>
      </c>
      <c r="G433" s="1" t="inlineStr">
        <is>
          <t>SQM</t>
        </is>
      </c>
      <c r="H433" s="1" t="inlineStr">
        <is>
          <t>Porcelain</t>
        </is>
      </c>
      <c r="I433" s="1" t="inlineStr">
        <is>
          <t>Matt</t>
        </is>
      </c>
      <c r="J433" t="n">
        <v>5.45</v>
      </c>
      <c r="K433" t="n">
        <v>5.45</v>
      </c>
      <c r="L433" t="n">
        <v>5.45</v>
      </c>
    </row>
    <row r="434">
      <c r="A434" s="1">
        <f>Hyperlink("https://www.wallsandfloors.co.uk/ornato-carino-tiles-carino-border-tile","Product")</f>
        <v/>
      </c>
      <c r="B434" s="1" t="inlineStr">
        <is>
          <t>15223</t>
        </is>
      </c>
      <c r="C434" s="1" t="inlineStr">
        <is>
          <t>Ornato Carino Border Tile</t>
        </is>
      </c>
      <c r="D434" s="1" t="inlineStr">
        <is>
          <t>200x200x10mm</t>
        </is>
      </c>
      <c r="E434" s="1" t="n">
        <v>3.95</v>
      </c>
      <c r="F434" s="1" t="n">
        <v>0</v>
      </c>
      <c r="G434" s="1" t="inlineStr">
        <is>
          <t>Tile</t>
        </is>
      </c>
      <c r="H434" s="1" t="inlineStr">
        <is>
          <t>Porcelain</t>
        </is>
      </c>
      <c r="I434" s="1" t="inlineStr">
        <is>
          <t>Matt</t>
        </is>
      </c>
      <c r="J434" t="n">
        <v>3.95</v>
      </c>
      <c r="K434" t="n">
        <v>3.95</v>
      </c>
      <c r="L434" t="n">
        <v>3.95</v>
      </c>
    </row>
    <row r="435">
      <c r="A435" s="1">
        <f>Hyperlink("https://www.wallsandfloors.co.uk/ornato-blochetto-tiles-blochetto-decor-tile","Product")</f>
        <v/>
      </c>
      <c r="B435" s="1" t="inlineStr">
        <is>
          <t>15225</t>
        </is>
      </c>
      <c r="C435" s="1" t="inlineStr">
        <is>
          <t>Blochetto Decor Tile</t>
        </is>
      </c>
      <c r="D435" s="1" t="inlineStr">
        <is>
          <t>200x200x10mm</t>
        </is>
      </c>
      <c r="E435" s="1" t="n">
        <v>50.95</v>
      </c>
      <c r="F435" s="1" t="n">
        <v>0</v>
      </c>
      <c r="G435" s="1" t="inlineStr">
        <is>
          <t>SQM</t>
        </is>
      </c>
      <c r="H435" s="1" t="inlineStr">
        <is>
          <t>Porcelain</t>
        </is>
      </c>
      <c r="I435" s="1" t="inlineStr">
        <is>
          <t>Matt</t>
        </is>
      </c>
      <c r="J435" t="n">
        <v>50.95</v>
      </c>
      <c r="K435" t="n">
        <v>50.95</v>
      </c>
      <c r="L435" t="n">
        <v>50.95</v>
      </c>
    </row>
    <row r="436">
      <c r="A436" s="1">
        <f>Hyperlink("https://www.wallsandfloors.co.uk/ornato-blochetto-tiles-blochetto-corner-tile","Product")</f>
        <v/>
      </c>
      <c r="B436" s="1" t="inlineStr">
        <is>
          <t>15226</t>
        </is>
      </c>
      <c r="C436" s="1" t="inlineStr">
        <is>
          <t>Blochetto Corner Tile</t>
        </is>
      </c>
      <c r="D436" s="1" t="inlineStr">
        <is>
          <t>200x200x10mm</t>
        </is>
      </c>
      <c r="E436" s="1" t="n">
        <v>5.45</v>
      </c>
      <c r="F436" s="1" t="n">
        <v>0</v>
      </c>
      <c r="G436" s="1" t="inlineStr">
        <is>
          <t>Tile</t>
        </is>
      </c>
      <c r="H436" s="1" t="inlineStr">
        <is>
          <t>Porcelain</t>
        </is>
      </c>
      <c r="I436" s="1" t="inlineStr">
        <is>
          <t>Matt</t>
        </is>
      </c>
      <c r="J436" t="inlineStr"/>
      <c r="K436" t="inlineStr"/>
      <c r="L436" t="n">
        <v>5.45</v>
      </c>
    </row>
    <row r="437">
      <c r="A437" s="1">
        <f>Hyperlink("https://www.wallsandfloors.co.uk/ornato-blochetto-tiles-blochetto-border-tile","Product")</f>
        <v/>
      </c>
      <c r="B437" s="1" t="inlineStr">
        <is>
          <t>15227</t>
        </is>
      </c>
      <c r="C437" s="1" t="inlineStr">
        <is>
          <t>Blochetto Border Tile</t>
        </is>
      </c>
      <c r="D437" s="1" t="inlineStr">
        <is>
          <t>200x200x10mm</t>
        </is>
      </c>
      <c r="E437" s="1" t="n">
        <v>3.95</v>
      </c>
      <c r="F437" s="1" t="n">
        <v>0</v>
      </c>
      <c r="G437" s="1" t="inlineStr">
        <is>
          <t>Tile</t>
        </is>
      </c>
      <c r="H437" s="1" t="inlineStr">
        <is>
          <t>Porcelain</t>
        </is>
      </c>
      <c r="I437" s="1" t="inlineStr">
        <is>
          <t>Matt</t>
        </is>
      </c>
      <c r="J437" t="n">
        <v>3.95</v>
      </c>
      <c r="K437" t="n">
        <v>3.95</v>
      </c>
      <c r="L437" t="n">
        <v>3.95</v>
      </c>
    </row>
    <row r="438">
      <c r="A438" s="1">
        <f>Hyperlink("https://www.wallsandfloors.co.uk/noroke-dawn-taupe-60-60-tiles","Product")</f>
        <v/>
      </c>
      <c r="B438" s="1" t="inlineStr">
        <is>
          <t>35432</t>
        </is>
      </c>
      <c r="C438" s="1" t="inlineStr">
        <is>
          <t>Noroke Dawn Taupe Tiles</t>
        </is>
      </c>
      <c r="D438" s="1" t="inlineStr">
        <is>
          <t>597x597x9mm</t>
        </is>
      </c>
      <c r="E438" s="1" t="n">
        <v>21.65</v>
      </c>
      <c r="F438" s="1" t="n">
        <v>0</v>
      </c>
      <c r="G438" s="1" t="inlineStr">
        <is>
          <t>SQM</t>
        </is>
      </c>
      <c r="H438" s="1" t="inlineStr">
        <is>
          <t>Porcelain</t>
        </is>
      </c>
      <c r="I438" s="1" t="inlineStr">
        <is>
          <t>Matt</t>
        </is>
      </c>
      <c r="J438" t="n">
        <v>21.65</v>
      </c>
      <c r="K438" t="n">
        <v>21.65</v>
      </c>
      <c r="L438" t="n">
        <v>21.65</v>
      </c>
    </row>
    <row r="439">
      <c r="A439" s="1">
        <f>Hyperlink("https://www.wallsandfloors.co.uk/ornato-bella-tiles-signorile-bianca-tile","Product")</f>
        <v/>
      </c>
      <c r="B439" s="1" t="inlineStr">
        <is>
          <t>15220</t>
        </is>
      </c>
      <c r="C439" s="1" t="inlineStr">
        <is>
          <t>Ornato Signorile Bianca Tile</t>
        </is>
      </c>
      <c r="D439" s="1" t="inlineStr">
        <is>
          <t>200x200x10mm</t>
        </is>
      </c>
      <c r="E439" s="1" t="n">
        <v>50.95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Matt</t>
        </is>
      </c>
      <c r="J439" t="n">
        <v>50.95</v>
      </c>
      <c r="K439" t="n">
        <v>50.95</v>
      </c>
      <c r="L439" t="n">
        <v>50.95</v>
      </c>
    </row>
    <row r="440">
      <c r="A440" s="1">
        <f>Hyperlink("https://www.wallsandfloors.co.uk/ornato-bella-tiles-nero-opaco-tiles","Product")</f>
        <v/>
      </c>
      <c r="B440" s="1" t="inlineStr">
        <is>
          <t>15212</t>
        </is>
      </c>
      <c r="C440" s="1" t="inlineStr">
        <is>
          <t>Ornato Nero Opaco Tiles</t>
        </is>
      </c>
      <c r="D440" s="1" t="inlineStr">
        <is>
          <t>200x200x10mm</t>
        </is>
      </c>
      <c r="E440" s="1" t="n">
        <v>40.95</v>
      </c>
      <c r="F440" s="1" t="n">
        <v>0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n">
        <v>40.95</v>
      </c>
      <c r="K440" t="n">
        <v>40.95</v>
      </c>
      <c r="L440" t="n">
        <v>40.95</v>
      </c>
    </row>
    <row r="441">
      <c r="A441" s="1">
        <f>Hyperlink("https://www.wallsandfloors.co.uk/noroke-dawn-taupe-60x30-tiles","Product")</f>
        <v/>
      </c>
      <c r="B441" s="1" t="inlineStr">
        <is>
          <t>35433</t>
        </is>
      </c>
      <c r="C441" s="1" t="inlineStr">
        <is>
          <t>Noroke Dawn Taupe Tiles</t>
        </is>
      </c>
      <c r="D441" s="1" t="inlineStr">
        <is>
          <t>297x597x9mm</t>
        </is>
      </c>
      <c r="E441" s="1" t="n">
        <v>17.69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Matt</t>
        </is>
      </c>
      <c r="J441" t="n">
        <v>17.69</v>
      </c>
      <c r="K441" t="n">
        <v>17.69</v>
      </c>
      <c r="L441" t="n">
        <v>17.69</v>
      </c>
    </row>
    <row r="442">
      <c r="A442" s="1">
        <f>Hyperlink("https://www.wallsandfloors.co.uk/petticoat-lane-tiles-gloss-silver-travertine-effect-tiles","Product")</f>
        <v/>
      </c>
      <c r="B442" s="1" t="inlineStr">
        <is>
          <t>15564</t>
        </is>
      </c>
      <c r="C442" s="1" t="inlineStr">
        <is>
          <t>Petticoat Gloss Silver Travertine Effect Tiles</t>
        </is>
      </c>
      <c r="D442" s="1" t="inlineStr">
        <is>
          <t>300x200x9mm</t>
        </is>
      </c>
      <c r="E442" s="1" t="n">
        <v>30.95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Gloss</t>
        </is>
      </c>
      <c r="J442" t="inlineStr"/>
      <c r="K442" t="n">
        <v>30.95</v>
      </c>
      <c r="L442" t="n">
        <v>30.95</v>
      </c>
    </row>
    <row r="443">
      <c r="A443" s="1">
        <f>Hyperlink("https://www.wallsandfloors.co.uk/niebla-mosaic-tiles-urumea-mix-tiles","Product")</f>
        <v/>
      </c>
      <c r="B443" s="1" t="inlineStr">
        <is>
          <t>12028</t>
        </is>
      </c>
      <c r="C443" s="1" t="inlineStr">
        <is>
          <t>Niebla Urumea Blue Mosaic Tiles</t>
        </is>
      </c>
      <c r="D443" s="1" t="inlineStr">
        <is>
          <t>333x333x5mm</t>
        </is>
      </c>
      <c r="E443" s="1" t="n">
        <v>10.95</v>
      </c>
      <c r="F443" s="1" t="n">
        <v>0</v>
      </c>
      <c r="G443" s="1" t="inlineStr">
        <is>
          <t>Sheet</t>
        </is>
      </c>
      <c r="H443" s="1" t="inlineStr">
        <is>
          <t>Glass</t>
        </is>
      </c>
      <c r="I443" s="1" t="inlineStr">
        <is>
          <t>Matt</t>
        </is>
      </c>
      <c r="J443" t="n">
        <v>10.95</v>
      </c>
      <c r="K443" t="n">
        <v>10.95</v>
      </c>
      <c r="L443" t="n">
        <v>10.95</v>
      </c>
    </row>
    <row r="444">
      <c r="A444" s="1">
        <f>Hyperlink("https://www.wallsandfloors.co.uk/petticoat-lane-tiles-satin-silver-travertine-effect-tiles","Product")</f>
        <v/>
      </c>
      <c r="B444" s="1" t="inlineStr">
        <is>
          <t>15565</t>
        </is>
      </c>
      <c r="C444" s="1" t="inlineStr">
        <is>
          <t>Petticoat Satin Silver Travertine Effect Tiles</t>
        </is>
      </c>
      <c r="D444" s="1" t="inlineStr">
        <is>
          <t>300x200x9mm</t>
        </is>
      </c>
      <c r="E444" s="1" t="n">
        <v>30.95</v>
      </c>
      <c r="F444" s="1" t="n">
        <v>0</v>
      </c>
      <c r="G444" s="1" t="inlineStr">
        <is>
          <t>SQM</t>
        </is>
      </c>
      <c r="H444" s="1" t="inlineStr">
        <is>
          <t>Ceramic</t>
        </is>
      </c>
      <c r="I444" s="1" t="inlineStr">
        <is>
          <t>Satin</t>
        </is>
      </c>
      <c r="J444" t="n">
        <v>30.95</v>
      </c>
      <c r="K444" t="n">
        <v>30.95</v>
      </c>
      <c r="L444" t="n">
        <v>30.95</v>
      </c>
    </row>
    <row r="445">
      <c r="A445" s="1">
        <f>Hyperlink("https://www.wallsandfloors.co.uk/polished-light-grey-tiles-600x600","Product")</f>
        <v/>
      </c>
      <c r="B445" s="1" t="inlineStr">
        <is>
          <t>11198</t>
        </is>
      </c>
      <c r="C445" s="1" t="inlineStr">
        <is>
          <t>Lounge Polished Light Grey Tiles</t>
        </is>
      </c>
      <c r="D445" s="1" t="inlineStr">
        <is>
          <t>600x600x9mm</t>
        </is>
      </c>
      <c r="E445" s="1" t="n">
        <v>29.95</v>
      </c>
      <c r="F445" s="1" t="n">
        <v>0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Polished</t>
        </is>
      </c>
      <c r="J445" t="n">
        <v>29.95</v>
      </c>
      <c r="K445" t="n">
        <v>29.95</v>
      </c>
      <c r="L445" t="n">
        <v>29.95</v>
      </c>
    </row>
    <row r="446">
      <c r="A446" s="1">
        <f>Hyperlink("https://www.wallsandfloors.co.uk/plush-velvet-tiles","Product")</f>
        <v/>
      </c>
      <c r="B446" s="1" t="inlineStr">
        <is>
          <t>37869</t>
        </is>
      </c>
      <c r="C446" s="1" t="inlineStr">
        <is>
          <t>Plush Velvet Matt Tiles</t>
        </is>
      </c>
      <c r="D446" s="1" t="inlineStr">
        <is>
          <t>225x75x6mm</t>
        </is>
      </c>
      <c r="E446" s="1" t="n">
        <v>40.95</v>
      </c>
      <c r="F446" s="1" t="n">
        <v>0</v>
      </c>
      <c r="G446" s="1" t="inlineStr">
        <is>
          <t>SQM</t>
        </is>
      </c>
      <c r="H446" s="1" t="inlineStr">
        <is>
          <t>Ceramic</t>
        </is>
      </c>
      <c r="I446" s="1" t="inlineStr">
        <is>
          <t>Matt</t>
        </is>
      </c>
      <c r="J446" t="n">
        <v>40.95</v>
      </c>
      <c r="K446" t="inlineStr"/>
      <c r="L446" t="n">
        <v>40.95</v>
      </c>
    </row>
    <row r="447">
      <c r="A447" s="1">
        <f>Hyperlink("https://www.wallsandfloors.co.uk/plush-velvet-shine-tiles","Product")</f>
        <v/>
      </c>
      <c r="B447" s="1" t="inlineStr">
        <is>
          <t>37868</t>
        </is>
      </c>
      <c r="C447" s="1" t="inlineStr">
        <is>
          <t>Plush Velvet Shine Tiles</t>
        </is>
      </c>
      <c r="D447" s="1" t="inlineStr">
        <is>
          <t>225x75x6mm</t>
        </is>
      </c>
      <c r="E447" s="1" t="n">
        <v>40.95</v>
      </c>
      <c r="F447" s="1" t="n">
        <v>0</v>
      </c>
      <c r="G447" s="1" t="inlineStr">
        <is>
          <t>SQM</t>
        </is>
      </c>
      <c r="H447" s="1" t="inlineStr">
        <is>
          <t>Ceramic</t>
        </is>
      </c>
      <c r="I447" s="1" t="inlineStr">
        <is>
          <t>Gloss</t>
        </is>
      </c>
      <c r="J447" t="inlineStr"/>
      <c r="K447" t="inlineStr"/>
      <c r="L447" t="n">
        <v>40.95</v>
      </c>
    </row>
    <row r="448">
      <c r="A448" s="1">
        <f>Hyperlink("https://www.wallsandfloors.co.uk/plush-silk-tiles","Product")</f>
        <v/>
      </c>
      <c r="B448" s="1" t="inlineStr">
        <is>
          <t>37875</t>
        </is>
      </c>
      <c r="C448" s="1" t="inlineStr">
        <is>
          <t>Plush Silk Matt Tiles</t>
        </is>
      </c>
      <c r="D448" s="1" t="inlineStr">
        <is>
          <t>225x75x6mm</t>
        </is>
      </c>
      <c r="E448" s="1" t="n">
        <v>40.95</v>
      </c>
      <c r="F448" s="1" t="n">
        <v>0</v>
      </c>
      <c r="G448" s="1" t="inlineStr">
        <is>
          <t>SQM</t>
        </is>
      </c>
      <c r="H448" s="1" t="inlineStr">
        <is>
          <t>Ceramic</t>
        </is>
      </c>
      <c r="I448" s="1" t="inlineStr">
        <is>
          <t>Matt</t>
        </is>
      </c>
      <c r="J448" t="inlineStr"/>
      <c r="K448" t="n">
        <v>40.95</v>
      </c>
      <c r="L448" t="n">
        <v>40.95</v>
      </c>
    </row>
    <row r="449">
      <c r="A449" s="1">
        <f>Hyperlink("https://www.wallsandfloors.co.uk/plush-silk-shine-tiles","Product")</f>
        <v/>
      </c>
      <c r="B449" s="1" t="inlineStr">
        <is>
          <t>37874</t>
        </is>
      </c>
      <c r="C449" s="1" t="inlineStr">
        <is>
          <t>Plush Silk Shine Tiles</t>
        </is>
      </c>
      <c r="D449" s="1" t="inlineStr">
        <is>
          <t>225x75x6mm</t>
        </is>
      </c>
      <c r="E449" s="1" t="n">
        <v>40.95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n">
        <v>40.95</v>
      </c>
      <c r="K449" t="n">
        <v>40.95</v>
      </c>
      <c r="L449" t="n">
        <v>40.95</v>
      </c>
    </row>
    <row r="450">
      <c r="A450" s="1">
        <f>Hyperlink("https://www.wallsandfloors.co.uk/plush-cocktail-tiles","Product")</f>
        <v/>
      </c>
      <c r="B450" s="1" t="inlineStr">
        <is>
          <t>37871</t>
        </is>
      </c>
      <c r="C450" s="1" t="inlineStr">
        <is>
          <t>Plush Cocktail Matt Tiles</t>
        </is>
      </c>
      <c r="D450" s="1" t="inlineStr">
        <is>
          <t>225x75x6mm</t>
        </is>
      </c>
      <c r="E450" s="1" t="n">
        <v>40.95</v>
      </c>
      <c r="F450" s="1" t="n">
        <v>0</v>
      </c>
      <c r="G450" s="1" t="inlineStr">
        <is>
          <t>SQM</t>
        </is>
      </c>
      <c r="H450" s="1" t="inlineStr">
        <is>
          <t>Ceramic</t>
        </is>
      </c>
      <c r="I450" s="1" t="inlineStr">
        <is>
          <t>Matt</t>
        </is>
      </c>
      <c r="J450" t="n">
        <v>40.95</v>
      </c>
      <c r="K450" t="n">
        <v>40.95</v>
      </c>
      <c r="L450" t="n">
        <v>40.95</v>
      </c>
    </row>
    <row r="451">
      <c r="A451" s="1">
        <f>Hyperlink("https://www.wallsandfloors.co.uk/plush-cocktail-shine-tiles","Product")</f>
        <v/>
      </c>
      <c r="B451" s="1" t="inlineStr">
        <is>
          <t>37870</t>
        </is>
      </c>
      <c r="C451" s="1" t="inlineStr">
        <is>
          <t>Plush Cocktail Shine Tiles</t>
        </is>
      </c>
      <c r="D451" s="1" t="inlineStr">
        <is>
          <t>225x75x6mm</t>
        </is>
      </c>
      <c r="E451" s="1" t="n">
        <v>40.95</v>
      </c>
      <c r="F451" s="1" t="n">
        <v>0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Gloss</t>
        </is>
      </c>
      <c r="J451" t="n">
        <v>40.95</v>
      </c>
      <c r="K451" t="n">
        <v>40.95</v>
      </c>
      <c r="L451" t="n">
        <v>40.95</v>
      </c>
    </row>
    <row r="452">
      <c r="A452" s="1">
        <f>Hyperlink("https://www.wallsandfloors.co.uk/plush-champagne-tiles","Product")</f>
        <v/>
      </c>
      <c r="B452" s="1" t="inlineStr">
        <is>
          <t>37873</t>
        </is>
      </c>
      <c r="C452" s="1" t="inlineStr">
        <is>
          <t>Plush Champagne Matt Tiles</t>
        </is>
      </c>
      <c r="D452" s="1" t="inlineStr">
        <is>
          <t>225x75x6mm</t>
        </is>
      </c>
      <c r="E452" s="1" t="n">
        <v>40.95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Matt</t>
        </is>
      </c>
      <c r="J452" t="n">
        <v>40.95</v>
      </c>
      <c r="K452" t="n">
        <v>40.95</v>
      </c>
      <c r="L452" t="n">
        <v>40.95</v>
      </c>
    </row>
    <row r="453">
      <c r="A453" s="1">
        <f>Hyperlink("https://www.wallsandfloors.co.uk/plush-champagne-shine-tiles","Product")</f>
        <v/>
      </c>
      <c r="B453" s="1" t="inlineStr">
        <is>
          <t>37872</t>
        </is>
      </c>
      <c r="C453" s="1" t="inlineStr">
        <is>
          <t>Plush Champagne Shine Tiles</t>
        </is>
      </c>
      <c r="D453" s="1" t="inlineStr">
        <is>
          <t>225x75x6mm</t>
        </is>
      </c>
      <c r="E453" s="1" t="n">
        <v>40.95</v>
      </c>
      <c r="F453" s="1" t="n">
        <v>0</v>
      </c>
      <c r="G453" s="1" t="inlineStr">
        <is>
          <t>SQM</t>
        </is>
      </c>
      <c r="H453" s="1" t="inlineStr">
        <is>
          <t>Ceramic</t>
        </is>
      </c>
      <c r="I453" s="1" t="inlineStr">
        <is>
          <t>Gloss</t>
        </is>
      </c>
      <c r="J453" t="n">
        <v>40.95</v>
      </c>
      <c r="K453" t="n">
        <v>40.95</v>
      </c>
      <c r="L453" t="n">
        <v>40.95</v>
      </c>
    </row>
    <row r="454">
      <c r="A454" s="1">
        <f>Hyperlink("https://www.wallsandfloors.co.uk/plush-antique-tiles","Product")</f>
        <v/>
      </c>
      <c r="B454" s="1" t="inlineStr">
        <is>
          <t>37867</t>
        </is>
      </c>
      <c r="C454" s="1" t="inlineStr">
        <is>
          <t>Plush Antique Matt Tiles</t>
        </is>
      </c>
      <c r="D454" s="1" t="inlineStr">
        <is>
          <t>225x75x6mm</t>
        </is>
      </c>
      <c r="E454" s="1" t="n">
        <v>40.95</v>
      </c>
      <c r="F454" s="1" t="n">
        <v>0</v>
      </c>
      <c r="G454" s="1" t="inlineStr">
        <is>
          <t>SQM</t>
        </is>
      </c>
      <c r="H454" s="1" t="inlineStr">
        <is>
          <t>Ceramic</t>
        </is>
      </c>
      <c r="I454" s="1" t="inlineStr">
        <is>
          <t>Matt</t>
        </is>
      </c>
      <c r="J454" t="inlineStr"/>
      <c r="K454" t="n">
        <v>40.95</v>
      </c>
      <c r="L454" t="n">
        <v>40.95</v>
      </c>
    </row>
    <row r="455">
      <c r="A455" s="1">
        <f>Hyperlink("https://www.wallsandfloors.co.uk/nacre-mosaic-tiles-keshi-mosaic-tiles","Product")</f>
        <v/>
      </c>
      <c r="B455" s="1" t="inlineStr">
        <is>
          <t>13241</t>
        </is>
      </c>
      <c r="C455" s="1" t="inlineStr">
        <is>
          <t>Keshi Mosaic Tiles</t>
        </is>
      </c>
      <c r="D455" s="1" t="inlineStr">
        <is>
          <t>300x300x8mm</t>
        </is>
      </c>
      <c r="E455" s="1" t="n">
        <v>11.95</v>
      </c>
      <c r="F455" s="1" t="n">
        <v>0</v>
      </c>
      <c r="G455" s="1" t="inlineStr">
        <is>
          <t>Sheet</t>
        </is>
      </c>
      <c r="H455" s="1" t="inlineStr">
        <is>
          <t>Glass</t>
        </is>
      </c>
      <c r="I455" s="1" t="inlineStr">
        <is>
          <t>Mixed</t>
        </is>
      </c>
      <c r="J455" t="inlineStr"/>
      <c r="K455" t="n">
        <v>11.95</v>
      </c>
      <c r="L455" t="n">
        <v>11.95</v>
      </c>
    </row>
    <row r="456">
      <c r="A456" s="1">
        <f>Hyperlink("https://www.wallsandfloors.co.uk/nantlle-valley-midnight-charcoal-slate-effect-mosaic-tiles","Product")</f>
        <v/>
      </c>
      <c r="B456" s="1" t="inlineStr">
        <is>
          <t>40288</t>
        </is>
      </c>
      <c r="C456" s="1" t="inlineStr">
        <is>
          <t>Nantlle Valley Midnight Charcoal Slate Effect Mosaic Tiles</t>
        </is>
      </c>
      <c r="D456" s="1" t="inlineStr">
        <is>
          <t>300x300x10.3mm</t>
        </is>
      </c>
      <c r="E456" s="1" t="n">
        <v>10.95</v>
      </c>
      <c r="F456" s="1" t="n">
        <v>0</v>
      </c>
      <c r="G456" s="1" t="inlineStr">
        <is>
          <t>Sheet</t>
        </is>
      </c>
      <c r="H456" s="1" t="inlineStr">
        <is>
          <t>Porcelain</t>
        </is>
      </c>
      <c r="I456" s="1" t="inlineStr">
        <is>
          <t>Matt</t>
        </is>
      </c>
      <c r="J456" t="n">
        <v>10.95</v>
      </c>
      <c r="K456" t="n">
        <v>10.95</v>
      </c>
      <c r="L456" t="n">
        <v>10.95</v>
      </c>
    </row>
    <row r="457">
      <c r="A457" s="1">
        <f>Hyperlink("https://www.wallsandfloors.co.uk/plastic-tub-black-color-n-3-40-l","Product")</f>
        <v/>
      </c>
      <c r="B457" s="1" t="inlineStr">
        <is>
          <t>40422</t>
        </is>
      </c>
      <c r="C457" s="1" t="inlineStr">
        <is>
          <t>Plastic tub Black 40Ltr</t>
        </is>
      </c>
      <c r="D457" s="1" t="inlineStr">
        <is>
          <t>40Ltr</t>
        </is>
      </c>
      <c r="E457" s="1" t="n">
        <v>5.58</v>
      </c>
      <c r="F457" s="1" t="n">
        <v>0</v>
      </c>
      <c r="G457" s="1" t="inlineStr">
        <is>
          <t>Unit</t>
        </is>
      </c>
      <c r="H457" s="1" t="inlineStr">
        <is>
          <t>Tools</t>
        </is>
      </c>
      <c r="I457" s="1" t="inlineStr">
        <is>
          <t>-</t>
        </is>
      </c>
      <c r="J457" t="n">
        <v>5.58</v>
      </c>
      <c r="K457" t="n">
        <v>5.58</v>
      </c>
      <c r="L457" t="n">
        <v>5.58</v>
      </c>
    </row>
    <row r="458">
      <c r="A458" s="1">
        <f>Hyperlink("https://www.wallsandfloors.co.uk/planet-plaster-60x30-tiles","Product")</f>
        <v/>
      </c>
      <c r="B458" s="1" t="inlineStr">
        <is>
          <t>34710</t>
        </is>
      </c>
      <c r="C458" s="1" t="inlineStr">
        <is>
          <t>Planet Plaster Beige Tiles</t>
        </is>
      </c>
      <c r="D458" s="1" t="inlineStr">
        <is>
          <t>600x300x10mm</t>
        </is>
      </c>
      <c r="E458" s="1" t="n">
        <v>15</v>
      </c>
      <c r="F458" s="1" t="n">
        <v>0</v>
      </c>
      <c r="G458" s="1" t="inlineStr">
        <is>
          <t>SQM</t>
        </is>
      </c>
      <c r="H458" s="1" t="inlineStr">
        <is>
          <t>Porcelain</t>
        </is>
      </c>
      <c r="I458" s="1" t="inlineStr">
        <is>
          <t>Matt</t>
        </is>
      </c>
      <c r="J458" t="n">
        <v>15</v>
      </c>
      <c r="K458" t="n">
        <v>15</v>
      </c>
      <c r="L458" t="n">
        <v>15</v>
      </c>
    </row>
    <row r="459">
      <c r="A459" s="1">
        <f>Hyperlink("https://www.wallsandfloors.co.uk/planate-plaster-beige-60x60-2-slab-tiles","Product")</f>
        <v/>
      </c>
      <c r="B459" s="1" t="inlineStr">
        <is>
          <t>44176</t>
        </is>
      </c>
      <c r="C459" s="1" t="inlineStr">
        <is>
          <t>Planate Plaster Beige Porcelain Paving Slabs</t>
        </is>
      </c>
      <c r="D459" s="1" t="inlineStr">
        <is>
          <t>600x600x20mm</t>
        </is>
      </c>
      <c r="E459" s="1" t="n">
        <v>37.95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Matt</t>
        </is>
      </c>
      <c r="J459" t="inlineStr"/>
      <c r="K459" t="n">
        <v>37.95</v>
      </c>
      <c r="L459" t="n">
        <v>37.95</v>
      </c>
    </row>
    <row r="460">
      <c r="A460" s="1">
        <f>Hyperlink("https://www.wallsandfloors.co.uk/planate-plaster-beige-60x30-tiles","Product")</f>
        <v/>
      </c>
      <c r="B460" s="1" t="inlineStr">
        <is>
          <t>44107</t>
        </is>
      </c>
      <c r="C460" s="1" t="inlineStr">
        <is>
          <t>Planate Plaster Beige Tiles</t>
        </is>
      </c>
      <c r="D460" s="1" t="inlineStr">
        <is>
          <t>600x300x9.5mm</t>
        </is>
      </c>
      <c r="E460" s="1" t="n">
        <v>19.95</v>
      </c>
      <c r="F460" s="1" t="n">
        <v>0</v>
      </c>
      <c r="G460" s="1" t="inlineStr">
        <is>
          <t>SQM</t>
        </is>
      </c>
      <c r="H460" s="1" t="inlineStr">
        <is>
          <t>Porcelain</t>
        </is>
      </c>
      <c r="I460" s="1" t="inlineStr">
        <is>
          <t>Matt</t>
        </is>
      </c>
      <c r="J460" t="n">
        <v>19.95</v>
      </c>
      <c r="K460" t="n">
        <v>19.95</v>
      </c>
      <c r="L460" t="n">
        <v>19.95</v>
      </c>
    </row>
    <row r="461">
      <c r="A461" s="1">
        <f>Hyperlink("https://www.wallsandfloors.co.uk/planate-liquorice-charcoal-60x60-tiles","Product")</f>
        <v/>
      </c>
      <c r="B461" s="1" t="inlineStr">
        <is>
          <t>44105</t>
        </is>
      </c>
      <c r="C461" s="1" t="inlineStr">
        <is>
          <t>Planate Liquorice Charcoal Tiles</t>
        </is>
      </c>
      <c r="D461" s="1" t="inlineStr">
        <is>
          <t>600x600x9.5mm</t>
        </is>
      </c>
      <c r="E461" s="1" t="n">
        <v>20.95</v>
      </c>
      <c r="F461" s="1" t="n">
        <v>0</v>
      </c>
      <c r="G461" s="1" t="inlineStr">
        <is>
          <t>SQM</t>
        </is>
      </c>
      <c r="H461" s="1" t="inlineStr">
        <is>
          <t>Porcelain</t>
        </is>
      </c>
      <c r="I461" s="1" t="inlineStr">
        <is>
          <t>Matt</t>
        </is>
      </c>
      <c r="J461" t="n">
        <v>20.95</v>
      </c>
      <c r="K461" t="inlineStr"/>
      <c r="L461" t="n">
        <v>20.95</v>
      </c>
    </row>
    <row r="462">
      <c r="A462" s="1">
        <f>Hyperlink("https://www.wallsandfloors.co.uk/polished-marble-mosaic-tiles-carrara-polished-tiles","Product")</f>
        <v/>
      </c>
      <c r="B462" s="1" t="inlineStr">
        <is>
          <t>11481</t>
        </is>
      </c>
      <c r="C462" s="1" t="inlineStr">
        <is>
          <t>Polished Carrara Marble Mosaic Tiles</t>
        </is>
      </c>
      <c r="D462" s="1" t="inlineStr">
        <is>
          <t>305x305x9mm</t>
        </is>
      </c>
      <c r="E462" s="1" t="n">
        <v>6.23</v>
      </c>
      <c r="F462" s="1" t="n">
        <v>0</v>
      </c>
      <c r="G462" s="1" t="inlineStr">
        <is>
          <t>Sheet</t>
        </is>
      </c>
      <c r="H462" s="1" t="inlineStr">
        <is>
          <t>Marble</t>
        </is>
      </c>
      <c r="I462" s="1" t="inlineStr">
        <is>
          <t>Semi-Polished</t>
        </is>
      </c>
      <c r="J462" t="n">
        <v>6.23</v>
      </c>
      <c r="K462" t="n">
        <v>6.23</v>
      </c>
      <c r="L462" t="n">
        <v>6.23</v>
      </c>
    </row>
    <row r="463">
      <c r="A463" s="1">
        <f>Hyperlink("https://www.wallsandfloors.co.uk/planate-liquorice-charcoal-60x60-2-slab-tiles","Product")</f>
        <v/>
      </c>
      <c r="B463" s="1" t="inlineStr">
        <is>
          <t>44110</t>
        </is>
      </c>
      <c r="C463" s="1" t="inlineStr">
        <is>
          <t>Planate Liquorice Charcoal Porcelain Paving Slabs</t>
        </is>
      </c>
      <c r="D463" s="1" t="inlineStr">
        <is>
          <t>600x600x20mm</t>
        </is>
      </c>
      <c r="E463" s="1" t="n">
        <v>37.95</v>
      </c>
      <c r="F463" s="1" t="n">
        <v>0</v>
      </c>
      <c r="G463" s="1" t="inlineStr">
        <is>
          <t>SQM</t>
        </is>
      </c>
      <c r="H463" s="1" t="inlineStr">
        <is>
          <t>Porcelain</t>
        </is>
      </c>
      <c r="I463" s="1" t="inlineStr">
        <is>
          <t>Matt</t>
        </is>
      </c>
      <c r="J463" t="n">
        <v>37.95</v>
      </c>
      <c r="K463" t="n">
        <v>37.95</v>
      </c>
      <c r="L463" t="n">
        <v>37.95</v>
      </c>
    </row>
    <row r="464">
      <c r="A464" s="1">
        <f>Hyperlink("https://www.wallsandfloors.co.uk/pressed-patina-steel-tiles","Product")</f>
        <v/>
      </c>
      <c r="B464" s="1" t="inlineStr">
        <is>
          <t>24745</t>
        </is>
      </c>
      <c r="C464" s="1" t="inlineStr">
        <is>
          <t>Pressed Patina Steel Tiles</t>
        </is>
      </c>
      <c r="D464" s="1" t="inlineStr">
        <is>
          <t>330x330x9.5mm</t>
        </is>
      </c>
      <c r="E464" s="1" t="n">
        <v>27.95</v>
      </c>
      <c r="F464" s="1" t="n">
        <v>0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Matt</t>
        </is>
      </c>
      <c r="J464" t="inlineStr"/>
      <c r="K464" t="n">
        <v>27.95</v>
      </c>
      <c r="L464" t="n">
        <v>27.95</v>
      </c>
    </row>
    <row r="465">
      <c r="A465" s="1">
        <f>Hyperlink("https://www.wallsandfloors.co.uk/prismatics-gloss-blue-aqua-tiles-harebell-gloss-medium-prg32-tiles","Product")</f>
        <v/>
      </c>
      <c r="B465" s="1" t="inlineStr">
        <is>
          <t>4708</t>
        </is>
      </c>
      <c r="C465" s="1" t="inlineStr">
        <is>
          <t>Prismatics Gloss PRG32 Harebell Light Blue Wall Tiles</t>
        </is>
      </c>
      <c r="D465" s="1" t="inlineStr">
        <is>
          <t>150x150x6.5mm</t>
        </is>
      </c>
      <c r="E465" s="1" t="n">
        <v>34.06</v>
      </c>
      <c r="F465" s="1" t="n">
        <v>0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Gloss</t>
        </is>
      </c>
      <c r="J465" t="inlineStr"/>
      <c r="K465" t="n">
        <v>34.06</v>
      </c>
      <c r="L465" t="n">
        <v>34.06</v>
      </c>
    </row>
    <row r="466">
      <c r="A466" s="1">
        <f>Hyperlink("https://www.wallsandfloors.co.uk/oasis-tiles-beige-haven-tiles","Product")</f>
        <v/>
      </c>
      <c r="B466" s="1" t="inlineStr">
        <is>
          <t>14689</t>
        </is>
      </c>
      <c r="C466" s="1" t="inlineStr">
        <is>
          <t>Oasis Haven Matt Beige Tiles</t>
        </is>
      </c>
      <c r="D466" s="1" t="inlineStr">
        <is>
          <t>600x300x10mm</t>
        </is>
      </c>
      <c r="E466" s="1" t="n">
        <v>19.95</v>
      </c>
      <c r="F466" s="1" t="n">
        <v>0</v>
      </c>
      <c r="G466" s="1" t="inlineStr">
        <is>
          <t>SQM</t>
        </is>
      </c>
      <c r="H466" s="1" t="inlineStr">
        <is>
          <t>Porcelain</t>
        </is>
      </c>
      <c r="I466" s="1" t="inlineStr">
        <is>
          <t>Matt</t>
        </is>
      </c>
      <c r="J466" t="inlineStr"/>
      <c r="K466" t="n">
        <v>19.95</v>
      </c>
      <c r="L466" t="n">
        <v>19.95</v>
      </c>
    </row>
    <row r="467">
      <c r="A467" s="1">
        <f>Hyperlink("https://www.wallsandfloors.co.uk/prismatics-gloss-natural-tiles-suede-gloss-medium-prg104-tiles","Product")</f>
        <v/>
      </c>
      <c r="B467" s="1" t="inlineStr">
        <is>
          <t>15041</t>
        </is>
      </c>
      <c r="C467" s="1" t="inlineStr">
        <is>
          <t>Prismatics Gloss PRG104 Suede Greige Tiles</t>
        </is>
      </c>
      <c r="D467" s="1" t="inlineStr">
        <is>
          <t>150x150x6.5mm</t>
        </is>
      </c>
      <c r="E467" s="1" t="n">
        <v>32.71</v>
      </c>
      <c r="F467" s="1" t="n">
        <v>0</v>
      </c>
      <c r="G467" s="1" t="inlineStr"/>
      <c r="H467" s="1" t="inlineStr">
        <is>
          <t>Ceramic</t>
        </is>
      </c>
      <c r="I467" s="1" t="inlineStr">
        <is>
          <t>Gloss</t>
        </is>
      </c>
      <c r="J467" t="n">
        <v>32.71</v>
      </c>
      <c r="K467" t="n">
        <v>32.71</v>
      </c>
      <c r="L467" t="n">
        <v>32.71</v>
      </c>
    </row>
    <row r="468">
      <c r="A468" s="1">
        <f>Hyperlink("https://www.wallsandfloors.co.uk/prismatics-gloss-natural-tiles-magnolia-gloss-medium-prg20-tiles","Product")</f>
        <v/>
      </c>
      <c r="B468" s="1" t="inlineStr">
        <is>
          <t>5337</t>
        </is>
      </c>
      <c r="C468" s="1" t="inlineStr">
        <is>
          <t>Prismatics Gloss PRG20 Magnolia Wall Tiles</t>
        </is>
      </c>
      <c r="D468" s="1" t="inlineStr">
        <is>
          <t>150x150x6.5mm</t>
        </is>
      </c>
      <c r="E468" s="1" t="n">
        <v>32.71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n">
        <v>32.71</v>
      </c>
      <c r="K468" t="n">
        <v>32.71</v>
      </c>
      <c r="L468" t="n">
        <v>32.71</v>
      </c>
    </row>
    <row r="469">
      <c r="A469" s="1">
        <f>Hyperlink("https://www.wallsandfloors.co.uk/moorland-bronze-slate-effect-tiles","Product")</f>
        <v/>
      </c>
      <c r="B469" s="1" t="inlineStr">
        <is>
          <t>15613</t>
        </is>
      </c>
      <c r="C469" s="1" t="inlineStr">
        <is>
          <t>Bronze Slate Effect Tiles</t>
        </is>
      </c>
      <c r="D469" s="1" t="inlineStr">
        <is>
          <t>600x300x9.7mm</t>
        </is>
      </c>
      <c r="E469" s="1" t="n">
        <v>20.95</v>
      </c>
      <c r="F469" s="1" t="n">
        <v>0</v>
      </c>
      <c r="G469" s="1" t="inlineStr"/>
      <c r="H469" s="1" t="inlineStr">
        <is>
          <t>Porcelain</t>
        </is>
      </c>
      <c r="I469" s="1" t="inlineStr">
        <is>
          <t>Matt</t>
        </is>
      </c>
      <c r="J469" t="n">
        <v>20.95</v>
      </c>
      <c r="K469" t="n">
        <v>20.95</v>
      </c>
      <c r="L469" t="n">
        <v>20.95</v>
      </c>
    </row>
    <row r="470">
      <c r="A470" s="1">
        <f>Hyperlink("https://www.wallsandfloors.co.uk/prismatics-gloss-monochrome-tiles-white-gloss-small-prg1-tiles","Product")</f>
        <v/>
      </c>
      <c r="B470" s="1" t="inlineStr">
        <is>
          <t>533</t>
        </is>
      </c>
      <c r="C470" s="1" t="inlineStr">
        <is>
          <t>Prismatics Gloss PRG1 White Wall Tiles</t>
        </is>
      </c>
      <c r="D470" s="1" t="inlineStr">
        <is>
          <t>100x100x6.5mm</t>
        </is>
      </c>
      <c r="E470" s="1" t="n">
        <v>33.95</v>
      </c>
      <c r="F470" s="1" t="n">
        <v>0</v>
      </c>
      <c r="G470" s="1" t="inlineStr">
        <is>
          <t>SQM</t>
        </is>
      </c>
      <c r="H470" s="1" t="inlineStr">
        <is>
          <t>Ceramic</t>
        </is>
      </c>
      <c r="I470" s="1" t="inlineStr">
        <is>
          <t>Gloss</t>
        </is>
      </c>
      <c r="J470" t="n">
        <v>33.95</v>
      </c>
      <c r="K470" t="n">
        <v>33.95</v>
      </c>
      <c r="L470" t="n">
        <v>33.95</v>
      </c>
    </row>
    <row r="471">
      <c r="A471" s="1">
        <f>Hyperlink("https://www.wallsandfloors.co.uk/moorland-burnished-slate-effect-tiles","Product")</f>
        <v/>
      </c>
      <c r="B471" s="1" t="inlineStr">
        <is>
          <t>15614</t>
        </is>
      </c>
      <c r="C471" s="1" t="inlineStr">
        <is>
          <t>Burnished Slate Effect Tiles</t>
        </is>
      </c>
      <c r="D471" s="1" t="inlineStr">
        <is>
          <t>600x300x9.7mm</t>
        </is>
      </c>
      <c r="E471" s="1" t="n">
        <v>20.95</v>
      </c>
      <c r="F471" s="1" t="n">
        <v>0</v>
      </c>
      <c r="G471" s="1" t="inlineStr">
        <is>
          <t>SQM</t>
        </is>
      </c>
      <c r="H471" s="1" t="inlineStr">
        <is>
          <t>Porcelain</t>
        </is>
      </c>
      <c r="I471" s="1" t="inlineStr">
        <is>
          <t>Matt</t>
        </is>
      </c>
      <c r="J471" t="n">
        <v>20.95</v>
      </c>
      <c r="K471" t="n">
        <v>20.95</v>
      </c>
      <c r="L471" t="n">
        <v>20.95</v>
      </c>
    </row>
    <row r="472">
      <c r="A472" s="1">
        <f>Hyperlink("https://www.wallsandfloors.co.uk/prismatics-gloss-monochrome-tiles-white-gloss-oblong-prg1-wall-tiles","Product")</f>
        <v/>
      </c>
      <c r="B472" s="1" t="inlineStr">
        <is>
          <t>4599</t>
        </is>
      </c>
      <c r="C472" s="1" t="inlineStr">
        <is>
          <t>White Gloss Oblong (PRG1) Wall Tiles</t>
        </is>
      </c>
      <c r="D472" s="1" t="inlineStr">
        <is>
          <t>200x100x6.5mm</t>
        </is>
      </c>
      <c r="E472" s="1" t="n">
        <v>33.95</v>
      </c>
      <c r="F472" s="1" t="n">
        <v>0</v>
      </c>
      <c r="G472" s="1" t="inlineStr">
        <is>
          <t>SQM</t>
        </is>
      </c>
      <c r="H472" s="1" t="inlineStr">
        <is>
          <t>Ceramic</t>
        </is>
      </c>
      <c r="I472" s="1" t="inlineStr">
        <is>
          <t>Gloss</t>
        </is>
      </c>
      <c r="J472" t="n">
        <v>33.95</v>
      </c>
      <c r="K472" t="n">
        <v>33.95</v>
      </c>
      <c r="L472" t="n">
        <v>33.95</v>
      </c>
    </row>
    <row r="473">
      <c r="A473" s="1">
        <f>Hyperlink("https://www.wallsandfloors.co.uk/mortar-mixer-paddle-m-120-r-3h","Product")</f>
        <v/>
      </c>
      <c r="B473" s="1" t="inlineStr">
        <is>
          <t>40420</t>
        </is>
      </c>
      <c r="C473" s="1" t="inlineStr">
        <is>
          <t>Mortar Mixer Paddle M-120-R 3H</t>
        </is>
      </c>
      <c r="D473" s="1" t="inlineStr">
        <is>
          <t>600x120mm</t>
        </is>
      </c>
      <c r="E473" s="1" t="n">
        <v>25.34</v>
      </c>
      <c r="F473" s="1" t="n">
        <v>0</v>
      </c>
      <c r="G473" s="1" t="inlineStr">
        <is>
          <t>Unit</t>
        </is>
      </c>
      <c r="H473" s="1" t="inlineStr">
        <is>
          <t>Tools</t>
        </is>
      </c>
      <c r="I473" s="1" t="inlineStr">
        <is>
          <t>-</t>
        </is>
      </c>
      <c r="J473" t="inlineStr"/>
      <c r="K473" t="n">
        <v>25.34</v>
      </c>
      <c r="L473" t="n">
        <v>25.34</v>
      </c>
    </row>
    <row r="474">
      <c r="A474" s="1">
        <f>Hyperlink("https://www.wallsandfloors.co.uk/prismatics-gloss-monochrome-tiles-white-gloss-medium-prg1-tiles","Product")</f>
        <v/>
      </c>
      <c r="B474" s="1" t="inlineStr">
        <is>
          <t>4600</t>
        </is>
      </c>
      <c r="C474" s="1" t="inlineStr">
        <is>
          <t>Prismatics Gloss PRG1 White Wall Tiles</t>
        </is>
      </c>
      <c r="D474" s="1" t="inlineStr">
        <is>
          <t>150x150x6.5mm</t>
        </is>
      </c>
      <c r="E474" s="1" t="n">
        <v>22.95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Gloss</t>
        </is>
      </c>
      <c r="J474" t="inlineStr"/>
      <c r="K474" t="n">
        <v>22.95</v>
      </c>
      <c r="L474" t="n">
        <v>22.95</v>
      </c>
    </row>
    <row r="475">
      <c r="A475" s="1">
        <f>Hyperlink("https://www.wallsandfloors.co.uk/prismatics-gloss-monochrome-tiles-storm-grey-gloss-medium-prg24-tiles","Product")</f>
        <v/>
      </c>
      <c r="B475" s="1" t="inlineStr">
        <is>
          <t>5240</t>
        </is>
      </c>
      <c r="C475" s="1" t="inlineStr">
        <is>
          <t>Prismatics Gloss PRG24 Storm Grey Wall Tiles</t>
        </is>
      </c>
      <c r="D475" s="1" t="inlineStr">
        <is>
          <t>150x150x6.5mm</t>
        </is>
      </c>
      <c r="E475" s="1" t="n">
        <v>35.06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Gloss</t>
        </is>
      </c>
      <c r="J475" t="n">
        <v>35.06</v>
      </c>
      <c r="K475" t="n">
        <v>35.06</v>
      </c>
      <c r="L475" t="n">
        <v>35.06</v>
      </c>
    </row>
    <row r="476">
      <c r="A476" s="1">
        <f>Hyperlink("https://www.wallsandfloors.co.uk/mosaic-black-hexagon-gloss-50x50-48191","Product")</f>
        <v/>
      </c>
      <c r="B476" s="1" t="inlineStr">
        <is>
          <t>40054</t>
        </is>
      </c>
      <c r="C476" s="1" t="inlineStr">
        <is>
          <t>Bijou Gloss Black Hexagon Mosaic Tiles</t>
        </is>
      </c>
      <c r="D476" s="1" t="inlineStr">
        <is>
          <t>321x278x5.3mm</t>
        </is>
      </c>
      <c r="E476" s="1" t="n">
        <v>2.07</v>
      </c>
      <c r="F476" s="1" t="n">
        <v>0</v>
      </c>
      <c r="G476" s="1" t="inlineStr">
        <is>
          <t>Sheet</t>
        </is>
      </c>
      <c r="H476" s="1" t="inlineStr">
        <is>
          <t>Porcelain</t>
        </is>
      </c>
      <c r="I476" s="1" t="inlineStr">
        <is>
          <t>Gloss</t>
        </is>
      </c>
      <c r="J476" t="inlineStr"/>
      <c r="K476" t="n">
        <v>2.07</v>
      </c>
      <c r="L476" t="n">
        <v>2.07</v>
      </c>
    </row>
    <row r="477">
      <c r="A477" s="1">
        <f>Hyperlink("https://www.wallsandfloors.co.uk/mr-jones-dove-grey","Product")</f>
        <v/>
      </c>
      <c r="B477" s="1" t="inlineStr">
        <is>
          <t>43099</t>
        </is>
      </c>
      <c r="C477" s="1" t="inlineStr">
        <is>
          <t>Mr Jones Ash Tiles</t>
        </is>
      </c>
      <c r="D477" s="1" t="inlineStr">
        <is>
          <t>450x450x9mm</t>
        </is>
      </c>
      <c r="E477" s="1" t="n">
        <v>17.95</v>
      </c>
      <c r="F477" s="1" t="n">
        <v>0</v>
      </c>
      <c r="G477" s="1" t="inlineStr">
        <is>
          <t>SQM</t>
        </is>
      </c>
      <c r="H477" s="1" t="inlineStr">
        <is>
          <t>Ceramic</t>
        </is>
      </c>
      <c r="I477" s="1" t="inlineStr">
        <is>
          <t>Matt</t>
        </is>
      </c>
      <c r="J477" t="inlineStr"/>
      <c r="K477" t="n">
        <v>17.95</v>
      </c>
      <c r="L477" t="n">
        <v>17.95</v>
      </c>
    </row>
    <row r="478">
      <c r="A478" s="1">
        <f>Hyperlink("https://www.wallsandfloors.co.uk/multidrill-guide-max-o-83-mm","Product")</f>
        <v/>
      </c>
      <c r="B478" s="1" t="inlineStr">
        <is>
          <t>40412</t>
        </is>
      </c>
      <c r="C478" s="1" t="inlineStr">
        <is>
          <t>Multidrill Guide</t>
        </is>
      </c>
      <c r="D478" s="1" t="inlineStr">
        <is>
          <t>83mm</t>
        </is>
      </c>
      <c r="E478" s="1" t="n">
        <v>28.55</v>
      </c>
      <c r="F478" s="1" t="n">
        <v>0</v>
      </c>
      <c r="G478" s="1" t="inlineStr">
        <is>
          <t>Unit</t>
        </is>
      </c>
      <c r="H478" s="1" t="inlineStr">
        <is>
          <t>Accessories</t>
        </is>
      </c>
      <c r="I478" s="1" t="inlineStr">
        <is>
          <t>-</t>
        </is>
      </c>
      <c r="J478" t="inlineStr"/>
      <c r="K478" t="n">
        <v>28.55</v>
      </c>
      <c r="L478" t="n">
        <v>28.55</v>
      </c>
    </row>
    <row r="479">
      <c r="A479" s="1">
        <f>Hyperlink("https://www.wallsandfloors.co.uk/prismatics-gloss-monochrome-tiles-shark-gloss-medium-prg11-tiles","Product")</f>
        <v/>
      </c>
      <c r="B479" s="1" t="inlineStr">
        <is>
          <t>5176</t>
        </is>
      </c>
      <c r="C479" s="1" t="inlineStr">
        <is>
          <t>Prismatics Gloss PRG11 Shark Grey Wall Tiles</t>
        </is>
      </c>
      <c r="D479" s="1" t="inlineStr">
        <is>
          <t>150x150x6.5mm</t>
        </is>
      </c>
      <c r="E479" s="1" t="n">
        <v>35.06</v>
      </c>
      <c r="F479" s="1" t="n">
        <v>0</v>
      </c>
      <c r="G479" s="1" t="inlineStr">
        <is>
          <t>SQM</t>
        </is>
      </c>
      <c r="H479" s="1" t="inlineStr">
        <is>
          <t>Ceramic</t>
        </is>
      </c>
      <c r="I479" s="1" t="inlineStr">
        <is>
          <t>Gloss</t>
        </is>
      </c>
      <c r="J479" t="n">
        <v>35.06</v>
      </c>
      <c r="K479" t="inlineStr"/>
      <c r="L479" t="n">
        <v>35.06</v>
      </c>
    </row>
    <row r="480">
      <c r="A480" s="1">
        <f>Hyperlink("https://www.wallsandfloors.co.uk/prismatics-gloss-green-tiles-victoria-green-gloss-medium-prv5-tiles","Product")</f>
        <v/>
      </c>
      <c r="B480" s="1" t="inlineStr">
        <is>
          <t>5173</t>
        </is>
      </c>
      <c r="C480" s="1" t="inlineStr">
        <is>
          <t>Prismatics Gloss PRV5 Victoria Green Wall Tiles</t>
        </is>
      </c>
      <c r="D480" s="1" t="inlineStr">
        <is>
          <t>150x150x6.5mm</t>
        </is>
      </c>
      <c r="E480" s="1" t="n">
        <v>44.95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Gloss</t>
        </is>
      </c>
      <c r="J480" t="n">
        <v>44.95</v>
      </c>
      <c r="K480" t="n">
        <v>44.95</v>
      </c>
      <c r="L480" t="n">
        <v>44.95</v>
      </c>
    </row>
    <row r="481">
      <c r="A481" s="1">
        <f>Hyperlink("https://www.wallsandfloors.co.uk/prismatics-gloss-blue-aqua-tiles-victoria-blue-gloss-medium-prv3-tiles","Product")</f>
        <v/>
      </c>
      <c r="B481" s="1" t="inlineStr">
        <is>
          <t>4723</t>
        </is>
      </c>
      <c r="C481" s="1" t="inlineStr">
        <is>
          <t>Prismatics Gloss PRV3 Victoria Blue Wall Tiles</t>
        </is>
      </c>
      <c r="D481" s="1" t="inlineStr">
        <is>
          <t>150x150x6.5mm</t>
        </is>
      </c>
      <c r="E481" s="1" t="n">
        <v>44.95</v>
      </c>
      <c r="F481" s="1" t="n">
        <v>0</v>
      </c>
      <c r="G481" s="1" t="inlineStr"/>
      <c r="H481" s="1" t="inlineStr">
        <is>
          <t>Ceramic</t>
        </is>
      </c>
      <c r="I481" s="1" t="inlineStr">
        <is>
          <t>Gloss</t>
        </is>
      </c>
      <c r="J481" t="n">
        <v>44.95</v>
      </c>
      <c r="K481" t="n">
        <v>44.95</v>
      </c>
      <c r="L481" t="n">
        <v>44.95</v>
      </c>
    </row>
    <row r="482">
      <c r="A482" s="1">
        <f>Hyperlink("https://www.wallsandfloors.co.uk/muniellos-c-honey-oak-15x90-tiles","Product")</f>
        <v/>
      </c>
      <c r="B482" s="1" t="inlineStr">
        <is>
          <t>43155</t>
        </is>
      </c>
      <c r="C482" s="1" t="inlineStr">
        <is>
          <t>Muniellos Honey Oak Wood Effect Tiles</t>
        </is>
      </c>
      <c r="D482" s="1" t="inlineStr">
        <is>
          <t>900x150x10mm</t>
        </is>
      </c>
      <c r="E482" s="1" t="n">
        <v>30.95</v>
      </c>
      <c r="F482" s="1" t="n">
        <v>0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n">
        <v>30.95</v>
      </c>
      <c r="K482" t="n">
        <v>30.95</v>
      </c>
      <c r="L482" t="n">
        <v>30.95</v>
      </c>
    </row>
    <row r="483">
      <c r="A483" s="1">
        <f>Hyperlink("https://www.wallsandfloors.co.uk/n-cleaning-block","Product")</f>
        <v/>
      </c>
      <c r="B483" s="1" t="inlineStr">
        <is>
          <t>40414</t>
        </is>
      </c>
      <c r="C483" s="1" t="inlineStr">
        <is>
          <t>N-Cleaning Block</t>
        </is>
      </c>
      <c r="D483" s="1" t="n">
        <v>1</v>
      </c>
      <c r="E483" s="1" t="n">
        <v>16.95</v>
      </c>
      <c r="F483" s="1" t="n">
        <v>0</v>
      </c>
      <c r="G483" s="1" t="inlineStr">
        <is>
          <t>Unit</t>
        </is>
      </c>
      <c r="H483" s="1" t="inlineStr">
        <is>
          <t>Accessories</t>
        </is>
      </c>
      <c r="I483" s="1" t="inlineStr">
        <is>
          <t>-</t>
        </is>
      </c>
      <c r="J483" t="inlineStr"/>
      <c r="K483" t="inlineStr"/>
      <c r="L483" t="n">
        <v>16.95</v>
      </c>
    </row>
    <row r="484">
      <c r="A484" s="1">
        <f>Hyperlink("https://www.wallsandfloors.co.uk/planate-liquorice-charcoal-60x30-tiles","Product")</f>
        <v/>
      </c>
      <c r="B484" s="1" t="inlineStr">
        <is>
          <t>44108</t>
        </is>
      </c>
      <c r="C484" s="1" t="inlineStr">
        <is>
          <t>Planate Liquorice Charcoal Tiles</t>
        </is>
      </c>
      <c r="D484" s="1" t="inlineStr">
        <is>
          <t>600x300x9.5mm</t>
        </is>
      </c>
      <c r="E484" s="1" t="n">
        <v>20.95</v>
      </c>
      <c r="F484" s="1" t="n">
        <v>0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inlineStr"/>
      <c r="K484" t="n">
        <v>20.95</v>
      </c>
      <c r="L484" t="n">
        <v>20.95</v>
      </c>
    </row>
    <row r="485">
      <c r="A485" s="1">
        <f>Hyperlink("https://www.wallsandfloors.co.uk/nantlle-valley-urban-grey-stone-effect-mosaic-tiles","Product")</f>
        <v/>
      </c>
      <c r="B485" s="1" t="inlineStr">
        <is>
          <t>41517</t>
        </is>
      </c>
      <c r="C485" s="1" t="inlineStr">
        <is>
          <t>Nantlle Valley Urban Grey Stone Effect Mosaic Tiles</t>
        </is>
      </c>
      <c r="D485" s="1" t="inlineStr">
        <is>
          <t>300x300x10.3mm</t>
        </is>
      </c>
      <c r="E485" s="1" t="n">
        <v>6.95</v>
      </c>
      <c r="F485" s="1" t="n">
        <v>0</v>
      </c>
      <c r="G485" s="1" t="inlineStr">
        <is>
          <t>Sheet</t>
        </is>
      </c>
      <c r="H485" s="1" t="inlineStr">
        <is>
          <t>Porcelain</t>
        </is>
      </c>
      <c r="I485" s="1" t="inlineStr">
        <is>
          <t>Matt</t>
        </is>
      </c>
      <c r="J485" t="n">
        <v>6.95</v>
      </c>
      <c r="K485" t="inlineStr"/>
      <c r="L485" t="n">
        <v>6.95</v>
      </c>
    </row>
    <row r="486">
      <c r="A486" s="1">
        <f>Hyperlink("https://www.wallsandfloors.co.uk/planate-liquorice-charcoal-120x60-tiles","Product")</f>
        <v/>
      </c>
      <c r="B486" s="1" t="inlineStr">
        <is>
          <t>44109</t>
        </is>
      </c>
      <c r="C486" s="1" t="inlineStr">
        <is>
          <t>Planate Liquorice Charcoal Tiles</t>
        </is>
      </c>
      <c r="D486" s="1" t="inlineStr">
        <is>
          <t>1200x600x9.5mm</t>
        </is>
      </c>
      <c r="E486" s="1" t="n">
        <v>32.95</v>
      </c>
      <c r="F486" s="1" t="n">
        <v>0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Matt</t>
        </is>
      </c>
      <c r="J486" t="n">
        <v>32.95</v>
      </c>
      <c r="K486" t="n">
        <v>32.95</v>
      </c>
      <c r="L486" t="n">
        <v>32.95</v>
      </c>
    </row>
    <row r="487">
      <c r="A487" s="1">
        <f>Hyperlink("https://www.wallsandfloors.co.uk/navarra-tiles-blanco-tiles-10419","Product")</f>
        <v/>
      </c>
      <c r="B487" s="1" t="inlineStr">
        <is>
          <t>10419</t>
        </is>
      </c>
      <c r="C487" s="1" t="inlineStr">
        <is>
          <t>Navarra Blanco Tiles</t>
        </is>
      </c>
      <c r="D487" s="1" t="inlineStr">
        <is>
          <t>600x600x11mm</t>
        </is>
      </c>
      <c r="E487" s="1" t="n">
        <v>50.95</v>
      </c>
      <c r="F487" s="1" t="n">
        <v>0</v>
      </c>
      <c r="G487" s="1" t="inlineStr">
        <is>
          <t>SQM</t>
        </is>
      </c>
      <c r="H487" s="1" t="inlineStr">
        <is>
          <t>Porcelain</t>
        </is>
      </c>
      <c r="I487" s="1" t="inlineStr">
        <is>
          <t>Satin</t>
        </is>
      </c>
      <c r="J487" t="n">
        <v>50.95</v>
      </c>
      <c r="K487" t="n">
        <v>50.95</v>
      </c>
      <c r="L487" t="n">
        <v>50.95</v>
      </c>
    </row>
    <row r="488">
      <c r="A488" s="1">
        <f>Hyperlink("https://www.wallsandfloors.co.uk/navarra-tiles-metallic-bronze-tiles","Product")</f>
        <v/>
      </c>
      <c r="B488" s="1" t="inlineStr">
        <is>
          <t>1138</t>
        </is>
      </c>
      <c r="C488" s="1" t="inlineStr">
        <is>
          <t>Navarra Metallic Bronze Tiles</t>
        </is>
      </c>
      <c r="D488" s="1" t="inlineStr">
        <is>
          <t>596x296x9mm</t>
        </is>
      </c>
      <c r="E488" s="1" t="n">
        <v>50.95</v>
      </c>
      <c r="F488" s="1" t="n">
        <v>0</v>
      </c>
      <c r="G488" s="1" t="inlineStr">
        <is>
          <t>SQM</t>
        </is>
      </c>
      <c r="H488" s="1" t="inlineStr">
        <is>
          <t>Porcelain</t>
        </is>
      </c>
      <c r="I488" s="1" t="inlineStr">
        <is>
          <t>Satin</t>
        </is>
      </c>
      <c r="J488" t="n">
        <v>50.95</v>
      </c>
      <c r="K488" t="n">
        <v>50.95</v>
      </c>
      <c r="L488" t="n">
        <v>50.95</v>
      </c>
    </row>
    <row r="489">
      <c r="A489" s="1">
        <f>Hyperlink("https://www.wallsandfloors.co.uk/piquancy-tiles-felicity-white-tiles","Product")</f>
        <v/>
      </c>
      <c r="B489" s="1" t="inlineStr">
        <is>
          <t>24734</t>
        </is>
      </c>
      <c r="C489" s="1" t="inlineStr">
        <is>
          <t>Felicity White Tiles</t>
        </is>
      </c>
      <c r="D489" s="1" t="inlineStr">
        <is>
          <t>450x450x10.5mm</t>
        </is>
      </c>
      <c r="E489" s="1" t="n">
        <v>26.95</v>
      </c>
      <c r="F489" s="1" t="n">
        <v>0</v>
      </c>
      <c r="G489" s="1" t="inlineStr">
        <is>
          <t>SQM</t>
        </is>
      </c>
      <c r="H489" s="1" t="inlineStr">
        <is>
          <t>Ceramic</t>
        </is>
      </c>
      <c r="I489" s="1" t="inlineStr">
        <is>
          <t>Matt</t>
        </is>
      </c>
      <c r="J489" t="inlineStr"/>
      <c r="K489" t="n">
        <v>26.95</v>
      </c>
      <c r="L489" t="n">
        <v>26.95</v>
      </c>
    </row>
    <row r="490">
      <c r="A490" s="1">
        <f>Hyperlink("https://www.wallsandfloors.co.uk/navarra-tiles-metallic-bronze-tiles-4316","Product")</f>
        <v/>
      </c>
      <c r="B490" s="1" t="inlineStr">
        <is>
          <t>4316</t>
        </is>
      </c>
      <c r="C490" s="1" t="inlineStr">
        <is>
          <t>Navarra Metallic Bronze Tiles</t>
        </is>
      </c>
      <c r="D490" s="1" t="inlineStr">
        <is>
          <t>596x596x11mm</t>
        </is>
      </c>
      <c r="E490" s="1" t="n">
        <v>50.95</v>
      </c>
      <c r="F490" s="1" t="n">
        <v>0</v>
      </c>
      <c r="G490" s="1" t="inlineStr">
        <is>
          <t>SQM</t>
        </is>
      </c>
      <c r="H490" s="1" t="inlineStr">
        <is>
          <t>Porcelain</t>
        </is>
      </c>
      <c r="I490" s="1" t="inlineStr">
        <is>
          <t>Satin</t>
        </is>
      </c>
      <c r="J490" t="inlineStr"/>
      <c r="K490" t="n">
        <v>50.95</v>
      </c>
      <c r="L490" t="n">
        <v>50.95</v>
      </c>
    </row>
    <row r="491">
      <c r="A491" s="1">
        <f>Hyperlink("https://www.wallsandfloors.co.uk/piquancy-gambol-tiles","Product")</f>
        <v/>
      </c>
      <c r="B491" s="1" t="inlineStr">
        <is>
          <t>34759</t>
        </is>
      </c>
      <c r="C491" s="1" t="inlineStr">
        <is>
          <t>Gambol Vintage Pattern Tiles</t>
        </is>
      </c>
      <c r="D491" s="1" t="inlineStr">
        <is>
          <t>450x450x11.5mm</t>
        </is>
      </c>
      <c r="E491" s="1" t="n">
        <v>26.95</v>
      </c>
      <c r="F491" s="1" t="n">
        <v>0</v>
      </c>
      <c r="G491" s="1" t="inlineStr">
        <is>
          <t>SQM</t>
        </is>
      </c>
      <c r="H491" s="1" t="inlineStr">
        <is>
          <t>Ceramic</t>
        </is>
      </c>
      <c r="I491" s="1" t="inlineStr">
        <is>
          <t>Matt</t>
        </is>
      </c>
      <c r="J491" t="n">
        <v>26.95</v>
      </c>
      <c r="K491" t="inlineStr"/>
      <c r="L491" t="n">
        <v>26.95</v>
      </c>
    </row>
    <row r="492">
      <c r="A492" s="1">
        <f>Hyperlink("https://www.wallsandfloors.co.uk/navarra-tiles-metallic-silver-tiles","Product")</f>
        <v/>
      </c>
      <c r="B492" s="1" t="inlineStr">
        <is>
          <t>1136</t>
        </is>
      </c>
      <c r="C492" s="1" t="inlineStr">
        <is>
          <t>Navarra Metallic Silver Tiles</t>
        </is>
      </c>
      <c r="D492" s="1" t="inlineStr">
        <is>
          <t>596x296x9mm</t>
        </is>
      </c>
      <c r="E492" s="1" t="n">
        <v>50.95</v>
      </c>
      <c r="F492" s="1" t="n">
        <v>0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Satin</t>
        </is>
      </c>
      <c r="J492" t="n">
        <v>50.95</v>
      </c>
      <c r="K492" t="n">
        <v>50.95</v>
      </c>
      <c r="L492" t="n">
        <v>50.95</v>
      </c>
    </row>
    <row r="493">
      <c r="A493" s="1">
        <f>Hyperlink("https://www.wallsandfloors.co.uk/pinoso-marble-effect-silver-tiles","Product")</f>
        <v/>
      </c>
      <c r="B493" s="1" t="inlineStr">
        <is>
          <t>41063</t>
        </is>
      </c>
      <c r="C493" s="1" t="inlineStr">
        <is>
          <t>Pinoso Marble Effect Silver Tiles</t>
        </is>
      </c>
      <c r="D493" s="1" t="inlineStr">
        <is>
          <t>600x600x9mm</t>
        </is>
      </c>
      <c r="E493" s="1" t="n">
        <v>12.95</v>
      </c>
      <c r="F493" s="1" t="n">
        <v>0</v>
      </c>
      <c r="G493" s="1" t="inlineStr">
        <is>
          <t>SQM</t>
        </is>
      </c>
      <c r="H493" s="1" t="inlineStr">
        <is>
          <t>Porcelain</t>
        </is>
      </c>
      <c r="I493" s="1" t="inlineStr">
        <is>
          <t>Gloss</t>
        </is>
      </c>
      <c r="J493" t="n">
        <v>12.95</v>
      </c>
      <c r="K493" t="n">
        <v>12.95</v>
      </c>
      <c r="L493" t="n">
        <v>12.95</v>
      </c>
    </row>
    <row r="494">
      <c r="A494" s="1">
        <f>Hyperlink("https://www.wallsandfloors.co.uk/navarra-tiles-metallic-silver-tiles-4317","Product")</f>
        <v/>
      </c>
      <c r="B494" s="1" t="inlineStr">
        <is>
          <t>4317</t>
        </is>
      </c>
      <c r="C494" s="1" t="inlineStr">
        <is>
          <t>Navarra Metallic Silver Tiles</t>
        </is>
      </c>
      <c r="D494" s="1" t="inlineStr">
        <is>
          <t>596x596x11mm</t>
        </is>
      </c>
      <c r="E494" s="1" t="n">
        <v>50.95</v>
      </c>
      <c r="F494" s="1" t="n">
        <v>0</v>
      </c>
      <c r="G494" s="1" t="inlineStr">
        <is>
          <t>SQM</t>
        </is>
      </c>
      <c r="H494" s="1" t="inlineStr">
        <is>
          <t>Porcelain</t>
        </is>
      </c>
      <c r="I494" s="1" t="inlineStr">
        <is>
          <t>Satin</t>
        </is>
      </c>
      <c r="J494" t="n">
        <v>50.95</v>
      </c>
      <c r="K494" t="inlineStr"/>
      <c r="L494" t="n">
        <v>50.95</v>
      </c>
    </row>
    <row r="495">
      <c r="A495" s="1">
        <f>Hyperlink("https://www.wallsandfloors.co.uk/pinoso-marble-effect-seashell-tiles","Product")</f>
        <v/>
      </c>
      <c r="B495" s="1" t="inlineStr">
        <is>
          <t>41062</t>
        </is>
      </c>
      <c r="C495" s="1" t="inlineStr">
        <is>
          <t>Pinoso Marble Effect Seashell Tiles</t>
        </is>
      </c>
      <c r="D495" s="1" t="inlineStr">
        <is>
          <t>600x600x9mm</t>
        </is>
      </c>
      <c r="E495" s="1" t="n">
        <v>12.95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Gloss</t>
        </is>
      </c>
      <c r="J495" t="inlineStr"/>
      <c r="K495" t="n">
        <v>12.95</v>
      </c>
      <c r="L495" t="n">
        <v>12.95</v>
      </c>
    </row>
    <row r="496">
      <c r="A496" s="1">
        <f>Hyperlink("https://www.wallsandfloors.co.uk/navarra-tiles-silver-black-mosaic-tiles","Product")</f>
        <v/>
      </c>
      <c r="B496" s="1" t="inlineStr">
        <is>
          <t>3048</t>
        </is>
      </c>
      <c r="C496" s="1" t="inlineStr">
        <is>
          <t>Navarra Silver Black Mosaic Tiles</t>
        </is>
      </c>
      <c r="D496" s="1" t="inlineStr">
        <is>
          <t>300x300x9mm</t>
        </is>
      </c>
      <c r="E496" s="1" t="n">
        <v>19.95</v>
      </c>
      <c r="F496" s="1" t="n">
        <v>0</v>
      </c>
      <c r="G496" s="1" t="inlineStr">
        <is>
          <t>Sheet</t>
        </is>
      </c>
      <c r="H496" s="1" t="inlineStr">
        <is>
          <t>Porcelain</t>
        </is>
      </c>
      <c r="I496" s="1" t="inlineStr">
        <is>
          <t>Satin</t>
        </is>
      </c>
      <c r="J496" t="n">
        <v>19.95</v>
      </c>
      <c r="K496" t="n">
        <v>19.95</v>
      </c>
      <c r="L496" t="n">
        <v>19.95</v>
      </c>
    </row>
    <row r="497">
      <c r="A497" s="1">
        <f>Hyperlink("https://www.wallsandfloors.co.uk/picket-bevelled-snow-tiles","Product")</f>
        <v/>
      </c>
      <c r="B497" s="1" t="inlineStr">
        <is>
          <t>44235</t>
        </is>
      </c>
      <c r="C497" s="1" t="inlineStr">
        <is>
          <t>Pickett™ Bevelled Snow Tiles</t>
        </is>
      </c>
      <c r="D497" s="1" t="inlineStr">
        <is>
          <t>300x100x8.2mm</t>
        </is>
      </c>
      <c r="E497" s="1" t="n">
        <v>34.95</v>
      </c>
      <c r="F497" s="1" t="n">
        <v>0</v>
      </c>
      <c r="G497" s="1" t="inlineStr">
        <is>
          <t>SQM</t>
        </is>
      </c>
      <c r="H497" s="1" t="inlineStr">
        <is>
          <t>Ceramic</t>
        </is>
      </c>
      <c r="I497" s="1" t="inlineStr">
        <is>
          <t>Gloss</t>
        </is>
      </c>
      <c r="J497" t="n">
        <v>34.95</v>
      </c>
      <c r="K497" t="n">
        <v>34.95</v>
      </c>
      <c r="L497" t="n">
        <v>34.95</v>
      </c>
    </row>
    <row r="498">
      <c r="A498" s="1">
        <f>Hyperlink("https://www.wallsandfloors.co.uk/picket-bevelled-petal-pink-tiles","Product")</f>
        <v/>
      </c>
      <c r="B498" s="1" t="inlineStr">
        <is>
          <t>44239</t>
        </is>
      </c>
      <c r="C498" s="1" t="inlineStr">
        <is>
          <t>Pickett™ Bevelled Petal Pink Tiles</t>
        </is>
      </c>
      <c r="D498" s="1" t="inlineStr">
        <is>
          <t>300x100x8.2mm</t>
        </is>
      </c>
      <c r="E498" s="1" t="n">
        <v>34.95</v>
      </c>
      <c r="F498" s="1" t="n">
        <v>0</v>
      </c>
      <c r="G498" s="1" t="inlineStr">
        <is>
          <t>SQM</t>
        </is>
      </c>
      <c r="H498" s="1" t="inlineStr">
        <is>
          <t>Ceramic</t>
        </is>
      </c>
      <c r="I498" s="1" t="inlineStr">
        <is>
          <t>Gloss</t>
        </is>
      </c>
      <c r="J498" t="n">
        <v>34.95</v>
      </c>
      <c r="K498" t="n">
        <v>34.95</v>
      </c>
      <c r="L498" t="n">
        <v>34.95</v>
      </c>
    </row>
    <row r="499">
      <c r="A499" s="1">
        <f>Hyperlink("https://www.wallsandfloors.co.uk/newton-rope-profile-strip-tiles-azul-rope-tiles","Product")</f>
        <v/>
      </c>
      <c r="B499" s="1" t="inlineStr">
        <is>
          <t>449</t>
        </is>
      </c>
      <c r="C499" s="1" t="inlineStr">
        <is>
          <t>Azul Rope Tiles</t>
        </is>
      </c>
      <c r="D499" s="1" t="inlineStr">
        <is>
          <t>200x30x7mm</t>
        </is>
      </c>
      <c r="E499" s="1" t="n">
        <v>2.95</v>
      </c>
      <c r="F499" s="1" t="n">
        <v>0</v>
      </c>
      <c r="G499" s="1" t="inlineStr">
        <is>
          <t>SQM</t>
        </is>
      </c>
      <c r="H499" s="1" t="inlineStr">
        <is>
          <t>Ceramic</t>
        </is>
      </c>
      <c r="I499" s="1" t="inlineStr">
        <is>
          <t>Gloss</t>
        </is>
      </c>
      <c r="J499" t="n">
        <v>2.95</v>
      </c>
      <c r="K499" t="n">
        <v>2.95</v>
      </c>
      <c r="L499" t="n">
        <v>2.95</v>
      </c>
    </row>
    <row r="500">
      <c r="A500" s="1">
        <f>Hyperlink("https://www.wallsandfloors.co.uk/niebla-mosaic-tiles-foggy-dark-blue-tiles","Product")</f>
        <v/>
      </c>
      <c r="B500" s="1" t="inlineStr">
        <is>
          <t>1819</t>
        </is>
      </c>
      <c r="C500" s="1" t="inlineStr">
        <is>
          <t>Niebla Foggy Dark Blue Mosaic Tiles</t>
        </is>
      </c>
      <c r="D500" s="1" t="inlineStr">
        <is>
          <t>333x333x5mm</t>
        </is>
      </c>
      <c r="E500" s="1" t="n">
        <v>10.95</v>
      </c>
      <c r="F500" s="1" t="n">
        <v>0</v>
      </c>
      <c r="G500" s="1" t="inlineStr">
        <is>
          <t>Sheet</t>
        </is>
      </c>
      <c r="H500" s="1" t="inlineStr">
        <is>
          <t>Glass</t>
        </is>
      </c>
      <c r="I500" s="1" t="inlineStr">
        <is>
          <t>Matt</t>
        </is>
      </c>
      <c r="J500" t="inlineStr"/>
      <c r="K500" t="n">
        <v>10.95</v>
      </c>
      <c r="L500" t="n">
        <v>10.95</v>
      </c>
    </row>
    <row r="501">
      <c r="A501" s="1">
        <f>Hyperlink("https://www.wallsandfloors.co.uk/niebla-mosaic-tiles-foggy-light-blue-anti-slip-tiles","Product")</f>
        <v/>
      </c>
      <c r="B501" s="1" t="inlineStr">
        <is>
          <t>1824</t>
        </is>
      </c>
      <c r="C501" s="1" t="inlineStr">
        <is>
          <t>Niebla Foggy Light Blue Anti-Slip Mosaic Tiles</t>
        </is>
      </c>
      <c r="D501" s="1" t="inlineStr">
        <is>
          <t>333x333x5mm</t>
        </is>
      </c>
      <c r="E501" s="1" t="n">
        <v>10.95</v>
      </c>
      <c r="F501" s="1" t="n">
        <v>0</v>
      </c>
      <c r="G501" s="1" t="inlineStr">
        <is>
          <t>Sheet</t>
        </is>
      </c>
      <c r="H501" s="1" t="inlineStr">
        <is>
          <t>Glass</t>
        </is>
      </c>
      <c r="I501" s="1" t="inlineStr">
        <is>
          <t>Matt</t>
        </is>
      </c>
      <c r="J501" t="n">
        <v>10.95</v>
      </c>
      <c r="K501" t="n">
        <v>10.95</v>
      </c>
      <c r="L501" t="n">
        <v>10.95</v>
      </c>
    </row>
    <row r="502">
      <c r="A502" s="1">
        <f>Hyperlink("https://www.wallsandfloors.co.uk/niebla-mosaic-tiles-oria-mix-tiles","Product")</f>
        <v/>
      </c>
      <c r="B502" s="1" t="inlineStr">
        <is>
          <t>12027</t>
        </is>
      </c>
      <c r="C502" s="1" t="inlineStr">
        <is>
          <t>Niebla Oria Blue Mosaic Tiles</t>
        </is>
      </c>
      <c r="D502" s="1" t="inlineStr">
        <is>
          <t>333x333x5mm</t>
        </is>
      </c>
      <c r="E502" s="1" t="n">
        <v>10.95</v>
      </c>
      <c r="F502" s="1" t="n">
        <v>0</v>
      </c>
      <c r="G502" s="1" t="inlineStr"/>
      <c r="H502" s="1" t="inlineStr">
        <is>
          <t>Glass</t>
        </is>
      </c>
      <c r="I502" s="1" t="inlineStr">
        <is>
          <t>Matt</t>
        </is>
      </c>
      <c r="J502" t="n">
        <v>10.95</v>
      </c>
      <c r="K502" t="n">
        <v>10.95</v>
      </c>
      <c r="L502" t="n">
        <v>10.95</v>
      </c>
    </row>
    <row r="503">
      <c r="A503" s="1">
        <f>Hyperlink("https://www.wallsandfloors.co.uk/pfp01-140-mm-5-1-2","Product")</f>
        <v/>
      </c>
      <c r="B503" s="1" t="inlineStr">
        <is>
          <t>40419</t>
        </is>
      </c>
      <c r="C503" s="1" t="inlineStr">
        <is>
          <t>Bucket Trowel PFP01-140 mm</t>
        </is>
      </c>
      <c r="D503" s="1" t="inlineStr">
        <is>
          <t>140mm</t>
        </is>
      </c>
      <c r="E503" s="1" t="n">
        <v>12.49</v>
      </c>
      <c r="F503" s="1" t="n">
        <v>0</v>
      </c>
      <c r="G503" s="1" t="inlineStr">
        <is>
          <t>Unit</t>
        </is>
      </c>
      <c r="H503" s="1" t="inlineStr">
        <is>
          <t>Tools</t>
        </is>
      </c>
      <c r="I503" s="1" t="inlineStr">
        <is>
          <t>-</t>
        </is>
      </c>
      <c r="J503" t="n">
        <v>12.49</v>
      </c>
      <c r="K503" t="n">
        <v>12.49</v>
      </c>
      <c r="L503" t="n">
        <v>12.49</v>
      </c>
    </row>
    <row r="504">
      <c r="A504" s="1">
        <f>Hyperlink("https://www.wallsandfloors.co.uk/natural-wood-effect-tiles-silver-birch-tiles","Product")</f>
        <v/>
      </c>
      <c r="B504" s="1" t="inlineStr">
        <is>
          <t>11920</t>
        </is>
      </c>
      <c r="C504" s="1" t="inlineStr">
        <is>
          <t>Natural Silver Birch Wood Effect Tiles</t>
        </is>
      </c>
      <c r="D504" s="1" t="inlineStr">
        <is>
          <t>615x205x8mm</t>
        </is>
      </c>
      <c r="E504" s="1" t="n">
        <v>15.45</v>
      </c>
      <c r="F504" s="1" t="n">
        <v>0</v>
      </c>
      <c r="G504" s="1" t="inlineStr">
        <is>
          <t>SQM</t>
        </is>
      </c>
      <c r="H504" s="1" t="inlineStr">
        <is>
          <t>Ceramic</t>
        </is>
      </c>
      <c r="I504" s="1" t="inlineStr">
        <is>
          <t>Matt</t>
        </is>
      </c>
      <c r="J504" t="n">
        <v>15.45</v>
      </c>
      <c r="K504" t="n">
        <v>15.45</v>
      </c>
      <c r="L504" t="n">
        <v>15.45</v>
      </c>
    </row>
    <row r="505">
      <c r="A505" s="1">
        <f>Hyperlink("https://www.wallsandfloors.co.uk/natural-wood-effect-tiles-bavarian-beech-tiles","Product")</f>
        <v/>
      </c>
      <c r="B505" s="1" t="inlineStr">
        <is>
          <t>11411</t>
        </is>
      </c>
      <c r="C505" s="1" t="inlineStr">
        <is>
          <t>Natural Bavarian Beech Wood Effect Tiles</t>
        </is>
      </c>
      <c r="D505" s="1" t="inlineStr">
        <is>
          <t>615x205x8mm</t>
        </is>
      </c>
      <c r="E505" s="1" t="n">
        <v>15.45</v>
      </c>
      <c r="F505" s="1" t="n">
        <v>0</v>
      </c>
      <c r="G505" s="1" t="inlineStr">
        <is>
          <t>SQM</t>
        </is>
      </c>
      <c r="H505" s="1" t="inlineStr">
        <is>
          <t>Ceramic</t>
        </is>
      </c>
      <c r="I505" s="1" t="inlineStr">
        <is>
          <t>Matt</t>
        </is>
      </c>
      <c r="J505" t="n">
        <v>15.45</v>
      </c>
      <c r="K505" t="inlineStr"/>
      <c r="L505" t="n">
        <v>15.45</v>
      </c>
    </row>
    <row r="506">
      <c r="A506" s="1">
        <f>Hyperlink("https://www.wallsandfloors.co.uk/natural-stone-glass-mosaic-tiles-marble-glass-chocolate-tiles","Product")</f>
        <v/>
      </c>
      <c r="B506" s="1" t="inlineStr">
        <is>
          <t>8558</t>
        </is>
      </c>
      <c r="C506" s="1" t="inlineStr">
        <is>
          <t>Natural Stone Marble and Glass Chocolate Mosaic Tiles</t>
        </is>
      </c>
      <c r="D506" s="1" t="inlineStr">
        <is>
          <t>300x300x8mm</t>
        </is>
      </c>
      <c r="E506" s="1" t="n">
        <v>5.84</v>
      </c>
      <c r="F506" s="1" t="n">
        <v>0</v>
      </c>
      <c r="G506" s="1" t="inlineStr">
        <is>
          <t>Sheet</t>
        </is>
      </c>
      <c r="H506" s="1" t="inlineStr">
        <is>
          <t>Glass, Marble</t>
        </is>
      </c>
      <c r="I506" s="1" t="inlineStr">
        <is>
          <t>Mixed</t>
        </is>
      </c>
      <c r="J506" t="n">
        <v>5.84</v>
      </c>
      <c r="K506" t="n">
        <v>5.84</v>
      </c>
      <c r="L506" t="n">
        <v>5.84</v>
      </c>
    </row>
    <row r="507">
      <c r="A507" s="1">
        <f>Hyperlink("https://www.wallsandfloors.co.uk/natural-silver-slate-effect-mosaic-tiles","Product")</f>
        <v/>
      </c>
      <c r="B507" s="1" t="inlineStr">
        <is>
          <t>41516</t>
        </is>
      </c>
      <c r="C507" s="1" t="inlineStr">
        <is>
          <t>Nantlle Valley Natural Silver Slate Effect Mosaic Tiles</t>
        </is>
      </c>
      <c r="D507" s="1" t="inlineStr">
        <is>
          <t>300x300x10.3mm</t>
        </is>
      </c>
      <c r="E507" s="1" t="n">
        <v>10.95</v>
      </c>
      <c r="F507" s="1" t="n">
        <v>0</v>
      </c>
      <c r="G507" s="1" t="inlineStr">
        <is>
          <t>Sheet</t>
        </is>
      </c>
      <c r="H507" s="1" t="inlineStr">
        <is>
          <t>Porcelain</t>
        </is>
      </c>
      <c r="I507" s="1" t="inlineStr">
        <is>
          <t>Matt</t>
        </is>
      </c>
      <c r="J507" t="n">
        <v>10.95</v>
      </c>
      <c r="K507" t="n">
        <v>10.95</v>
      </c>
      <c r="L507" t="n">
        <v>10.95</v>
      </c>
    </row>
    <row r="508">
      <c r="A508" s="1">
        <f>Hyperlink("https://www.wallsandfloors.co.uk/planate-gunmetal-grey-60x60-tiles","Product")</f>
        <v/>
      </c>
      <c r="B508" s="1" t="inlineStr">
        <is>
          <t>44106</t>
        </is>
      </c>
      <c r="C508" s="1" t="inlineStr">
        <is>
          <t>Planate Gunmetal Grey Tiles</t>
        </is>
      </c>
      <c r="D508" s="1" t="inlineStr">
        <is>
          <t>600x600x9.5mm</t>
        </is>
      </c>
      <c r="E508" s="1" t="n">
        <v>20.95</v>
      </c>
      <c r="F508" s="1" t="n">
        <v>0</v>
      </c>
      <c r="G508" s="1" t="inlineStr">
        <is>
          <t>SQM</t>
        </is>
      </c>
      <c r="H508" s="1" t="inlineStr">
        <is>
          <t>Porcelain</t>
        </is>
      </c>
      <c r="I508" s="1" t="inlineStr">
        <is>
          <t>Matt</t>
        </is>
      </c>
      <c r="J508" t="inlineStr"/>
      <c r="K508" t="inlineStr"/>
      <c r="L508" t="n">
        <v>20.95</v>
      </c>
    </row>
    <row r="509">
      <c r="A509" s="1">
        <f>Hyperlink("https://www.wallsandfloors.co.uk/planate-gunmetal-grey-60x60-2-0-slab-tiles","Product")</f>
        <v/>
      </c>
      <c r="B509" s="1" t="inlineStr">
        <is>
          <t>44113</t>
        </is>
      </c>
      <c r="C509" s="1" t="inlineStr">
        <is>
          <t>Planate Gunmetal Grey Porcelain Paving Slabs</t>
        </is>
      </c>
      <c r="D509" s="1" t="inlineStr">
        <is>
          <t>600x600x20mm</t>
        </is>
      </c>
      <c r="E509" s="1" t="n">
        <v>29.95</v>
      </c>
      <c r="F509" s="1" t="n">
        <v>0</v>
      </c>
      <c r="G509" s="1" t="inlineStr">
        <is>
          <t>SQM</t>
        </is>
      </c>
      <c r="H509" s="1" t="inlineStr">
        <is>
          <t>Porcelain</t>
        </is>
      </c>
      <c r="I509" s="1" t="inlineStr">
        <is>
          <t>Matt</t>
        </is>
      </c>
      <c r="J509" t="inlineStr"/>
      <c r="K509" t="inlineStr"/>
      <c r="L509" t="n">
        <v>29.95</v>
      </c>
    </row>
    <row r="510">
      <c r="A510" s="1">
        <f>Hyperlink("https://www.wallsandfloors.co.uk/planate-gunmetal-grey-120x60-tiles","Product")</f>
        <v/>
      </c>
      <c r="B510" s="1" t="inlineStr">
        <is>
          <t>44112</t>
        </is>
      </c>
      <c r="C510" s="1" t="inlineStr">
        <is>
          <t>Planate Gunmetal Grey Tiles</t>
        </is>
      </c>
      <c r="D510" s="1" t="inlineStr">
        <is>
          <t>1200x600x9.5mm</t>
        </is>
      </c>
      <c r="E510" s="1" t="n">
        <v>32.95</v>
      </c>
      <c r="F510" s="1" t="n">
        <v>0</v>
      </c>
      <c r="G510" s="1" t="inlineStr">
        <is>
          <t>SQM</t>
        </is>
      </c>
      <c r="H510" s="1" t="inlineStr">
        <is>
          <t>Porcelain</t>
        </is>
      </c>
      <c r="I510" s="1" t="inlineStr">
        <is>
          <t>Matt</t>
        </is>
      </c>
      <c r="J510" t="inlineStr"/>
      <c r="K510" t="n">
        <v>32.95</v>
      </c>
      <c r="L510" t="n">
        <v>32.95</v>
      </c>
    </row>
    <row r="511">
      <c r="A511" s="1">
        <f>Hyperlink("https://www.wallsandfloors.co.uk/planate-fossil-grey-60x60-tiles","Product")</f>
        <v/>
      </c>
      <c r="B511" s="1" t="inlineStr">
        <is>
          <t>44037</t>
        </is>
      </c>
      <c r="C511" s="1" t="inlineStr">
        <is>
          <t>Planate Fossil Grey Tiles</t>
        </is>
      </c>
      <c r="D511" s="1" t="inlineStr">
        <is>
          <t>600x600x9mm</t>
        </is>
      </c>
      <c r="E511" s="1" t="n">
        <v>20.95</v>
      </c>
      <c r="F511" s="1" t="n">
        <v>0</v>
      </c>
      <c r="G511" s="1" t="inlineStr">
        <is>
          <t>SQM</t>
        </is>
      </c>
      <c r="H511" s="1" t="inlineStr">
        <is>
          <t>Porcelain</t>
        </is>
      </c>
      <c r="I511" s="1" t="inlineStr">
        <is>
          <t>Matt</t>
        </is>
      </c>
      <c r="J511" t="inlineStr"/>
      <c r="K511" t="n">
        <v>20.95</v>
      </c>
      <c r="L511" t="n">
        <v>20.95</v>
      </c>
    </row>
    <row r="512">
      <c r="A512" s="1">
        <f>Hyperlink("https://www.wallsandfloors.co.uk/planate-fossil-grey-60x60-2-0-slab-tiles","Product")</f>
        <v/>
      </c>
      <c r="B512" s="1" t="inlineStr">
        <is>
          <t>44039</t>
        </is>
      </c>
      <c r="C512" s="1" t="inlineStr">
        <is>
          <t>Planate Fossil Grey Porcelain Paving Slabs</t>
        </is>
      </c>
      <c r="D512" s="1" t="inlineStr">
        <is>
          <t>600x600x20mm</t>
        </is>
      </c>
      <c r="E512" s="1" t="n">
        <v>36.95</v>
      </c>
      <c r="F512" s="1" t="n">
        <v>0</v>
      </c>
      <c r="G512" s="1" t="inlineStr">
        <is>
          <t>SQM</t>
        </is>
      </c>
      <c r="H512" s="1" t="inlineStr">
        <is>
          <t>Porcelain</t>
        </is>
      </c>
      <c r="I512" s="1" t="inlineStr">
        <is>
          <t>Matt</t>
        </is>
      </c>
      <c r="J512" t="n">
        <v>36.95</v>
      </c>
      <c r="K512" t="inlineStr"/>
      <c r="L512" t="n">
        <v>36.95</v>
      </c>
    </row>
    <row r="513">
      <c r="A513" s="1">
        <f>Hyperlink("https://www.wallsandfloors.co.uk/planate-fossil-grey-60x30-tiles","Product")</f>
        <v/>
      </c>
      <c r="B513" s="1" t="inlineStr">
        <is>
          <t>44038</t>
        </is>
      </c>
      <c r="C513" s="1" t="inlineStr">
        <is>
          <t>Planate Fossil Grey Tiles</t>
        </is>
      </c>
      <c r="D513" s="1" t="inlineStr">
        <is>
          <t>600x300x9.5mm</t>
        </is>
      </c>
      <c r="E513" s="1" t="n">
        <v>20.95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-</t>
        </is>
      </c>
      <c r="J513" t="n">
        <v>20.95</v>
      </c>
      <c r="K513" t="inlineStr"/>
      <c r="L513" t="n">
        <v>20.95</v>
      </c>
    </row>
    <row r="514">
      <c r="A514" s="1">
        <f>Hyperlink("https://www.wallsandfloors.co.uk/planate-fossil-grey-120x60-tiles","Product")</f>
        <v/>
      </c>
      <c r="B514" s="1" t="inlineStr">
        <is>
          <t>44040</t>
        </is>
      </c>
      <c r="C514" s="1" t="inlineStr">
        <is>
          <t>Planate Fossil Grey Tiles</t>
        </is>
      </c>
      <c r="D514" s="1" t="inlineStr">
        <is>
          <t>1200x600x9.5mm</t>
        </is>
      </c>
      <c r="E514" s="1" t="n">
        <v>32.95</v>
      </c>
      <c r="F514" s="1" t="n">
        <v>0</v>
      </c>
      <c r="G514" s="1" t="inlineStr">
        <is>
          <t>SQM</t>
        </is>
      </c>
      <c r="H514" s="1" t="inlineStr">
        <is>
          <t>Porcelain</t>
        </is>
      </c>
      <c r="I514" s="1" t="inlineStr">
        <is>
          <t>Matt</t>
        </is>
      </c>
      <c r="J514" t="n">
        <v>32.95</v>
      </c>
      <c r="K514" t="n">
        <v>32.95</v>
      </c>
      <c r="L514" t="n">
        <v>32.95</v>
      </c>
    </row>
    <row r="515">
      <c r="A515" s="1">
        <f>Hyperlink("https://www.wallsandfloors.co.uk/placid-marble-effect-tiles","Product")</f>
        <v/>
      </c>
      <c r="B515" s="1" t="inlineStr">
        <is>
          <t>40281</t>
        </is>
      </c>
      <c r="C515" s="1" t="inlineStr">
        <is>
          <t>Boketto Placid Marble Effect Tiles</t>
        </is>
      </c>
      <c r="D515" s="1" t="inlineStr">
        <is>
          <t>750x750x11mm</t>
        </is>
      </c>
      <c r="E515" s="1" t="n">
        <v>29.95</v>
      </c>
      <c r="F515" s="1" t="n">
        <v>0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inlineStr"/>
      <c r="K515" t="inlineStr"/>
      <c r="L515" t="n">
        <v>29.95</v>
      </c>
    </row>
    <row r="516">
      <c r="A516" s="1">
        <f>Hyperlink("https://www.wallsandfloors.co.uk/prismatics-gloss-orange-yellow-tiles-lemon-ice-gloss-medium-prg53-tiles","Product")</f>
        <v/>
      </c>
      <c r="B516" s="1" t="inlineStr">
        <is>
          <t>5255</t>
        </is>
      </c>
      <c r="C516" s="1" t="inlineStr">
        <is>
          <t>Prismatics Gloss PRG53 Lemon Ice Yellow Wall Tiles</t>
        </is>
      </c>
      <c r="D516" s="1" t="inlineStr">
        <is>
          <t>150x150x6.5mm</t>
        </is>
      </c>
      <c r="E516" s="1" t="n">
        <v>35.06</v>
      </c>
      <c r="F516" s="1" t="n">
        <v>0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Gloss</t>
        </is>
      </c>
      <c r="J516" t="n">
        <v>35.06</v>
      </c>
      <c r="K516" t="n">
        <v>35.06</v>
      </c>
      <c r="L516" t="n">
        <v>35.06</v>
      </c>
    </row>
    <row r="517">
      <c r="A517" s="1">
        <f>Hyperlink("https://www.wallsandfloors.co.uk/nantlle-valley-urban-grey-stone-effect-tiles","Product")</f>
        <v/>
      </c>
      <c r="B517" s="1" t="inlineStr">
        <is>
          <t>41502</t>
        </is>
      </c>
      <c r="C517" s="1" t="inlineStr">
        <is>
          <t>Nantlle Valley Urban Grey Stone Effect Tiles</t>
        </is>
      </c>
      <c r="D517" s="1" t="inlineStr">
        <is>
          <t>600x300x10.3mm</t>
        </is>
      </c>
      <c r="E517" s="1" t="n">
        <v>18.95</v>
      </c>
      <c r="F517" s="1" t="n">
        <v>0</v>
      </c>
      <c r="G517" s="1" t="inlineStr">
        <is>
          <t>SQM</t>
        </is>
      </c>
      <c r="H517" s="1" t="inlineStr">
        <is>
          <t>Porcelain</t>
        </is>
      </c>
      <c r="I517" s="1" t="inlineStr">
        <is>
          <t>Matt</t>
        </is>
      </c>
      <c r="J517" t="inlineStr"/>
      <c r="K517" t="n">
        <v>18.95</v>
      </c>
      <c r="L517" t="n">
        <v>18.95</v>
      </c>
    </row>
    <row r="518">
      <c r="A518" s="1">
        <f>Hyperlink("https://www.wallsandfloors.co.uk/natural-carrara-marble-60x30-tiles","Product")</f>
        <v/>
      </c>
      <c r="B518" s="1" t="inlineStr">
        <is>
          <t>36897</t>
        </is>
      </c>
      <c r="C518" s="1" t="inlineStr">
        <is>
          <t>Natural Polished Carrara Marble Tiles</t>
        </is>
      </c>
      <c r="D518" s="1" t="inlineStr">
        <is>
          <t>610x305x10mm</t>
        </is>
      </c>
      <c r="E518" s="1" t="n">
        <v>76.95</v>
      </c>
      <c r="F518" s="1" t="n">
        <v>0</v>
      </c>
      <c r="G518" s="1" t="inlineStr">
        <is>
          <t>SQM</t>
        </is>
      </c>
      <c r="H518" s="1" t="inlineStr">
        <is>
          <t>Marble</t>
        </is>
      </c>
      <c r="I518" s="1" t="inlineStr">
        <is>
          <t>Polished</t>
        </is>
      </c>
      <c r="J518" t="n">
        <v>76.95</v>
      </c>
      <c r="K518" t="inlineStr"/>
      <c r="L518" t="n">
        <v>76.95</v>
      </c>
    </row>
    <row r="519">
      <c r="A519" s="1">
        <f>Hyperlink("https://www.wallsandfloors.co.uk/pixel-sea-blend-mosaic-tiles","Product")</f>
        <v/>
      </c>
      <c r="B519" s="1" t="inlineStr">
        <is>
          <t>44555</t>
        </is>
      </c>
      <c r="C519" s="1" t="inlineStr">
        <is>
          <t>Pixel Sea Blend 25x25 Mosaic Tiles</t>
        </is>
      </c>
      <c r="D519" s="1" t="inlineStr">
        <is>
          <t>303x303x6mm</t>
        </is>
      </c>
      <c r="E519" s="1" t="n">
        <v>4.95</v>
      </c>
      <c r="F519" s="1" t="n">
        <v>0</v>
      </c>
      <c r="G519" s="1" t="inlineStr">
        <is>
          <t>Sheet</t>
        </is>
      </c>
      <c r="H519" s="1" t="inlineStr">
        <is>
          <t>Porcelain</t>
        </is>
      </c>
      <c r="I519" s="1" t="inlineStr">
        <is>
          <t>Gloss</t>
        </is>
      </c>
      <c r="J519" t="n">
        <v>4.95</v>
      </c>
      <c r="K519" t="n">
        <v>4.95</v>
      </c>
      <c r="L519" t="n">
        <v>4.95</v>
      </c>
    </row>
    <row r="520">
      <c r="A520" s="1">
        <f>Hyperlink("https://www.wallsandfloors.co.uk/natural-oak-910x153-tiles","Product")</f>
        <v/>
      </c>
      <c r="B520" s="1" t="inlineStr">
        <is>
          <t>36544</t>
        </is>
      </c>
      <c r="C520" s="1" t="inlineStr">
        <is>
          <t>Muniellos Natural Oak Wood Effect Tiles</t>
        </is>
      </c>
      <c r="D520" s="1" t="inlineStr">
        <is>
          <t>900x150x10.5mm</t>
        </is>
      </c>
      <c r="E520" s="1" t="n">
        <v>30.95</v>
      </c>
      <c r="F520" s="1" t="n">
        <v>0</v>
      </c>
      <c r="G520" s="1" t="inlineStr">
        <is>
          <t>SQM</t>
        </is>
      </c>
      <c r="H520" s="1" t="inlineStr">
        <is>
          <t>Porcelain</t>
        </is>
      </c>
      <c r="I520" s="1" t="inlineStr">
        <is>
          <t>Matt</t>
        </is>
      </c>
      <c r="J520" t="n">
        <v>30.95</v>
      </c>
      <c r="K520" t="inlineStr"/>
      <c r="L520" t="n">
        <v>30.95</v>
      </c>
    </row>
    <row r="521">
      <c r="A521" s="1">
        <f>Hyperlink("https://www.wallsandfloors.co.uk/pistachio-squares-70mm-tiles","Product")</f>
        <v/>
      </c>
      <c r="B521" s="1" t="inlineStr">
        <is>
          <t>990070</t>
        </is>
      </c>
      <c r="C521" s="1" t="inlineStr">
        <is>
          <t>Pistachio Squares 70mm Tiles</t>
        </is>
      </c>
      <c r="D521" s="1" t="inlineStr">
        <is>
          <t>70x70x9-10mm</t>
        </is>
      </c>
      <c r="E521" s="1" t="n">
        <v>0.85</v>
      </c>
      <c r="F521" s="1" t="n">
        <v>0</v>
      </c>
      <c r="G521" s="1" t="inlineStr">
        <is>
          <t>SQM</t>
        </is>
      </c>
      <c r="H521" s="1" t="inlineStr">
        <is>
          <t>Porcelain</t>
        </is>
      </c>
      <c r="I521" s="1" t="inlineStr">
        <is>
          <t>Matt</t>
        </is>
      </c>
      <c r="J521" t="n">
        <v>0.85</v>
      </c>
      <c r="K521" t="n">
        <v>0.85</v>
      </c>
      <c r="L521" t="n">
        <v>0.85</v>
      </c>
    </row>
    <row r="522">
      <c r="A522" s="1">
        <f>Hyperlink("https://www.wallsandfloors.co.uk/pistachio-squares-100mm-tiles","Product")</f>
        <v/>
      </c>
      <c r="B522" s="1" t="inlineStr">
        <is>
          <t>990045</t>
        </is>
      </c>
      <c r="C522" s="1" t="inlineStr">
        <is>
          <t>Pistachio Squares 100mm Tiles</t>
        </is>
      </c>
      <c r="D522" s="1" t="inlineStr">
        <is>
          <t>100x100x9-10mm</t>
        </is>
      </c>
      <c r="E522" s="1" t="n">
        <v>1.62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n">
        <v>1.62</v>
      </c>
      <c r="K522" t="inlineStr"/>
      <c r="L522" t="n">
        <v>1.62</v>
      </c>
    </row>
    <row r="523">
      <c r="A523" s="1">
        <f>Hyperlink("https://www.wallsandfloors.co.uk/natural-oak-skirt-tiles","Product")</f>
        <v/>
      </c>
      <c r="B523" s="1" t="inlineStr">
        <is>
          <t>36820</t>
        </is>
      </c>
      <c r="C523" s="1" t="inlineStr">
        <is>
          <t>Muniellos Natural Oak Wood Effect Skirt Tiles</t>
        </is>
      </c>
      <c r="D523" s="1" t="inlineStr">
        <is>
          <t>450x75x10.5mm</t>
        </is>
      </c>
      <c r="E523" s="1" t="n">
        <v>7.95</v>
      </c>
      <c r="F523" s="1" t="n">
        <v>0</v>
      </c>
      <c r="G523" s="1" t="inlineStr">
        <is>
          <t>Tile</t>
        </is>
      </c>
      <c r="H523" s="1" t="inlineStr">
        <is>
          <t>Porcelain</t>
        </is>
      </c>
      <c r="I523" s="1" t="inlineStr">
        <is>
          <t>Matt</t>
        </is>
      </c>
      <c r="J523" t="n">
        <v>7.95</v>
      </c>
      <c r="K523" t="n">
        <v>7.95</v>
      </c>
      <c r="L523" t="n">
        <v>7.95</v>
      </c>
    </row>
    <row r="524">
      <c r="A524" s="1">
        <f>Hyperlink("https://www.wallsandfloors.co.uk/pistachio-aquarelle-tiles","Product")</f>
        <v/>
      </c>
      <c r="B524" s="1" t="inlineStr">
        <is>
          <t>15404</t>
        </is>
      </c>
      <c r="C524" s="1" t="inlineStr">
        <is>
          <t>Aquarelle Pistachio Green Tiles</t>
        </is>
      </c>
      <c r="D524" s="1" t="inlineStr">
        <is>
          <t>300x100x8mm</t>
        </is>
      </c>
      <c r="E524" s="1" t="n">
        <v>29.95</v>
      </c>
      <c r="F524" s="1" t="n">
        <v>0</v>
      </c>
      <c r="G524" s="1" t="inlineStr">
        <is>
          <t>SQM</t>
        </is>
      </c>
      <c r="H524" s="1" t="inlineStr">
        <is>
          <t>Ceramic</t>
        </is>
      </c>
      <c r="I524" s="1" t="inlineStr">
        <is>
          <t>Gloss</t>
        </is>
      </c>
      <c r="J524" t="n">
        <v>29.95</v>
      </c>
      <c r="K524" t="n">
        <v>29.95</v>
      </c>
      <c r="L524" t="n">
        <v>29.95</v>
      </c>
    </row>
    <row r="525">
      <c r="A525" s="1">
        <f>Hyperlink("https://www.wallsandfloors.co.uk/natural-patched-bark-tiles","Product")</f>
        <v/>
      </c>
      <c r="B525" s="1" t="inlineStr">
        <is>
          <t>37007</t>
        </is>
      </c>
      <c r="C525" s="1" t="inlineStr">
        <is>
          <t>Natural Patched Bark Tiles</t>
        </is>
      </c>
      <c r="D525" s="1" t="inlineStr">
        <is>
          <t>905x295x10.5mm</t>
        </is>
      </c>
      <c r="E525" s="1" t="n">
        <v>31.95</v>
      </c>
      <c r="F525" s="1" t="n">
        <v>0</v>
      </c>
      <c r="G525" s="1" t="inlineStr">
        <is>
          <t>SQM</t>
        </is>
      </c>
      <c r="H525" s="1" t="inlineStr">
        <is>
          <t>Cork</t>
        </is>
      </c>
      <c r="I525" s="1" t="inlineStr">
        <is>
          <t>Matt</t>
        </is>
      </c>
      <c r="J525" t="n">
        <v>31.95</v>
      </c>
      <c r="K525" t="n">
        <v>31.95</v>
      </c>
      <c r="L525" t="n">
        <v>31.95</v>
      </c>
    </row>
    <row r="526">
      <c r="A526" s="1">
        <f>Hyperlink("https://www.wallsandfloors.co.uk/pizzazz-hexagon-mosaic-tiles-spirit-white-carrara-marble-mosaic-tiles","Product")</f>
        <v/>
      </c>
      <c r="B526" s="1" t="inlineStr">
        <is>
          <t>14100</t>
        </is>
      </c>
      <c r="C526" s="1" t="inlineStr">
        <is>
          <t>Spirit White Carrara Marble Mosaic Tiles</t>
        </is>
      </c>
      <c r="D526" s="1" t="inlineStr">
        <is>
          <t>301x290x4.4mm</t>
        </is>
      </c>
      <c r="E526" s="1" t="n">
        <v>13.95</v>
      </c>
      <c r="F526" s="1" t="n">
        <v>0</v>
      </c>
      <c r="G526" s="1" t="inlineStr">
        <is>
          <t>Sheet</t>
        </is>
      </c>
      <c r="H526" s="1" t="inlineStr">
        <is>
          <t>Glass</t>
        </is>
      </c>
      <c r="I526" s="1" t="inlineStr">
        <is>
          <t>Matt</t>
        </is>
      </c>
      <c r="J526" t="n">
        <v>13.95</v>
      </c>
      <c r="K526" t="n">
        <v>13.95</v>
      </c>
      <c r="L526" t="n">
        <v>13.95</v>
      </c>
    </row>
    <row r="527">
      <c r="A527" s="1">
        <f>Hyperlink("https://www.wallsandfloors.co.uk/ritz-tiles-steel-gloss-20x10-tiles","Product")</f>
        <v/>
      </c>
      <c r="B527" s="1" t="inlineStr">
        <is>
          <t>13023</t>
        </is>
      </c>
      <c r="C527" s="1" t="inlineStr">
        <is>
          <t>Ritz Steel Gloss Tiles</t>
        </is>
      </c>
      <c r="D527" s="1" t="inlineStr">
        <is>
          <t>200x100x6.5mm</t>
        </is>
      </c>
      <c r="E527" s="1" t="n">
        <v>38.95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Gloss</t>
        </is>
      </c>
      <c r="J527" t="n">
        <v>38.95</v>
      </c>
      <c r="K527" t="n">
        <v>38.95</v>
      </c>
      <c r="L527" t="n">
        <v>38.95</v>
      </c>
    </row>
    <row r="528">
      <c r="A528" s="1">
        <f>Hyperlink("https://www.wallsandfloors.co.uk/1-5mm-lvt-underlay","Product")</f>
        <v/>
      </c>
      <c r="B528" s="1" t="inlineStr">
        <is>
          <t>42770</t>
        </is>
      </c>
      <c r="C528" s="1" t="inlineStr">
        <is>
          <t>LVT Underlay Pack - 9.6 Sqm</t>
        </is>
      </c>
      <c r="D528" s="1" t="inlineStr">
        <is>
          <t>9.6m2</t>
        </is>
      </c>
      <c r="E528" s="1" t="n">
        <v>48</v>
      </c>
      <c r="F528" s="1" t="n">
        <v>0</v>
      </c>
      <c r="G528" s="1" t="inlineStr">
        <is>
          <t>Pack</t>
        </is>
      </c>
      <c r="H528" s="1" t="inlineStr">
        <is>
          <t>XPS Foam</t>
        </is>
      </c>
      <c r="I528" s="1" t="inlineStr">
        <is>
          <t>-</t>
        </is>
      </c>
      <c r="J528" t="n">
        <v>48</v>
      </c>
      <c r="K528" t="inlineStr"/>
      <c r="L528" t="n">
        <v>48</v>
      </c>
    </row>
    <row r="529">
      <c r="A529" s="1">
        <f>Hyperlink("https://www.wallsandfloors.co.uk/ritz-tiles-steel-gloss-decor-tiles","Product")</f>
        <v/>
      </c>
      <c r="B529" s="1" t="inlineStr">
        <is>
          <t>13025</t>
        </is>
      </c>
      <c r="C529" s="1" t="inlineStr">
        <is>
          <t>Steel Gloss Decor Tiles</t>
        </is>
      </c>
      <c r="D529" s="1" t="inlineStr">
        <is>
          <t>300x100x10mm</t>
        </is>
      </c>
      <c r="E529" s="1" t="n">
        <v>37.95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Gloss</t>
        </is>
      </c>
      <c r="J529" t="n">
        <v>37.95</v>
      </c>
      <c r="K529" t="n">
        <v>37.95</v>
      </c>
      <c r="L529" t="n">
        <v>37.95</v>
      </c>
    </row>
    <row r="530">
      <c r="A530" s="1">
        <f>Hyperlink("https://www.wallsandfloors.co.uk/trax-peppered-taupe-80x40-matt-tiles","Product")</f>
        <v/>
      </c>
      <c r="B530" s="1" t="inlineStr">
        <is>
          <t>38922</t>
        </is>
      </c>
      <c r="C530" s="1" t="inlineStr">
        <is>
          <t>Trax Peppered Taupe Matt Tiles</t>
        </is>
      </c>
      <c r="D530" s="1" t="inlineStr">
        <is>
          <t>797x397x9mm</t>
        </is>
      </c>
      <c r="E530" s="1" t="n">
        <v>25.95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25.95</v>
      </c>
      <c r="K530" t="n">
        <v>25.95</v>
      </c>
      <c r="L530" t="n">
        <v>25.95</v>
      </c>
    </row>
    <row r="531">
      <c r="A531" s="1">
        <f>Hyperlink("https://www.wallsandfloors.co.uk/trax-peppered-taupe-1-8-slab-tiles","Product")</f>
        <v/>
      </c>
      <c r="B531" s="1" t="inlineStr">
        <is>
          <t>40433</t>
        </is>
      </c>
      <c r="C531" s="1" t="inlineStr">
        <is>
          <t>Trax Peppered Taupe Porcelain Paving Slabs</t>
        </is>
      </c>
      <c r="D531" s="1" t="inlineStr">
        <is>
          <t>797x797x18mm</t>
        </is>
      </c>
      <c r="E531" s="1" t="n">
        <v>38.95</v>
      </c>
      <c r="F531" s="1" t="n">
        <v>0</v>
      </c>
      <c r="G531" s="1" t="inlineStr">
        <is>
          <t>SQM</t>
        </is>
      </c>
      <c r="H531" s="1" t="inlineStr">
        <is>
          <t>Porcelain</t>
        </is>
      </c>
      <c r="I531" s="1" t="inlineStr">
        <is>
          <t>Matt</t>
        </is>
      </c>
      <c r="J531" t="n">
        <v>38.95</v>
      </c>
      <c r="K531" t="n">
        <v>38.95</v>
      </c>
      <c r="L531" t="n">
        <v>38.95</v>
      </c>
    </row>
    <row r="532">
      <c r="A532" s="1">
        <f>Hyperlink("https://www.wallsandfloors.co.uk/trax-lake-grey-80x80-matt-tiles","Product")</f>
        <v/>
      </c>
      <c r="B532" s="1" t="inlineStr">
        <is>
          <t>38927</t>
        </is>
      </c>
      <c r="C532" s="1" t="inlineStr">
        <is>
          <t>Trax Lake Grey Matt Tiles</t>
        </is>
      </c>
      <c r="D532" s="1" t="inlineStr">
        <is>
          <t>797x797x9mm</t>
        </is>
      </c>
      <c r="E532" s="1" t="n">
        <v>25.95</v>
      </c>
      <c r="F532" s="1" t="n">
        <v>0</v>
      </c>
      <c r="G532" s="1" t="inlineStr">
        <is>
          <t>SQM</t>
        </is>
      </c>
      <c r="H532" s="1" t="inlineStr">
        <is>
          <t>Porcelain</t>
        </is>
      </c>
      <c r="I532" s="1" t="inlineStr">
        <is>
          <t>Matt</t>
        </is>
      </c>
      <c r="J532" t="n">
        <v>25.95</v>
      </c>
      <c r="K532" t="inlineStr"/>
      <c r="L532" t="n">
        <v>25.95</v>
      </c>
    </row>
    <row r="533">
      <c r="A533" s="1">
        <f>Hyperlink("https://www.wallsandfloors.co.uk/trax-lake-grey-80x80-lappato-tiles","Product")</f>
        <v/>
      </c>
      <c r="B533" s="1" t="inlineStr">
        <is>
          <t>38926</t>
        </is>
      </c>
      <c r="C533" s="1" t="inlineStr">
        <is>
          <t>Trax Lake Grey Lappato Tiles</t>
        </is>
      </c>
      <c r="D533" s="1" t="inlineStr">
        <is>
          <t>797x797x9mm</t>
        </is>
      </c>
      <c r="E533" s="1" t="n">
        <v>29.95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Semi-Polished</t>
        </is>
      </c>
      <c r="J533" t="inlineStr"/>
      <c r="K533" t="inlineStr"/>
      <c r="L533" t="n">
        <v>29.95</v>
      </c>
    </row>
    <row r="534">
      <c r="A534" s="1">
        <f>Hyperlink("https://www.wallsandfloors.co.uk/trax-lake-grey-80x40-matt-tiles","Product")</f>
        <v/>
      </c>
      <c r="B534" s="1" t="inlineStr">
        <is>
          <t>38925</t>
        </is>
      </c>
      <c r="C534" s="1" t="inlineStr">
        <is>
          <t>Trax Lake Grey Matt Tiles</t>
        </is>
      </c>
      <c r="D534" s="1" t="inlineStr">
        <is>
          <t>797x397x9mm</t>
        </is>
      </c>
      <c r="E534" s="1" t="n">
        <v>25.95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Matt</t>
        </is>
      </c>
      <c r="J534" t="n">
        <v>25.95</v>
      </c>
      <c r="K534" t="n">
        <v>25.95</v>
      </c>
      <c r="L534" t="n">
        <v>25.95</v>
      </c>
    </row>
    <row r="535">
      <c r="A535" s="1">
        <f>Hyperlink("https://www.wallsandfloors.co.uk/trax-lake-grey-1-8-slab-tiles","Product")</f>
        <v/>
      </c>
      <c r="B535" s="1" t="inlineStr">
        <is>
          <t>40434</t>
        </is>
      </c>
      <c r="C535" s="1" t="inlineStr">
        <is>
          <t>Trax Lake Grey Porcelain Paving Slabs</t>
        </is>
      </c>
      <c r="D535" s="1" t="inlineStr">
        <is>
          <t>797x797x18mm</t>
        </is>
      </c>
      <c r="E535" s="1" t="n">
        <v>38.95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38.95</v>
      </c>
      <c r="K535" t="inlineStr"/>
      <c r="L535" t="n">
        <v>38.95</v>
      </c>
    </row>
    <row r="536">
      <c r="A536" s="1">
        <f>Hyperlink("https://www.wallsandfloors.co.uk/trax-grey-mist-80x80-matt-tiles","Product")</f>
        <v/>
      </c>
      <c r="B536" s="1" t="inlineStr">
        <is>
          <t>38917</t>
        </is>
      </c>
      <c r="C536" s="1" t="inlineStr">
        <is>
          <t>Trax Grey Mist Matt Tiles</t>
        </is>
      </c>
      <c r="D536" s="1" t="inlineStr">
        <is>
          <t>797x797x9mm</t>
        </is>
      </c>
      <c r="E536" s="1" t="n">
        <v>25.95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n">
        <v>25.95</v>
      </c>
      <c r="K536" t="n">
        <v>25.95</v>
      </c>
      <c r="L536" t="n">
        <v>25.95</v>
      </c>
    </row>
    <row r="537">
      <c r="A537" s="1">
        <f>Hyperlink("https://www.wallsandfloors.co.uk/trax-grey-mist-80x80-lappato-tiles","Product")</f>
        <v/>
      </c>
      <c r="B537" s="1" t="inlineStr">
        <is>
          <t>38930</t>
        </is>
      </c>
      <c r="C537" s="1" t="inlineStr">
        <is>
          <t>Trax Grey Mist Lappato Tiles</t>
        </is>
      </c>
      <c r="D537" s="1" t="inlineStr">
        <is>
          <t>797x797x9mm</t>
        </is>
      </c>
      <c r="E537" s="1" t="n">
        <v>29.95</v>
      </c>
      <c r="F537" s="1" t="n">
        <v>0</v>
      </c>
      <c r="G537" s="1" t="inlineStr">
        <is>
          <t>SQM</t>
        </is>
      </c>
      <c r="H537" s="1" t="inlineStr">
        <is>
          <t>Porcelain</t>
        </is>
      </c>
      <c r="I537" s="1" t="inlineStr">
        <is>
          <t>Semi-Polished</t>
        </is>
      </c>
      <c r="J537" t="inlineStr"/>
      <c r="K537" t="n">
        <v>29.95</v>
      </c>
      <c r="L537" t="n">
        <v>29.95</v>
      </c>
    </row>
    <row r="538">
      <c r="A538" s="1">
        <f>Hyperlink("https://www.wallsandfloors.co.uk/trax-grey-mist-80x40-matt-tiles","Product")</f>
        <v/>
      </c>
      <c r="B538" s="1" t="inlineStr">
        <is>
          <t>38929</t>
        </is>
      </c>
      <c r="C538" s="1" t="inlineStr">
        <is>
          <t>Trax Grey Mist Matt Tiles</t>
        </is>
      </c>
      <c r="D538" s="1" t="inlineStr">
        <is>
          <t>397x797x9mm</t>
        </is>
      </c>
      <c r="E538" s="1" t="n">
        <v>25.95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25.95</v>
      </c>
      <c r="K538" t="n">
        <v>25.95</v>
      </c>
      <c r="L538" t="n">
        <v>25.95</v>
      </c>
    </row>
    <row r="539">
      <c r="A539" s="1">
        <f>Hyperlink("https://www.wallsandfloors.co.uk/trax-grey-mist-1-8-slab-tile","Product")</f>
        <v/>
      </c>
      <c r="B539" s="1" t="inlineStr">
        <is>
          <t>40435</t>
        </is>
      </c>
      <c r="C539" s="1" t="inlineStr">
        <is>
          <t>Trax Grey Mist Porcelain Paving Slabs</t>
        </is>
      </c>
      <c r="D539" s="1" t="inlineStr">
        <is>
          <t>797x797xx18mm</t>
        </is>
      </c>
      <c r="E539" s="1" t="n">
        <v>38.95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Matt</t>
        </is>
      </c>
      <c r="J539" t="n">
        <v>38.95</v>
      </c>
      <c r="K539" t="inlineStr"/>
      <c r="L539" t="n">
        <v>38.95</v>
      </c>
    </row>
    <row r="540">
      <c r="A540" s="1">
        <f>Hyperlink("https://www.wallsandfloors.co.uk/trax-peppered-taupe-80x80-lappato-tiles","Product")</f>
        <v/>
      </c>
      <c r="B540" s="1" t="inlineStr">
        <is>
          <t>38923</t>
        </is>
      </c>
      <c r="C540" s="1" t="inlineStr">
        <is>
          <t>Trax Peppered Taupe Lappato Tiles</t>
        </is>
      </c>
      <c r="D540" s="1" t="inlineStr">
        <is>
          <t>797x797x9mm</t>
        </is>
      </c>
      <c r="E540" s="1" t="n">
        <v>29.95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Semi-Polished</t>
        </is>
      </c>
      <c r="J540" t="n">
        <v>29.95</v>
      </c>
      <c r="K540" t="inlineStr"/>
      <c r="L540" t="n">
        <v>29.95</v>
      </c>
    </row>
    <row r="541">
      <c r="A541" s="1">
        <f>Hyperlink("https://www.wallsandfloors.co.uk/traditional-wood-floorboard-tiles-peppered-ash-wood-effect-tile","Product")</f>
        <v/>
      </c>
      <c r="B541" s="1" t="inlineStr">
        <is>
          <t>15461</t>
        </is>
      </c>
      <c r="C541" s="1" t="inlineStr">
        <is>
          <t>Traditional Peppered Ash Wood Effect Tiles</t>
        </is>
      </c>
      <c r="D541" s="1" t="inlineStr">
        <is>
          <t>600x150x9mm</t>
        </is>
      </c>
      <c r="E541" s="1" t="n">
        <v>25.95</v>
      </c>
      <c r="F541" s="1" t="n">
        <v>0</v>
      </c>
      <c r="G541" s="1" t="inlineStr">
        <is>
          <t>SQM</t>
        </is>
      </c>
      <c r="H541" s="1" t="inlineStr">
        <is>
          <t>Ceramic</t>
        </is>
      </c>
      <c r="I541" s="1" t="inlineStr">
        <is>
          <t>Matt</t>
        </is>
      </c>
      <c r="J541" t="n">
        <v>25.95</v>
      </c>
      <c r="K541" t="n">
        <v>25.95</v>
      </c>
      <c r="L541" t="n">
        <v>25.95</v>
      </c>
    </row>
    <row r="542">
      <c r="A542" s="1">
        <f>Hyperlink("https://www.wallsandfloors.co.uk/traditional-wood-floorboard-tiles-bleached-oak-wood-effect-tile","Product")</f>
        <v/>
      </c>
      <c r="B542" s="1" t="inlineStr">
        <is>
          <t>15464</t>
        </is>
      </c>
      <c r="C542" s="1" t="inlineStr">
        <is>
          <t>Traditional Bleached Oak Wood Effect Tiles</t>
        </is>
      </c>
      <c r="D542" s="1" t="inlineStr">
        <is>
          <t>600x150x9mm</t>
        </is>
      </c>
      <c r="E542" s="1" t="n">
        <v>25.95</v>
      </c>
      <c r="F542" s="1" t="n">
        <v>0</v>
      </c>
      <c r="G542" s="1" t="inlineStr">
        <is>
          <t>SQM</t>
        </is>
      </c>
      <c r="H542" s="1" t="inlineStr">
        <is>
          <t>Ceramic</t>
        </is>
      </c>
      <c r="I542" s="1" t="inlineStr">
        <is>
          <t>Matt</t>
        </is>
      </c>
      <c r="J542" t="n">
        <v>25.95</v>
      </c>
      <c r="K542" t="inlineStr"/>
      <c r="L542" t="n">
        <v>25.95</v>
      </c>
    </row>
    <row r="543">
      <c r="A543" s="1">
        <f>Hyperlink("https://www.wallsandfloors.co.uk/toolshed-tiling-tools-master-tiler-replacement-wheel-9314","Product")</f>
        <v/>
      </c>
      <c r="B543" s="1" t="inlineStr">
        <is>
          <t>9314</t>
        </is>
      </c>
      <c r="C543" s="1" t="inlineStr">
        <is>
          <t>RUBI CPC Continuous Diamond Blade 180</t>
        </is>
      </c>
      <c r="D543" s="1" t="inlineStr">
        <is>
          <t>180 Diameter</t>
        </is>
      </c>
      <c r="E543" s="1" t="n">
        <v>47.95</v>
      </c>
      <c r="F543" s="1" t="n">
        <v>0</v>
      </c>
      <c r="G543" s="1" t="inlineStr">
        <is>
          <t>Pack</t>
        </is>
      </c>
      <c r="H543" s="1" t="inlineStr">
        <is>
          <t>Electric Tile Cutters</t>
        </is>
      </c>
      <c r="I543" s="1" t="inlineStr">
        <is>
          <t>-</t>
        </is>
      </c>
      <c r="J543" t="n">
        <v>47.95</v>
      </c>
      <c r="K543" t="n">
        <v>47.95</v>
      </c>
      <c r="L543" t="n">
        <v>47.95</v>
      </c>
    </row>
    <row r="544">
      <c r="A544" s="1">
        <f>Hyperlink("https://www.wallsandfloors.co.uk/toolshed-tile-adhesive-standard-flex-grey-tile-adhesive","Product")</f>
        <v/>
      </c>
      <c r="B544" s="1" t="inlineStr">
        <is>
          <t>11247</t>
        </is>
      </c>
      <c r="C544" s="1" t="inlineStr">
        <is>
          <t>Standard Flex Grey Tile Adhesive</t>
        </is>
      </c>
      <c r="D544" s="1" t="inlineStr">
        <is>
          <t>20 Kg</t>
        </is>
      </c>
      <c r="E544" s="1" t="n">
        <v>19.95</v>
      </c>
      <c r="F544" s="1" t="n">
        <v>0</v>
      </c>
      <c r="G544" s="1" t="inlineStr">
        <is>
          <t>Unit</t>
        </is>
      </c>
      <c r="H544" s="1" t="inlineStr">
        <is>
          <t>Adhesive</t>
        </is>
      </c>
      <c r="I544" s="1" t="inlineStr">
        <is>
          <t>-</t>
        </is>
      </c>
      <c r="J544" t="inlineStr"/>
      <c r="K544" t="inlineStr"/>
      <c r="L544" t="n">
        <v>19.95</v>
      </c>
    </row>
    <row r="545">
      <c r="A545" s="1">
        <f>Hyperlink("https://www.wallsandfloors.co.uk/toolshed-tile-adhesive-kwik-flex-white-tile-adhesive","Product")</f>
        <v/>
      </c>
      <c r="B545" s="1" t="inlineStr">
        <is>
          <t>10448</t>
        </is>
      </c>
      <c r="C545" s="1" t="inlineStr">
        <is>
          <t>Kwik Flex White Tile Adhesive</t>
        </is>
      </c>
      <c r="D545" s="1" t="inlineStr">
        <is>
          <t>20 Kg</t>
        </is>
      </c>
      <c r="E545" s="1" t="n">
        <v>19.95</v>
      </c>
      <c r="F545" s="1" t="n">
        <v>0</v>
      </c>
      <c r="G545" s="1" t="inlineStr">
        <is>
          <t>Unit</t>
        </is>
      </c>
      <c r="H545" s="1" t="inlineStr">
        <is>
          <t>Adhesive</t>
        </is>
      </c>
      <c r="I545" s="1" t="inlineStr">
        <is>
          <t>-</t>
        </is>
      </c>
      <c r="J545" t="n">
        <v>19.95</v>
      </c>
      <c r="K545" t="inlineStr"/>
      <c r="L545" t="n">
        <v>19.95</v>
      </c>
    </row>
    <row r="546">
      <c r="A546" s="1">
        <f>Hyperlink("https://www.wallsandfloors.co.uk/toolshed-tile-adhesive-kwik-fix-grey-floor-tile-adhesive","Product")</f>
        <v/>
      </c>
      <c r="B546" s="1" t="inlineStr">
        <is>
          <t>9201</t>
        </is>
      </c>
      <c r="C546" s="1" t="inlineStr">
        <is>
          <t>Kwik Fix Grey Floor Tile Adhesive</t>
        </is>
      </c>
      <c r="D546" s="1" t="inlineStr">
        <is>
          <t>20 Kg</t>
        </is>
      </c>
      <c r="E546" s="1" t="n">
        <v>19.95</v>
      </c>
      <c r="F546" s="1" t="n">
        <v>0</v>
      </c>
      <c r="G546" s="1" t="inlineStr">
        <is>
          <t>Unit</t>
        </is>
      </c>
      <c r="H546" s="1" t="inlineStr">
        <is>
          <t>Adhesive</t>
        </is>
      </c>
      <c r="I546" s="1" t="inlineStr">
        <is>
          <t>-</t>
        </is>
      </c>
      <c r="J546" t="inlineStr"/>
      <c r="K546" t="n">
        <v>19.95</v>
      </c>
      <c r="L546" t="n">
        <v>19.95</v>
      </c>
    </row>
    <row r="547">
      <c r="A547" s="1">
        <f>Hyperlink("https://www.wallsandfloors.co.uk/toolshed-preparation-products-palace-tilers-primer-1-litre","Product")</f>
        <v/>
      </c>
      <c r="B547" s="1" t="inlineStr">
        <is>
          <t>15379</t>
        </is>
      </c>
      <c r="C547" s="1" t="inlineStr">
        <is>
          <t>Palace Tilers Primer 1 Litre</t>
        </is>
      </c>
      <c r="D547" s="1" t="inlineStr">
        <is>
          <t>1 Ltr</t>
        </is>
      </c>
      <c r="E547" s="1" t="n">
        <v>7.95</v>
      </c>
      <c r="F547" s="1" t="n">
        <v>0</v>
      </c>
      <c r="G547" s="1" t="inlineStr">
        <is>
          <t>Unit</t>
        </is>
      </c>
      <c r="H547" s="1" t="inlineStr">
        <is>
          <t>Silicone</t>
        </is>
      </c>
      <c r="I547" s="1" t="inlineStr">
        <is>
          <t>-</t>
        </is>
      </c>
      <c r="J547" t="n">
        <v>7.95</v>
      </c>
      <c r="K547" t="n">
        <v>7.95</v>
      </c>
      <c r="L547" t="n">
        <v>7.95</v>
      </c>
    </row>
    <row r="548">
      <c r="A548" s="1">
        <f>Hyperlink("https://www.wallsandfloors.co.uk/toolshed-preparation-products-hansil-contractor-gp-clear","Product")</f>
        <v/>
      </c>
      <c r="B548" s="1" t="inlineStr">
        <is>
          <t>10669</t>
        </is>
      </c>
      <c r="C548" s="1" t="inlineStr">
        <is>
          <t>Hansil Contractor GP Clear</t>
        </is>
      </c>
      <c r="D548" s="1" t="inlineStr">
        <is>
          <t>300ml</t>
        </is>
      </c>
      <c r="E548" s="1" t="n">
        <v>6.95</v>
      </c>
      <c r="F548" s="1" t="n">
        <v>0</v>
      </c>
      <c r="G548" s="1" t="inlineStr">
        <is>
          <t>Unit</t>
        </is>
      </c>
      <c r="H548" s="1" t="inlineStr">
        <is>
          <t>Silicone</t>
        </is>
      </c>
      <c r="I548" s="1" t="inlineStr">
        <is>
          <t>-</t>
        </is>
      </c>
      <c r="J548" t="n">
        <v>6.95</v>
      </c>
      <c r="K548" t="n">
        <v>6.95</v>
      </c>
      <c r="L548" t="n">
        <v>6.95</v>
      </c>
    </row>
    <row r="549">
      <c r="A549" s="1">
        <f>Hyperlink("https://www.wallsandfloors.co.uk/toolshed-preparation-products-genesis-mosaic-tile-mesh-300x300","Product")</f>
        <v/>
      </c>
      <c r="B549" s="1" t="inlineStr">
        <is>
          <t>12350</t>
        </is>
      </c>
      <c r="C549" s="1" t="inlineStr">
        <is>
          <t>Genesis Mosaic Tile Mesh 300x300</t>
        </is>
      </c>
      <c r="D549" s="1" t="inlineStr">
        <is>
          <t>300x300x2mm</t>
        </is>
      </c>
      <c r="E549" s="1" t="n">
        <v>2.95</v>
      </c>
      <c r="F549" s="1" t="n">
        <v>0</v>
      </c>
      <c r="G549" s="1" t="inlineStr">
        <is>
          <t>Unit</t>
        </is>
      </c>
      <c r="H549" s="1" t="inlineStr">
        <is>
          <t>Preparation Products</t>
        </is>
      </c>
      <c r="I549" s="1" t="inlineStr">
        <is>
          <t>-</t>
        </is>
      </c>
      <c r="J549" t="inlineStr"/>
      <c r="K549" t="inlineStr"/>
      <c r="L549" t="n">
        <v>2.95</v>
      </c>
    </row>
    <row r="550">
      <c r="A550" s="1">
        <f>Hyperlink("https://www.wallsandfloors.co.uk/toolshed-cleaning-and-maintenance-linseed-oil","Product")</f>
        <v/>
      </c>
      <c r="B550" s="1" t="inlineStr">
        <is>
          <t>9194</t>
        </is>
      </c>
      <c r="C550" s="1" t="inlineStr">
        <is>
          <t>Linseed Oil</t>
        </is>
      </c>
      <c r="D550" s="1" t="inlineStr">
        <is>
          <t>2 Ltr</t>
        </is>
      </c>
      <c r="E550" s="1" t="n">
        <v>36.95</v>
      </c>
      <c r="F550" s="1" t="n">
        <v>0</v>
      </c>
      <c r="G550" s="1" t="inlineStr">
        <is>
          <t>Unit</t>
        </is>
      </c>
      <c r="H550" s="1" t="inlineStr">
        <is>
          <t>Oil</t>
        </is>
      </c>
      <c r="I550" s="1" t="inlineStr">
        <is>
          <t>-</t>
        </is>
      </c>
      <c r="J550" t="n">
        <v>36.95</v>
      </c>
      <c r="K550" t="n">
        <v>36.95</v>
      </c>
      <c r="L550" t="n">
        <v>36.95</v>
      </c>
    </row>
    <row r="551">
      <c r="A551" s="1">
        <f>Hyperlink("https://www.wallsandfloors.co.uk/tones-neutrals-tiles-white-tiles","Product")</f>
        <v/>
      </c>
      <c r="B551" s="1" t="inlineStr">
        <is>
          <t>11319</t>
        </is>
      </c>
      <c r="C551" s="1" t="inlineStr">
        <is>
          <t>Tones White Brick Tiles</t>
        </is>
      </c>
      <c r="D551" s="1" t="inlineStr">
        <is>
          <t>400x150x10mm</t>
        </is>
      </c>
      <c r="E551" s="1" t="n">
        <v>30.95</v>
      </c>
      <c r="F551" s="1" t="n">
        <v>0</v>
      </c>
      <c r="G551" s="1" t="inlineStr">
        <is>
          <t>SQM</t>
        </is>
      </c>
      <c r="H551" s="1" t="inlineStr">
        <is>
          <t>Ceramic</t>
        </is>
      </c>
      <c r="I551" s="1" t="inlineStr">
        <is>
          <t>Matt</t>
        </is>
      </c>
      <c r="J551" t="n">
        <v>30.95</v>
      </c>
      <c r="K551" t="inlineStr"/>
      <c r="L551" t="n">
        <v>30.95</v>
      </c>
    </row>
    <row r="552">
      <c r="A552" s="1">
        <f>Hyperlink("https://www.wallsandfloors.co.uk/traditional-wood-floorboard-tiles-dusted-cocoa-wood-effect-tile","Product")</f>
        <v/>
      </c>
      <c r="B552" s="1" t="inlineStr">
        <is>
          <t>15460</t>
        </is>
      </c>
      <c r="C552" s="1" t="inlineStr">
        <is>
          <t>Dusted Cocoa Wood Effect Tile</t>
        </is>
      </c>
      <c r="D552" s="1" t="inlineStr">
        <is>
          <t>600x150x9mm</t>
        </is>
      </c>
      <c r="E552" s="1" t="n">
        <v>25.95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Matt</t>
        </is>
      </c>
      <c r="J552" t="n">
        <v>25.95</v>
      </c>
      <c r="K552" t="inlineStr"/>
      <c r="L552" t="n">
        <v>25.95</v>
      </c>
    </row>
    <row r="553">
      <c r="A553" s="1">
        <f>Hyperlink("https://www.wallsandfloors.co.uk/trax-peppered-taupe-80x80-matt-tiles","Product")</f>
        <v/>
      </c>
      <c r="B553" s="1" t="inlineStr">
        <is>
          <t>38916</t>
        </is>
      </c>
      <c r="C553" s="1" t="inlineStr">
        <is>
          <t>Trax Peppered Taupe Matt Tiles</t>
        </is>
      </c>
      <c r="D553" s="1" t="inlineStr">
        <is>
          <t>797x797x9mm</t>
        </is>
      </c>
      <c r="E553" s="1" t="n">
        <v>25.95</v>
      </c>
      <c r="F553" s="1" t="n">
        <v>0</v>
      </c>
      <c r="G553" s="1" t="inlineStr">
        <is>
          <t>SQM</t>
        </is>
      </c>
      <c r="H553" s="1" t="inlineStr">
        <is>
          <t>Porcelain</t>
        </is>
      </c>
      <c r="I553" s="1" t="inlineStr">
        <is>
          <t>Matt</t>
        </is>
      </c>
      <c r="J553" t="n">
        <v>25.95</v>
      </c>
      <c r="K553" t="n">
        <v>25.95</v>
      </c>
      <c r="L553" t="n">
        <v>25.95</v>
      </c>
    </row>
    <row r="554">
      <c r="A554" s="1">
        <f>Hyperlink("https://www.wallsandfloors.co.uk/trax-velvet-moon-80x40-matt-tiles","Product")</f>
        <v/>
      </c>
      <c r="B554" s="1" t="inlineStr">
        <is>
          <t>38919</t>
        </is>
      </c>
      <c r="C554" s="1" t="inlineStr">
        <is>
          <t>Trax Velvet Moon 80x40 Matt Tiles</t>
        </is>
      </c>
      <c r="D554" s="1" t="inlineStr">
        <is>
          <t>797x397x9mm</t>
        </is>
      </c>
      <c r="E554" s="1" t="n">
        <v>25.95</v>
      </c>
      <c r="F554" s="1" t="n">
        <v>0</v>
      </c>
      <c r="G554" s="1" t="inlineStr">
        <is>
          <t>SQM</t>
        </is>
      </c>
      <c r="H554" s="1" t="inlineStr">
        <is>
          <t>Porcelain</t>
        </is>
      </c>
      <c r="I554" s="1" t="inlineStr">
        <is>
          <t>Matt</t>
        </is>
      </c>
      <c r="J554" t="n">
        <v>25.95</v>
      </c>
      <c r="K554" t="n">
        <v>25.95</v>
      </c>
      <c r="L554" t="n">
        <v>25.95</v>
      </c>
    </row>
    <row r="555">
      <c r="A555" s="1">
        <f>Hyperlink("https://www.wallsandfloors.co.uk/trax-velvet-moon-80x80-lappato-tiles","Product")</f>
        <v/>
      </c>
      <c r="B555" s="1" t="inlineStr">
        <is>
          <t>38920</t>
        </is>
      </c>
      <c r="C555" s="1" t="inlineStr">
        <is>
          <t>Trax Velvet Moon Lappato Tiles</t>
        </is>
      </c>
      <c r="D555" s="1" t="inlineStr">
        <is>
          <t>797x797x9mm</t>
        </is>
      </c>
      <c r="E555" s="1" t="n">
        <v>29.95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Semi-Polished</t>
        </is>
      </c>
      <c r="J555" t="inlineStr"/>
      <c r="K555" t="n">
        <v>29.95</v>
      </c>
      <c r="L555" t="n">
        <v>29.95</v>
      </c>
    </row>
    <row r="556">
      <c r="A556" s="1">
        <f>Hyperlink("https://www.wallsandfloors.co.uk/trullo-brick-effect-tiles-light-natural-brick-effect-tile","Product")</f>
        <v/>
      </c>
      <c r="B556" s="1" t="inlineStr">
        <is>
          <t>13983</t>
        </is>
      </c>
      <c r="C556" s="1" t="inlineStr">
        <is>
          <t>Light Natural Brick Effect Tile</t>
        </is>
      </c>
      <c r="D556" s="1" t="inlineStr">
        <is>
          <t>600x300x7mm</t>
        </is>
      </c>
      <c r="E556" s="1" t="n">
        <v>33.95</v>
      </c>
      <c r="F556" s="1" t="n">
        <v>0</v>
      </c>
      <c r="G556" s="1" t="inlineStr">
        <is>
          <t>SQM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n">
        <v>33.95</v>
      </c>
      <c r="L556" t="n">
        <v>33.95</v>
      </c>
    </row>
    <row r="557">
      <c r="A557" s="1">
        <f>Hyperlink("https://www.wallsandfloors.co.uk/trullo-brick-effect-tiles-dark-natural-brick-effect-tile","Product")</f>
        <v/>
      </c>
      <c r="B557" s="1" t="inlineStr">
        <is>
          <t>13981</t>
        </is>
      </c>
      <c r="C557" s="1" t="inlineStr">
        <is>
          <t>Trullo Dark Natural Beige Brick Effect Porcelain Wall Tiles</t>
        </is>
      </c>
      <c r="D557" s="1" t="inlineStr">
        <is>
          <t>600x300x7mm</t>
        </is>
      </c>
      <c r="E557" s="1" t="n">
        <v>33.95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Matt</t>
        </is>
      </c>
      <c r="J557" t="n">
        <v>33.95</v>
      </c>
      <c r="K557" t="inlineStr"/>
      <c r="L557" t="n">
        <v>33.95</v>
      </c>
    </row>
    <row r="558">
      <c r="A558" s="1">
        <f>Hyperlink("https://www.wallsandfloors.co.uk/trullo-brick-effect-tiles-charcoal-brick-effect-tile","Product")</f>
        <v/>
      </c>
      <c r="B558" s="1" t="inlineStr">
        <is>
          <t>13982</t>
        </is>
      </c>
      <c r="C558" s="1" t="inlineStr">
        <is>
          <t>Charcoal Brick Effect Tile</t>
        </is>
      </c>
      <c r="D558" s="1" t="inlineStr">
        <is>
          <t>600x300x7mm</t>
        </is>
      </c>
      <c r="E558" s="1" t="n">
        <v>33.95</v>
      </c>
      <c r="F558" s="1" t="n">
        <v>0</v>
      </c>
      <c r="G558" s="1" t="inlineStr">
        <is>
          <t>SQM</t>
        </is>
      </c>
      <c r="H558" s="1" t="inlineStr">
        <is>
          <t>Porcelain</t>
        </is>
      </c>
      <c r="I558" s="1" t="inlineStr">
        <is>
          <t>Matt</t>
        </is>
      </c>
      <c r="J558" t="n">
        <v>33.95</v>
      </c>
      <c r="K558" t="n">
        <v>33.95</v>
      </c>
      <c r="L558" t="n">
        <v>33.95</v>
      </c>
    </row>
    <row r="559">
      <c r="A559" s="1">
        <f>Hyperlink("https://www.wallsandfloors.co.uk/troverta-smoke-gloss-60x30-tiles","Product")</f>
        <v/>
      </c>
      <c r="B559" s="1" t="inlineStr">
        <is>
          <t>43315</t>
        </is>
      </c>
      <c r="C559" s="1" t="inlineStr">
        <is>
          <t>Ceppo Terrazzo Effect Gloss Tiles</t>
        </is>
      </c>
      <c r="D559" s="1" t="inlineStr">
        <is>
          <t>600x300x8.5mm</t>
        </is>
      </c>
      <c r="E559" s="1" t="n">
        <v>20.95</v>
      </c>
      <c r="F559" s="1" t="n">
        <v>0</v>
      </c>
      <c r="G559" s="1" t="inlineStr">
        <is>
          <t>SQM</t>
        </is>
      </c>
      <c r="H559" s="1" t="inlineStr">
        <is>
          <t>Ceramic</t>
        </is>
      </c>
      <c r="I559" s="1" t="inlineStr">
        <is>
          <t>Gloss</t>
        </is>
      </c>
      <c r="J559" t="n">
        <v>20.95</v>
      </c>
      <c r="K559" t="n">
        <v>20.95</v>
      </c>
      <c r="L559" t="n">
        <v>20.95</v>
      </c>
    </row>
    <row r="560">
      <c r="A560" s="1">
        <f>Hyperlink("https://www.wallsandfloors.co.uk/troverta-smoke-60x60-tiles","Product")</f>
        <v/>
      </c>
      <c r="B560" s="1" t="inlineStr">
        <is>
          <t>43317</t>
        </is>
      </c>
      <c r="C560" s="1" t="inlineStr">
        <is>
          <t>Ceppo Terrazzo Effect Tiles</t>
        </is>
      </c>
      <c r="D560" s="1" t="inlineStr">
        <is>
          <t>600x600x10mm</t>
        </is>
      </c>
      <c r="E560" s="1" t="n">
        <v>25.95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n">
        <v>25.95</v>
      </c>
      <c r="K560" t="n">
        <v>25.95</v>
      </c>
      <c r="L560" t="n">
        <v>25.95</v>
      </c>
    </row>
    <row r="561">
      <c r="A561" s="1">
        <f>Hyperlink("https://www.wallsandfloors.co.uk/troverta-smoke-60x30-tiles","Product")</f>
        <v/>
      </c>
      <c r="B561" s="1" t="inlineStr">
        <is>
          <t>43316</t>
        </is>
      </c>
      <c r="C561" s="1" t="inlineStr">
        <is>
          <t>Ceppo Terrazzo Effect Matt Tiles</t>
        </is>
      </c>
      <c r="D561" s="1" t="inlineStr">
        <is>
          <t>600x300x8.5mm</t>
        </is>
      </c>
      <c r="E561" s="1" t="n">
        <v>20.95</v>
      </c>
      <c r="F561" s="1" t="n">
        <v>0</v>
      </c>
      <c r="G561" s="1" t="inlineStr">
        <is>
          <t>SQM</t>
        </is>
      </c>
      <c r="H561" s="1" t="inlineStr">
        <is>
          <t>Ceramic</t>
        </is>
      </c>
      <c r="I561" s="1" t="inlineStr">
        <is>
          <t>Matt</t>
        </is>
      </c>
      <c r="J561" t="inlineStr"/>
      <c r="K561" t="inlineStr"/>
      <c r="L561" t="n">
        <v>20.95</v>
      </c>
    </row>
    <row r="562">
      <c r="A562" s="1">
        <f>Hyperlink("https://www.wallsandfloors.co.uk/troverta-muretto-cream-60x30-tiles","Product")</f>
        <v/>
      </c>
      <c r="B562" s="1" t="inlineStr">
        <is>
          <t>43323</t>
        </is>
      </c>
      <c r="C562" s="1" t="inlineStr">
        <is>
          <t>Troverta Muretto Cream Tiles</t>
        </is>
      </c>
      <c r="D562" s="1" t="inlineStr">
        <is>
          <t>600x300x8.5mm</t>
        </is>
      </c>
      <c r="E562" s="1" t="n">
        <v>20.95</v>
      </c>
      <c r="F562" s="1" t="n">
        <v>0</v>
      </c>
      <c r="G562" s="1" t="inlineStr">
        <is>
          <t>SQM</t>
        </is>
      </c>
      <c r="H562" s="1" t="inlineStr">
        <is>
          <t>Ceramic</t>
        </is>
      </c>
      <c r="I562" s="1" t="inlineStr">
        <is>
          <t>Matt</t>
        </is>
      </c>
      <c r="J562" t="n">
        <v>20.95</v>
      </c>
      <c r="K562" t="n">
        <v>20.95</v>
      </c>
      <c r="L562" t="n">
        <v>20.95</v>
      </c>
    </row>
    <row r="563">
      <c r="A563" s="1">
        <f>Hyperlink("https://www.wallsandfloors.co.uk/troverta-muretto-charcoal-60x30-tiles","Product")</f>
        <v/>
      </c>
      <c r="B563" s="1" t="inlineStr">
        <is>
          <t>43324</t>
        </is>
      </c>
      <c r="C563" s="1" t="inlineStr">
        <is>
          <t>Troverta Muretto Charcoal Tiles</t>
        </is>
      </c>
      <c r="D563" s="1" t="inlineStr">
        <is>
          <t>600x300x8.5mm</t>
        </is>
      </c>
      <c r="E563" s="1" t="n">
        <v>20.95</v>
      </c>
      <c r="F563" s="1" t="n">
        <v>0</v>
      </c>
      <c r="G563" s="1" t="inlineStr">
        <is>
          <t>SQM</t>
        </is>
      </c>
      <c r="H563" s="1" t="inlineStr">
        <is>
          <t>Ceramic</t>
        </is>
      </c>
      <c r="I563" s="1" t="inlineStr">
        <is>
          <t>Matt</t>
        </is>
      </c>
      <c r="J563" t="inlineStr"/>
      <c r="K563" t="n">
        <v>20.95</v>
      </c>
      <c r="L563" t="n">
        <v>20.95</v>
      </c>
    </row>
    <row r="564">
      <c r="A564" s="1">
        <f>Hyperlink("https://www.wallsandfloors.co.uk/troverta-cubic-cream-60x30-tiles","Product")</f>
        <v/>
      </c>
      <c r="B564" s="1" t="inlineStr">
        <is>
          <t>43319</t>
        </is>
      </c>
      <c r="C564" s="1" t="inlineStr">
        <is>
          <t>Troverta Cubic Cream Tiles</t>
        </is>
      </c>
      <c r="D564" s="1" t="inlineStr">
        <is>
          <t>600x300x8.5mm</t>
        </is>
      </c>
      <c r="E564" s="1" t="n">
        <v>20.95</v>
      </c>
      <c r="F564" s="1" t="n">
        <v>0</v>
      </c>
      <c r="G564" s="1" t="inlineStr">
        <is>
          <t>SQM</t>
        </is>
      </c>
      <c r="H564" s="1" t="inlineStr">
        <is>
          <t>Ceramic</t>
        </is>
      </c>
      <c r="I564" s="1" t="inlineStr">
        <is>
          <t>Matt</t>
        </is>
      </c>
      <c r="J564" t="n">
        <v>20.95</v>
      </c>
      <c r="K564" t="n">
        <v>20.95</v>
      </c>
      <c r="L564" t="n">
        <v>20.95</v>
      </c>
    </row>
    <row r="565">
      <c r="A565" s="1">
        <f>Hyperlink("https://www.wallsandfloors.co.uk/troverta-cubic-charcoal-60x30-tiles","Product")</f>
        <v/>
      </c>
      <c r="B565" s="1" t="inlineStr">
        <is>
          <t>43318</t>
        </is>
      </c>
      <c r="C565" s="1" t="inlineStr">
        <is>
          <t>Troverta Cubic Charcoal Tiles</t>
        </is>
      </c>
      <c r="D565" s="1" t="inlineStr">
        <is>
          <t>600x300x8.5mm</t>
        </is>
      </c>
      <c r="E565" s="1" t="n">
        <v>20.95</v>
      </c>
      <c r="F565" s="1" t="n">
        <v>0</v>
      </c>
      <c r="G565" s="1" t="inlineStr">
        <is>
          <t>SQM</t>
        </is>
      </c>
      <c r="H565" s="1" t="inlineStr">
        <is>
          <t>Ceramic</t>
        </is>
      </c>
      <c r="I565" s="1" t="inlineStr">
        <is>
          <t>Matt</t>
        </is>
      </c>
      <c r="J565" t="inlineStr"/>
      <c r="K565" t="inlineStr"/>
      <c r="L565" t="n">
        <v>20.95</v>
      </c>
    </row>
    <row r="566">
      <c r="A566" s="1">
        <f>Hyperlink("https://www.wallsandfloors.co.uk/troverta-cubic-ash-60x30-tiles","Product")</f>
        <v/>
      </c>
      <c r="B566" s="1" t="inlineStr">
        <is>
          <t>43320</t>
        </is>
      </c>
      <c r="C566" s="1" t="inlineStr">
        <is>
          <t>Troverta Cubic Ash Tiles</t>
        </is>
      </c>
      <c r="D566" s="1" t="inlineStr">
        <is>
          <t>300x600x8.5mm</t>
        </is>
      </c>
      <c r="E566" s="1" t="n">
        <v>20.95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20.95</v>
      </c>
      <c r="K566" t="inlineStr"/>
      <c r="L566" t="n">
        <v>20.95</v>
      </c>
    </row>
    <row r="567">
      <c r="A567" s="1">
        <f>Hyperlink("https://www.wallsandfloors.co.uk/troverta-cream-gloss-60x30-tiles","Product")</f>
        <v/>
      </c>
      <c r="B567" s="1" t="inlineStr">
        <is>
          <t>43313</t>
        </is>
      </c>
      <c r="C567" s="1" t="inlineStr">
        <is>
          <t>Troverta Cream Gloss Tiles</t>
        </is>
      </c>
      <c r="D567" s="1" t="inlineStr">
        <is>
          <t>600x300x8.5mm</t>
        </is>
      </c>
      <c r="E567" s="1" t="n">
        <v>30.95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Gloss</t>
        </is>
      </c>
      <c r="J567" t="n">
        <v>30.95</v>
      </c>
      <c r="K567" t="n">
        <v>30.95</v>
      </c>
      <c r="L567" t="n">
        <v>30.95</v>
      </c>
    </row>
    <row r="568">
      <c r="A568" s="1">
        <f>Hyperlink("https://www.wallsandfloors.co.uk/troverta-cream-60x60-tiles","Product")</f>
        <v/>
      </c>
      <c r="B568" s="1" t="inlineStr">
        <is>
          <t>43311</t>
        </is>
      </c>
      <c r="C568" s="1" t="inlineStr">
        <is>
          <t>Troverta Cream Tiles</t>
        </is>
      </c>
      <c r="D568" s="1" t="inlineStr">
        <is>
          <t>600x600x10mm</t>
        </is>
      </c>
      <c r="E568" s="1" t="n">
        <v>25.95</v>
      </c>
      <c r="F568" s="1" t="n">
        <v>0</v>
      </c>
      <c r="G568" s="1" t="inlineStr">
        <is>
          <t>SQM</t>
        </is>
      </c>
      <c r="H568" s="1" t="inlineStr">
        <is>
          <t>Porcelain</t>
        </is>
      </c>
      <c r="I568" s="1" t="inlineStr">
        <is>
          <t>Matt</t>
        </is>
      </c>
      <c r="J568" t="n">
        <v>25.95</v>
      </c>
      <c r="K568" t="n">
        <v>25.95</v>
      </c>
      <c r="L568" t="n">
        <v>25.95</v>
      </c>
    </row>
    <row r="569">
      <c r="A569" s="1">
        <f>Hyperlink("https://www.wallsandfloors.co.uk/troverta-cream-45x45-tiles","Product")</f>
        <v/>
      </c>
      <c r="B569" s="1" t="inlineStr">
        <is>
          <t>43314</t>
        </is>
      </c>
      <c r="C569" s="1" t="inlineStr">
        <is>
          <t>Troverta Cream Tiles</t>
        </is>
      </c>
      <c r="D569" s="1" t="inlineStr">
        <is>
          <t>450x450x8.5mm</t>
        </is>
      </c>
      <c r="E569" s="1" t="n">
        <v>22.95</v>
      </c>
      <c r="F569" s="1" t="n">
        <v>0</v>
      </c>
      <c r="G569" s="1" t="inlineStr">
        <is>
          <t>SQM</t>
        </is>
      </c>
      <c r="H569" s="1" t="inlineStr">
        <is>
          <t>Porcelain</t>
        </is>
      </c>
      <c r="I569" s="1" t="inlineStr">
        <is>
          <t>Matt</t>
        </is>
      </c>
      <c r="J569" t="n">
        <v>22.95</v>
      </c>
      <c r="K569" t="n">
        <v>22.95</v>
      </c>
      <c r="L569" t="n">
        <v>22.95</v>
      </c>
    </row>
    <row r="570">
      <c r="A570" s="1">
        <f>Hyperlink("https://www.wallsandfloors.co.uk/troverta-cream-30x60-tiles","Product")</f>
        <v/>
      </c>
      <c r="B570" s="1" t="inlineStr">
        <is>
          <t>43310</t>
        </is>
      </c>
      <c r="C570" s="1" t="inlineStr">
        <is>
          <t>Troverta Cream Tiles</t>
        </is>
      </c>
      <c r="D570" s="1" t="inlineStr">
        <is>
          <t>600x300x8.5mm</t>
        </is>
      </c>
      <c r="E570" s="1" t="n">
        <v>20.95</v>
      </c>
      <c r="F570" s="1" t="n">
        <v>0</v>
      </c>
      <c r="G570" s="1" t="inlineStr">
        <is>
          <t>SQM</t>
        </is>
      </c>
      <c r="H570" s="1" t="inlineStr">
        <is>
          <t>Ceramic</t>
        </is>
      </c>
      <c r="I570" s="1" t="inlineStr">
        <is>
          <t>Matt</t>
        </is>
      </c>
      <c r="J570" t="n">
        <v>20.95</v>
      </c>
      <c r="K570" t="n">
        <v>20.95</v>
      </c>
      <c r="L570" t="n">
        <v>20.95</v>
      </c>
    </row>
    <row r="571">
      <c r="A571" s="1">
        <f>Hyperlink("https://www.wallsandfloors.co.uk/troverta-charcoal-60x60-tiles","Product")</f>
        <v/>
      </c>
      <c r="B571" s="1" t="inlineStr">
        <is>
          <t>43539</t>
        </is>
      </c>
      <c r="C571" s="1" t="inlineStr">
        <is>
          <t>Troverta Charcoal Tiles</t>
        </is>
      </c>
      <c r="D571" s="1" t="inlineStr">
        <is>
          <t>600x600x10mm</t>
        </is>
      </c>
      <c r="E571" s="1" t="n">
        <v>25.95</v>
      </c>
      <c r="F571" s="1" t="n">
        <v>0</v>
      </c>
      <c r="G571" s="1" t="inlineStr">
        <is>
          <t>SQM</t>
        </is>
      </c>
      <c r="H571" s="1" t="inlineStr">
        <is>
          <t>Porcelain</t>
        </is>
      </c>
      <c r="I571" s="1" t="inlineStr">
        <is>
          <t>Matt</t>
        </is>
      </c>
      <c r="J571" t="n">
        <v>25.95</v>
      </c>
      <c r="K571" t="n">
        <v>25.95</v>
      </c>
      <c r="L571" t="n">
        <v>25.95</v>
      </c>
    </row>
    <row r="572">
      <c r="A572" s="1">
        <f>Hyperlink("https://www.wallsandfloors.co.uk/troverta-charcoal-60x30-tiles","Product")</f>
        <v/>
      </c>
      <c r="B572" s="1" t="inlineStr">
        <is>
          <t>43322</t>
        </is>
      </c>
      <c r="C572" s="1" t="inlineStr">
        <is>
          <t>Troverta Charcoal Tiles</t>
        </is>
      </c>
      <c r="D572" s="1" t="inlineStr">
        <is>
          <t>600x300x8.5mm</t>
        </is>
      </c>
      <c r="E572" s="1" t="n">
        <v>20.95</v>
      </c>
      <c r="F572" s="1" t="n">
        <v>0</v>
      </c>
      <c r="G572" s="1" t="inlineStr">
        <is>
          <t>SQM</t>
        </is>
      </c>
      <c r="H572" s="1" t="inlineStr">
        <is>
          <t>Ceramic</t>
        </is>
      </c>
      <c r="I572" s="1" t="inlineStr">
        <is>
          <t>Matt</t>
        </is>
      </c>
      <c r="J572" t="inlineStr"/>
      <c r="K572" t="inlineStr"/>
      <c r="L572" t="n">
        <v>20.95</v>
      </c>
    </row>
    <row r="573">
      <c r="A573" s="1">
        <f>Hyperlink("https://www.wallsandfloors.co.uk/troverta-charcoal-45x45-tiles","Product")</f>
        <v/>
      </c>
      <c r="B573" s="1" t="inlineStr">
        <is>
          <t>43538</t>
        </is>
      </c>
      <c r="C573" s="1" t="inlineStr">
        <is>
          <t>Troverta Charcoal Tiles</t>
        </is>
      </c>
      <c r="D573" s="1" t="inlineStr">
        <is>
          <t>450x450x8.5mm</t>
        </is>
      </c>
      <c r="E573" s="1" t="n">
        <v>22.95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22.95</v>
      </c>
      <c r="K573" t="n">
        <v>22.95</v>
      </c>
      <c r="L573" t="n">
        <v>22.95</v>
      </c>
    </row>
    <row r="574">
      <c r="A574" s="1">
        <f>Hyperlink("https://www.wallsandfloors.co.uk/troverta-ash-gloss-60x30-tiles","Product")</f>
        <v/>
      </c>
      <c r="B574" s="1" t="inlineStr">
        <is>
          <t>43326</t>
        </is>
      </c>
      <c r="C574" s="1" t="inlineStr">
        <is>
          <t>Troverta Ash Gloss Tiles</t>
        </is>
      </c>
      <c r="D574" s="1" t="inlineStr">
        <is>
          <t>600x300x8.5mm</t>
        </is>
      </c>
      <c r="E574" s="1" t="n">
        <v>20.95</v>
      </c>
      <c r="F574" s="1" t="n">
        <v>0</v>
      </c>
      <c r="G574" s="1" t="inlineStr">
        <is>
          <t>SQM</t>
        </is>
      </c>
      <c r="H574" s="1" t="inlineStr">
        <is>
          <t>Ceramic</t>
        </is>
      </c>
      <c r="I574" s="1" t="inlineStr">
        <is>
          <t>Gloss</t>
        </is>
      </c>
      <c r="J574" t="n">
        <v>20.95</v>
      </c>
      <c r="K574" t="n">
        <v>20.95</v>
      </c>
      <c r="L574" t="n">
        <v>20.95</v>
      </c>
    </row>
    <row r="575">
      <c r="A575" s="1">
        <f>Hyperlink("https://www.wallsandfloors.co.uk/troverta-ash-60x60-tiles","Product")</f>
        <v/>
      </c>
      <c r="B575" s="1" t="inlineStr">
        <is>
          <t>43541</t>
        </is>
      </c>
      <c r="C575" s="1" t="inlineStr">
        <is>
          <t>Troverta Ash Tiles</t>
        </is>
      </c>
      <c r="D575" s="1" t="inlineStr">
        <is>
          <t>600x600x10mm</t>
        </is>
      </c>
      <c r="E575" s="1" t="n">
        <v>25.95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25.95</v>
      </c>
      <c r="K575" t="n">
        <v>25.95</v>
      </c>
      <c r="L575" t="n">
        <v>25.95</v>
      </c>
    </row>
    <row r="576">
      <c r="A576" s="1">
        <f>Hyperlink("https://www.wallsandfloors.co.uk/troverta-ash-45x45-tiles","Product")</f>
        <v/>
      </c>
      <c r="B576" s="1" t="inlineStr">
        <is>
          <t>43540</t>
        </is>
      </c>
      <c r="C576" s="1" t="inlineStr">
        <is>
          <t>Troverta Ash Tiles</t>
        </is>
      </c>
      <c r="D576" s="1" t="inlineStr">
        <is>
          <t>450x450x8.5mm</t>
        </is>
      </c>
      <c r="E576" s="1" t="n">
        <v>22.95</v>
      </c>
      <c r="F576" s="1" t="n">
        <v>0</v>
      </c>
      <c r="G576" s="1" t="inlineStr">
        <is>
          <t>SQM</t>
        </is>
      </c>
      <c r="H576" s="1" t="inlineStr">
        <is>
          <t>Porcelain</t>
        </is>
      </c>
      <c r="I576" s="1" t="inlineStr">
        <is>
          <t>Matt</t>
        </is>
      </c>
      <c r="J576" t="n">
        <v>22.95</v>
      </c>
      <c r="K576" t="n">
        <v>22.95</v>
      </c>
      <c r="L576" t="n">
        <v>22.95</v>
      </c>
    </row>
    <row r="577">
      <c r="A577" s="1">
        <f>Hyperlink("https://www.wallsandfloors.co.uk/trellis-casablanca-tiles","Product")</f>
        <v/>
      </c>
      <c r="B577" s="1" t="inlineStr">
        <is>
          <t>44220</t>
        </is>
      </c>
      <c r="C577" s="1" t="inlineStr">
        <is>
          <t>Trellis Casablanca Tiles</t>
        </is>
      </c>
      <c r="D577" s="1" t="inlineStr">
        <is>
          <t>450x450x9mm</t>
        </is>
      </c>
      <c r="E577" s="1" t="n">
        <v>20.95</v>
      </c>
      <c r="F577" s="1" t="n">
        <v>0</v>
      </c>
      <c r="G577" s="1" t="inlineStr">
        <is>
          <t>SQM</t>
        </is>
      </c>
      <c r="H577" s="1" t="inlineStr">
        <is>
          <t>Ceramic</t>
        </is>
      </c>
      <c r="I577" s="1" t="inlineStr">
        <is>
          <t>Matt</t>
        </is>
      </c>
      <c r="J577" t="n">
        <v>20.95</v>
      </c>
      <c r="K577" t="n">
        <v>20.95</v>
      </c>
      <c r="L577" t="n">
        <v>20.95</v>
      </c>
    </row>
    <row r="578">
      <c r="A578" s="1">
        <f>Hyperlink("https://www.wallsandfloors.co.uk/trax-velvet-moon-80x80-matt-tiles","Product")</f>
        <v/>
      </c>
      <c r="B578" s="1" t="inlineStr">
        <is>
          <t>38915</t>
        </is>
      </c>
      <c r="C578" s="1" t="inlineStr">
        <is>
          <t>Trax Velvet Moon Matt Tiles</t>
        </is>
      </c>
      <c r="D578" s="1" t="inlineStr">
        <is>
          <t>797x797x9mm</t>
        </is>
      </c>
      <c r="E578" s="1" t="n">
        <v>25.95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n">
        <v>25.95</v>
      </c>
      <c r="K578" t="n">
        <v>25.95</v>
      </c>
      <c r="L578" t="n">
        <v>25.95</v>
      </c>
    </row>
    <row r="579">
      <c r="A579" s="1">
        <f>Hyperlink("https://www.wallsandfloors.co.uk/tones-neutrals-tiles-steam-tiles","Product")</f>
        <v/>
      </c>
      <c r="B579" s="1" t="inlineStr">
        <is>
          <t>11323</t>
        </is>
      </c>
      <c r="C579" s="1" t="inlineStr">
        <is>
          <t>Tones Steam Brick Tiles</t>
        </is>
      </c>
      <c r="D579" s="1" t="inlineStr">
        <is>
          <t>400x150x10mm</t>
        </is>
      </c>
      <c r="E579" s="1" t="n">
        <v>30.95</v>
      </c>
      <c r="F579" s="1" t="n">
        <v>0</v>
      </c>
      <c r="G579" s="1" t="inlineStr">
        <is>
          <t>SQM</t>
        </is>
      </c>
      <c r="H579" s="1" t="inlineStr">
        <is>
          <t>Ceramic</t>
        </is>
      </c>
      <c r="I579" s="1" t="inlineStr">
        <is>
          <t>Matt</t>
        </is>
      </c>
      <c r="J579" t="inlineStr"/>
      <c r="K579" t="n">
        <v>30.95</v>
      </c>
      <c r="L579" t="n">
        <v>30.95</v>
      </c>
    </row>
    <row r="580">
      <c r="A580" s="1">
        <f>Hyperlink("https://www.wallsandfloors.co.uk/trullo-brick-effect-tiles-white-brick-effect-tile","Product")</f>
        <v/>
      </c>
      <c r="B580" s="1" t="inlineStr">
        <is>
          <t>13984</t>
        </is>
      </c>
      <c r="C580" s="1" t="inlineStr">
        <is>
          <t>White Brick Effect Tile</t>
        </is>
      </c>
      <c r="D580" s="1" t="inlineStr">
        <is>
          <t>600x300x7mm</t>
        </is>
      </c>
      <c r="E580" s="1" t="n">
        <v>33.95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33.95</v>
      </c>
      <c r="K580" t="n">
        <v>33.95</v>
      </c>
      <c r="L580" t="n">
        <v>33.95</v>
      </c>
    </row>
    <row r="581">
      <c r="A581" s="1">
        <f>Hyperlink("https://www.wallsandfloors.co.uk/tones-neutrals-tiles-smoke-tiles","Product")</f>
        <v/>
      </c>
      <c r="B581" s="1" t="inlineStr">
        <is>
          <t>11324</t>
        </is>
      </c>
      <c r="C581" s="1" t="inlineStr">
        <is>
          <t>Tones Smoke Brick Tiles</t>
        </is>
      </c>
      <c r="D581" s="1" t="inlineStr">
        <is>
          <t>400x150x10mm</t>
        </is>
      </c>
      <c r="E581" s="1" t="n">
        <v>30.95</v>
      </c>
      <c r="F581" s="1" t="n">
        <v>0</v>
      </c>
      <c r="G581" s="1" t="inlineStr">
        <is>
          <t>SQM</t>
        </is>
      </c>
      <c r="H581" s="1" t="inlineStr">
        <is>
          <t>Ceramic</t>
        </is>
      </c>
      <c r="I581" s="1" t="inlineStr">
        <is>
          <t>Matt</t>
        </is>
      </c>
      <c r="J581" t="n">
        <v>30.95</v>
      </c>
      <c r="K581" t="n">
        <v>30.95</v>
      </c>
      <c r="L581" t="n">
        <v>30.95</v>
      </c>
    </row>
    <row r="582">
      <c r="A582" s="1">
        <f>Hyperlink("https://www.wallsandfloors.co.uk/tones-neutrals-tiles-latte-tiles","Product")</f>
        <v/>
      </c>
      <c r="B582" s="1" t="inlineStr">
        <is>
          <t>11321</t>
        </is>
      </c>
      <c r="C582" s="1" t="inlineStr">
        <is>
          <t>Tones Latte Brick Tiles</t>
        </is>
      </c>
      <c r="D582" s="1" t="inlineStr">
        <is>
          <t>400x150x10mm</t>
        </is>
      </c>
      <c r="E582" s="1" t="n">
        <v>30.95</v>
      </c>
      <c r="F582" s="1" t="n">
        <v>0</v>
      </c>
      <c r="G582" s="1" t="inlineStr">
        <is>
          <t>SQM</t>
        </is>
      </c>
      <c r="H582" s="1" t="inlineStr">
        <is>
          <t>Ceramic</t>
        </is>
      </c>
      <c r="I582" s="1" t="inlineStr">
        <is>
          <t>Matt</t>
        </is>
      </c>
      <c r="J582" t="n">
        <v>30.95</v>
      </c>
      <c r="K582" t="n">
        <v>30.95</v>
      </c>
      <c r="L582" t="n">
        <v>30.95</v>
      </c>
    </row>
    <row r="583">
      <c r="A583" s="1">
        <f>Hyperlink("https://www.wallsandfloors.co.uk/titanium-natural-finish-tiles-night-20x20-tiles","Product")</f>
        <v/>
      </c>
      <c r="B583" s="1" t="inlineStr">
        <is>
          <t>13522</t>
        </is>
      </c>
      <c r="C583" s="1" t="inlineStr">
        <is>
          <t>Titanium Night Tiles</t>
        </is>
      </c>
      <c r="D583" s="1" t="inlineStr">
        <is>
          <t>200x200x9mm</t>
        </is>
      </c>
      <c r="E583" s="1" t="n">
        <v>23.95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n">
        <v>23.95</v>
      </c>
      <c r="K583" t="n">
        <v>23.95</v>
      </c>
      <c r="L583" t="n">
        <v>23.95</v>
      </c>
    </row>
    <row r="584">
      <c r="A584" s="1">
        <f>Hyperlink("https://www.wallsandfloors.co.uk/titanium-natural-finish-tiles-limestone-skirting-tiles","Product")</f>
        <v/>
      </c>
      <c r="B584" s="1" t="inlineStr">
        <is>
          <t>13517</t>
        </is>
      </c>
      <c r="C584" s="1" t="inlineStr">
        <is>
          <t>Limestone Skirting Tiles</t>
        </is>
      </c>
      <c r="D584" s="1" t="inlineStr">
        <is>
          <t>300x80x9mm</t>
        </is>
      </c>
      <c r="E584" s="1" t="n">
        <v>6.95</v>
      </c>
      <c r="F584" s="1" t="n">
        <v>0</v>
      </c>
      <c r="G584" s="1" t="inlineStr">
        <is>
          <t>Tile</t>
        </is>
      </c>
      <c r="H584" s="1" t="inlineStr">
        <is>
          <t>Porcelain</t>
        </is>
      </c>
      <c r="I584" s="1" t="inlineStr">
        <is>
          <t>Matt</t>
        </is>
      </c>
      <c r="J584" t="n">
        <v>6.95</v>
      </c>
      <c r="K584" t="n">
        <v>6.95</v>
      </c>
      <c r="L584" t="n">
        <v>6.95</v>
      </c>
    </row>
    <row r="585">
      <c r="A585" s="1">
        <f>Hyperlink("https://www.wallsandfloors.co.uk/titanium-natural-finish-tiles-limestone-internal-angle-tiles","Product")</f>
        <v/>
      </c>
      <c r="B585" s="1" t="inlineStr">
        <is>
          <t>13514</t>
        </is>
      </c>
      <c r="C585" s="1" t="inlineStr">
        <is>
          <t>Limestone Internal Angle Tiles</t>
        </is>
      </c>
      <c r="D585" s="1" t="inlineStr">
        <is>
          <t>90x25x9mm</t>
        </is>
      </c>
      <c r="E585" s="1" t="n">
        <v>6.45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n">
        <v>6.45</v>
      </c>
      <c r="K585" t="n">
        <v>6.45</v>
      </c>
      <c r="L585" t="n">
        <v>6.45</v>
      </c>
    </row>
    <row r="586">
      <c r="A586" s="1">
        <f>Hyperlink("https://www.wallsandfloors.co.uk/titanium-natural-finish-tiles-limestone-external-angle-tiles","Product")</f>
        <v/>
      </c>
      <c r="B586" s="1" t="inlineStr">
        <is>
          <t>13513</t>
        </is>
      </c>
      <c r="C586" s="1" t="inlineStr">
        <is>
          <t>Limestone External Angle Tiles</t>
        </is>
      </c>
      <c r="D586" s="1" t="inlineStr">
        <is>
          <t>90x30x9mm</t>
        </is>
      </c>
      <c r="E586" s="1" t="n">
        <v>6.45</v>
      </c>
      <c r="F586" s="1" t="n">
        <v>0</v>
      </c>
      <c r="G586" s="1" t="inlineStr">
        <is>
          <t>Tile</t>
        </is>
      </c>
      <c r="H586" s="1" t="inlineStr">
        <is>
          <t>Porcelain</t>
        </is>
      </c>
      <c r="I586" s="1" t="inlineStr">
        <is>
          <t>Matt</t>
        </is>
      </c>
      <c r="J586" t="n">
        <v>6.45</v>
      </c>
      <c r="K586" t="inlineStr"/>
      <c r="L586" t="n">
        <v>6.45</v>
      </c>
    </row>
    <row r="587">
      <c r="A587" s="1">
        <f>Hyperlink("https://www.wallsandfloors.co.uk/titanium-natural-finish-tiles-limestone-cove-200-tiles","Product")</f>
        <v/>
      </c>
      <c r="B587" s="1" t="inlineStr">
        <is>
          <t>13512</t>
        </is>
      </c>
      <c r="C587" s="1" t="inlineStr">
        <is>
          <t>Limestone Cove 200 Skirting Tiles</t>
        </is>
      </c>
      <c r="D587" s="1" t="inlineStr">
        <is>
          <t>200x90x9mm</t>
        </is>
      </c>
      <c r="E587" s="1" t="n">
        <v>7.95</v>
      </c>
      <c r="F587" s="1" t="n">
        <v>0</v>
      </c>
      <c r="G587" s="1" t="inlineStr">
        <is>
          <t>Tile</t>
        </is>
      </c>
      <c r="H587" s="1" t="inlineStr">
        <is>
          <t>Porcelain</t>
        </is>
      </c>
      <c r="I587" s="1" t="inlineStr">
        <is>
          <t>Matt</t>
        </is>
      </c>
      <c r="J587" t="inlineStr"/>
      <c r="K587" t="n">
        <v>7.95</v>
      </c>
      <c r="L587" t="n">
        <v>7.95</v>
      </c>
    </row>
    <row r="588">
      <c r="A588" s="1">
        <f>Hyperlink("https://www.wallsandfloors.co.uk/titanium-natural-finish-tiles-limestone-cove-150-tiles","Product")</f>
        <v/>
      </c>
      <c r="B588" s="1" t="inlineStr">
        <is>
          <t>13536</t>
        </is>
      </c>
      <c r="C588" s="1" t="inlineStr">
        <is>
          <t>Limestone Cove 150 Skirting Tiles</t>
        </is>
      </c>
      <c r="D588" s="1" t="inlineStr">
        <is>
          <t>150x90x9mm</t>
        </is>
      </c>
      <c r="E588" s="1" t="n">
        <v>5.95</v>
      </c>
      <c r="F588" s="1" t="n">
        <v>0</v>
      </c>
      <c r="G588" s="1" t="inlineStr">
        <is>
          <t>Tile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5.95</v>
      </c>
      <c r="L588" t="n">
        <v>5.95</v>
      </c>
    </row>
    <row r="589">
      <c r="A589" s="1">
        <f>Hyperlink("https://www.wallsandfloors.co.uk/titanium-natural-finish-tiles-limestone-30x30-tiles","Product")</f>
        <v/>
      </c>
      <c r="B589" s="1" t="inlineStr">
        <is>
          <t>13515</t>
        </is>
      </c>
      <c r="C589" s="1" t="inlineStr">
        <is>
          <t>Titanium Limestone Tiles</t>
        </is>
      </c>
      <c r="D589" s="1" t="inlineStr">
        <is>
          <t>300x300x9mm</t>
        </is>
      </c>
      <c r="E589" s="1" t="n">
        <v>20.95</v>
      </c>
      <c r="F589" s="1" t="n">
        <v>0</v>
      </c>
      <c r="G589" s="1" t="inlineStr">
        <is>
          <t>SQM</t>
        </is>
      </c>
      <c r="H589" s="1" t="inlineStr">
        <is>
          <t>Porcelain</t>
        </is>
      </c>
      <c r="I589" s="1" t="inlineStr">
        <is>
          <t>Matt</t>
        </is>
      </c>
      <c r="J589" t="inlineStr"/>
      <c r="K589" t="inlineStr"/>
      <c r="L589" t="n">
        <v>20.95</v>
      </c>
    </row>
    <row r="590">
      <c r="A590" s="1">
        <f>Hyperlink("https://www.wallsandfloors.co.uk/titanium-natural-finish-tiles-limestone-20x20-tiles","Product")</f>
        <v/>
      </c>
      <c r="B590" s="1" t="inlineStr">
        <is>
          <t>13510</t>
        </is>
      </c>
      <c r="C590" s="1" t="inlineStr">
        <is>
          <t>Titanium Limestone Tiles</t>
        </is>
      </c>
      <c r="D590" s="1" t="inlineStr">
        <is>
          <t>200x200x9mm</t>
        </is>
      </c>
      <c r="E590" s="1" t="n">
        <v>23.95</v>
      </c>
      <c r="F590" s="1" t="n">
        <v>0</v>
      </c>
      <c r="G590" s="1" t="inlineStr">
        <is>
          <t>SQM</t>
        </is>
      </c>
      <c r="H590" s="1" t="inlineStr">
        <is>
          <t>Porcelain</t>
        </is>
      </c>
      <c r="I590" s="1" t="inlineStr">
        <is>
          <t>Matt</t>
        </is>
      </c>
      <c r="J590" t="n">
        <v>23.95</v>
      </c>
      <c r="K590" t="n">
        <v>23.95</v>
      </c>
      <c r="L590" t="n">
        <v>23.95</v>
      </c>
    </row>
    <row r="591">
      <c r="A591" s="1">
        <f>Hyperlink("https://www.wallsandfloors.co.uk/titanium-natural-finish-tiles-concrete-skirting-tiles","Product")</f>
        <v/>
      </c>
      <c r="B591" s="1" t="inlineStr">
        <is>
          <t>13506</t>
        </is>
      </c>
      <c r="C591" s="1" t="inlineStr">
        <is>
          <t>Concrete Skirting Tiles</t>
        </is>
      </c>
      <c r="D591" s="1" t="inlineStr">
        <is>
          <t>300x80x9mm</t>
        </is>
      </c>
      <c r="E591" s="1" t="n">
        <v>6.95</v>
      </c>
      <c r="F591" s="1" t="n">
        <v>0</v>
      </c>
      <c r="G591" s="1" t="inlineStr">
        <is>
          <t>Tile</t>
        </is>
      </c>
      <c r="H591" s="1" t="inlineStr">
        <is>
          <t>Porcelain</t>
        </is>
      </c>
      <c r="I591" s="1" t="inlineStr">
        <is>
          <t>Matt</t>
        </is>
      </c>
      <c r="J591" t="n">
        <v>6.95</v>
      </c>
      <c r="K591" t="inlineStr"/>
      <c r="L591" t="n">
        <v>6.95</v>
      </c>
    </row>
    <row r="592">
      <c r="A592" s="1">
        <f>Hyperlink("https://www.wallsandfloors.co.uk/titanium-natural-finish-tiles-concrete-internal-angle-tiles","Product")</f>
        <v/>
      </c>
      <c r="B592" s="1" t="inlineStr">
        <is>
          <t>13503</t>
        </is>
      </c>
      <c r="C592" s="1" t="inlineStr">
        <is>
          <t>Concrete Internal Angle Tiles</t>
        </is>
      </c>
      <c r="D592" s="1" t="inlineStr">
        <is>
          <t>90x25x9mm</t>
        </is>
      </c>
      <c r="E592" s="1" t="n">
        <v>6.45</v>
      </c>
      <c r="F592" s="1" t="n">
        <v>0</v>
      </c>
      <c r="G592" s="1" t="inlineStr"/>
      <c r="H592" s="1" t="inlineStr">
        <is>
          <t>Porcelain</t>
        </is>
      </c>
      <c r="I592" s="1" t="inlineStr">
        <is>
          <t>Matt</t>
        </is>
      </c>
      <c r="J592" t="n">
        <v>6.45</v>
      </c>
      <c r="K592" t="inlineStr"/>
      <c r="L592" t="n">
        <v>6.45</v>
      </c>
    </row>
    <row r="593">
      <c r="A593" s="1">
        <f>Hyperlink("https://www.wallsandfloors.co.uk/titanium-natural-finish-tiles-night-30x30-tiles-13526","Product")</f>
        <v/>
      </c>
      <c r="B593" s="1" t="inlineStr">
        <is>
          <t>13526</t>
        </is>
      </c>
      <c r="C593" s="1" t="inlineStr">
        <is>
          <t>Titanium Night Tiles</t>
        </is>
      </c>
      <c r="D593" s="1" t="inlineStr">
        <is>
          <t>300x300x9mm</t>
        </is>
      </c>
      <c r="E593" s="1" t="n">
        <v>20.95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inlineStr"/>
      <c r="K593" t="n">
        <v>20.95</v>
      </c>
      <c r="L593" t="n">
        <v>20.95</v>
      </c>
    </row>
    <row r="594">
      <c r="A594" s="1">
        <f>Hyperlink("https://www.wallsandfloors.co.uk/titanium-natural-finish-tiles-concrete-external-angle-tiles","Product")</f>
        <v/>
      </c>
      <c r="B594" s="1" t="inlineStr">
        <is>
          <t>13502</t>
        </is>
      </c>
      <c r="C594" s="1" t="inlineStr">
        <is>
          <t>Concrete External Angle Tiles</t>
        </is>
      </c>
      <c r="D594" s="1" t="inlineStr">
        <is>
          <t>90x30x9mm</t>
        </is>
      </c>
      <c r="E594" s="1" t="n">
        <v>6.45</v>
      </c>
      <c r="F594" s="1" t="n">
        <v>0</v>
      </c>
      <c r="G594" s="1" t="inlineStr"/>
      <c r="H594" s="1" t="inlineStr">
        <is>
          <t>Porcelain</t>
        </is>
      </c>
      <c r="I594" s="1" t="inlineStr">
        <is>
          <t>Matt</t>
        </is>
      </c>
      <c r="J594" t="n">
        <v>6.45</v>
      </c>
      <c r="K594" t="inlineStr"/>
      <c r="L594" t="n">
        <v>6.45</v>
      </c>
    </row>
    <row r="595">
      <c r="A595" s="1">
        <f>Hyperlink("https://www.wallsandfloors.co.uk/titanium-natural-finish-tiles-concrete-cove-150-tiles","Product")</f>
        <v/>
      </c>
      <c r="B595" s="1" t="inlineStr">
        <is>
          <t>13531</t>
        </is>
      </c>
      <c r="C595" s="1" t="inlineStr">
        <is>
          <t>Concrete Cove 150 Skirting Tiles</t>
        </is>
      </c>
      <c r="D595" s="1" t="inlineStr">
        <is>
          <t>150x90x9mm</t>
        </is>
      </c>
      <c r="E595" s="1" t="n">
        <v>5.95</v>
      </c>
      <c r="F595" s="1" t="n">
        <v>0</v>
      </c>
      <c r="G595" s="1" t="inlineStr">
        <is>
          <t>Tile</t>
        </is>
      </c>
      <c r="H595" s="1" t="inlineStr">
        <is>
          <t>Porcelain</t>
        </is>
      </c>
      <c r="I595" s="1" t="inlineStr">
        <is>
          <t>Matt</t>
        </is>
      </c>
      <c r="J595" t="n">
        <v>5.95</v>
      </c>
      <c r="K595" t="n">
        <v>5.95</v>
      </c>
      <c r="L595" t="n">
        <v>5.95</v>
      </c>
    </row>
    <row r="596">
      <c r="A596" s="1">
        <f>Hyperlink("https://www.wallsandfloors.co.uk/titanium-natural-finish-tiles-concrete-30x30-tiles-13504","Product")</f>
        <v/>
      </c>
      <c r="B596" s="1" t="inlineStr">
        <is>
          <t>13504</t>
        </is>
      </c>
      <c r="C596" s="1" t="inlineStr">
        <is>
          <t>Titanium Concrete Tiles</t>
        </is>
      </c>
      <c r="D596" s="1" t="inlineStr">
        <is>
          <t>300x300x9mm</t>
        </is>
      </c>
      <c r="E596" s="1" t="n">
        <v>20.95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n">
        <v>20.95</v>
      </c>
      <c r="K596" t="n">
        <v>20.95</v>
      </c>
      <c r="L596" t="n">
        <v>20.95</v>
      </c>
    </row>
    <row r="597">
      <c r="A597" s="1">
        <f>Hyperlink("https://www.wallsandfloors.co.uk/titanium-natural-finish-tiles-chalk-skirting-tiles","Product")</f>
        <v/>
      </c>
      <c r="B597" s="1" t="inlineStr">
        <is>
          <t>13498</t>
        </is>
      </c>
      <c r="C597" s="1" t="inlineStr">
        <is>
          <t>Chalk Skirting Tiles</t>
        </is>
      </c>
      <c r="D597" s="1" t="inlineStr">
        <is>
          <t>300x80x9mm</t>
        </is>
      </c>
      <c r="E597" s="1" t="n">
        <v>6.95</v>
      </c>
      <c r="F597" s="1" t="n">
        <v>0</v>
      </c>
      <c r="G597" s="1" t="inlineStr">
        <is>
          <t>Tile</t>
        </is>
      </c>
      <c r="H597" s="1" t="inlineStr">
        <is>
          <t>Porcelain</t>
        </is>
      </c>
      <c r="I597" s="1" t="inlineStr">
        <is>
          <t>Matt</t>
        </is>
      </c>
      <c r="J597" t="n">
        <v>6.95</v>
      </c>
      <c r="K597" t="n">
        <v>6.95</v>
      </c>
      <c r="L597" t="n">
        <v>6.95</v>
      </c>
    </row>
    <row r="598">
      <c r="A598" s="1">
        <f>Hyperlink("https://www.wallsandfloors.co.uk/titanium-natural-finish-tiles-chalk-30x30-tiles","Product")</f>
        <v/>
      </c>
      <c r="B598" s="1" t="inlineStr">
        <is>
          <t>13497</t>
        </is>
      </c>
      <c r="C598" s="1" t="inlineStr">
        <is>
          <t>Titanium Chalk Tiles</t>
        </is>
      </c>
      <c r="D598" s="1" t="inlineStr">
        <is>
          <t>300x300x9mm</t>
        </is>
      </c>
      <c r="E598" s="1" t="n">
        <v>22.95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n">
        <v>22.95</v>
      </c>
      <c r="K598" t="n">
        <v>22.95</v>
      </c>
      <c r="L598" t="n">
        <v>22.95</v>
      </c>
    </row>
    <row r="599">
      <c r="A599" s="1">
        <f>Hyperlink("https://www.wallsandfloors.co.uk/titanium-anti-slip-tiles-night-structured-30x30-anti-slip-tiles-13527","Product")</f>
        <v/>
      </c>
      <c r="B599" s="1" t="inlineStr">
        <is>
          <t>13527</t>
        </is>
      </c>
      <c r="C599" s="1" t="inlineStr">
        <is>
          <t>Titanium Night Structured Anti-Slip Tiles</t>
        </is>
      </c>
      <c r="D599" s="1" t="inlineStr">
        <is>
          <t>300x300x9mm</t>
        </is>
      </c>
      <c r="E599" s="1" t="n">
        <v>20.95</v>
      </c>
      <c r="F599" s="1" t="n">
        <v>0</v>
      </c>
      <c r="G599" s="1" t="inlineStr">
        <is>
          <t>SQM</t>
        </is>
      </c>
      <c r="H599" s="1" t="inlineStr">
        <is>
          <t>Porcelain</t>
        </is>
      </c>
      <c r="I599" s="1" t="inlineStr">
        <is>
          <t>Matt</t>
        </is>
      </c>
      <c r="J599" t="n">
        <v>20.95</v>
      </c>
      <c r="K599" t="n">
        <v>20.95</v>
      </c>
      <c r="L599" t="n">
        <v>20.95</v>
      </c>
    </row>
    <row r="600">
      <c r="A600" s="1">
        <f>Hyperlink("https://www.wallsandfloors.co.uk/titanium-anti-slip-tiles-night-circular-stud-anti-slip-20x20-tiles","Product")</f>
        <v/>
      </c>
      <c r="B600" s="1" t="inlineStr">
        <is>
          <t>13541</t>
        </is>
      </c>
      <c r="C600" s="1" t="inlineStr">
        <is>
          <t>Titanium Night Circular Stud Anti-Slip Tiles</t>
        </is>
      </c>
      <c r="D600" s="1" t="inlineStr">
        <is>
          <t>200x200x9mm</t>
        </is>
      </c>
      <c r="E600" s="1" t="n">
        <v>27.95</v>
      </c>
      <c r="F600" s="1" t="n">
        <v>0</v>
      </c>
      <c r="G600" s="1" t="inlineStr"/>
      <c r="H600" s="1" t="inlineStr">
        <is>
          <t>Porcelain</t>
        </is>
      </c>
      <c r="I600" s="1" t="inlineStr">
        <is>
          <t>Matt</t>
        </is>
      </c>
      <c r="J600" t="n">
        <v>27.95</v>
      </c>
      <c r="K600" t="n">
        <v>27.95</v>
      </c>
      <c r="L600" t="n">
        <v>27.95</v>
      </c>
    </row>
    <row r="601">
      <c r="A601" s="1">
        <f>Hyperlink("https://www.wallsandfloors.co.uk/titanium-anti-slip-tiles-limestone-structured-30x30-anti-slip-tiles","Product")</f>
        <v/>
      </c>
      <c r="B601" s="1" t="inlineStr">
        <is>
          <t>13516</t>
        </is>
      </c>
      <c r="C601" s="1" t="inlineStr">
        <is>
          <t>Titanium Limestone Structured Anti Slip Tiles</t>
        </is>
      </c>
      <c r="D601" s="1" t="inlineStr">
        <is>
          <t>300x300x9mm</t>
        </is>
      </c>
      <c r="E601" s="1" t="n">
        <v>20.95</v>
      </c>
      <c r="F601" s="1" t="n">
        <v>0</v>
      </c>
      <c r="G601" s="1" t="inlineStr">
        <is>
          <t>SQM</t>
        </is>
      </c>
      <c r="H601" s="1" t="inlineStr">
        <is>
          <t>Porcelain</t>
        </is>
      </c>
      <c r="I601" s="1" t="inlineStr">
        <is>
          <t>Matt</t>
        </is>
      </c>
      <c r="J601" t="n">
        <v>20.95</v>
      </c>
      <c r="K601" t="n">
        <v>20.95</v>
      </c>
      <c r="L601" t="n">
        <v>20.95</v>
      </c>
    </row>
    <row r="602">
      <c r="A602" s="1">
        <f>Hyperlink("https://www.wallsandfloors.co.uk/titanium-anti-slip-tiles-limestone-circular-stud-anti-slip-20x20-tiles","Product")</f>
        <v/>
      </c>
      <c r="B602" s="1" t="inlineStr">
        <is>
          <t>13511</t>
        </is>
      </c>
      <c r="C602" s="1" t="inlineStr">
        <is>
          <t>Titanium Limestone Circular Stud Anti-Slip Tiles</t>
        </is>
      </c>
      <c r="D602" s="1" t="inlineStr">
        <is>
          <t>200x200x9mm</t>
        </is>
      </c>
      <c r="E602" s="1" t="n">
        <v>27.95</v>
      </c>
      <c r="F602" s="1" t="n">
        <v>0</v>
      </c>
      <c r="G602" s="1" t="inlineStr">
        <is>
          <t>SQM</t>
        </is>
      </c>
      <c r="H602" s="1" t="inlineStr">
        <is>
          <t>Porcelain</t>
        </is>
      </c>
      <c r="I602" s="1" t="inlineStr">
        <is>
          <t>Matt</t>
        </is>
      </c>
      <c r="J602" t="n">
        <v>27.95</v>
      </c>
      <c r="K602" t="n">
        <v>27.95</v>
      </c>
      <c r="L602" t="n">
        <v>27.95</v>
      </c>
    </row>
    <row r="603">
      <c r="A603" s="1">
        <f>Hyperlink("https://www.wallsandfloors.co.uk/titanium-anti-slip-tiles-concrete-structured-30x30-tiles","Product")</f>
        <v/>
      </c>
      <c r="B603" s="1" t="inlineStr">
        <is>
          <t>13505</t>
        </is>
      </c>
      <c r="C603" s="1" t="inlineStr">
        <is>
          <t>Titanium Concrete Anti Slip Tiles</t>
        </is>
      </c>
      <c r="D603" s="1" t="inlineStr">
        <is>
          <t>300x300x9mm</t>
        </is>
      </c>
      <c r="E603" s="1" t="n">
        <v>20.95</v>
      </c>
      <c r="F603" s="1" t="n">
        <v>0</v>
      </c>
      <c r="G603" s="1" t="inlineStr">
        <is>
          <t>SQM</t>
        </is>
      </c>
      <c r="H603" s="1" t="inlineStr">
        <is>
          <t>Porcelain</t>
        </is>
      </c>
      <c r="I603" s="1" t="inlineStr">
        <is>
          <t>Matt</t>
        </is>
      </c>
      <c r="J603" t="n">
        <v>20.95</v>
      </c>
      <c r="K603" t="n">
        <v>20.95</v>
      </c>
      <c r="L603" t="n">
        <v>20.95</v>
      </c>
    </row>
    <row r="604">
      <c r="A604" s="1">
        <f>Hyperlink("https://www.wallsandfloors.co.uk/titanium-anti-slip-tiles-concrete-circular-stud-anti-slip-20x20-tiles","Product")</f>
        <v/>
      </c>
      <c r="B604" s="1" t="inlineStr">
        <is>
          <t>13500</t>
        </is>
      </c>
      <c r="C604" s="1" t="inlineStr">
        <is>
          <t>Titanium Concrete Circular Stud Anti-Slip Tiles</t>
        </is>
      </c>
      <c r="D604" s="1" t="inlineStr">
        <is>
          <t>200x200x9mm</t>
        </is>
      </c>
      <c r="E604" s="1" t="n">
        <v>27.95</v>
      </c>
      <c r="F604" s="1" t="n">
        <v>0</v>
      </c>
      <c r="G604" s="1" t="inlineStr">
        <is>
          <t>SQM</t>
        </is>
      </c>
      <c r="H604" s="1" t="inlineStr">
        <is>
          <t>Porcelain</t>
        </is>
      </c>
      <c r="I604" s="1" t="inlineStr">
        <is>
          <t>Matt</t>
        </is>
      </c>
      <c r="J604" t="n">
        <v>27.95</v>
      </c>
      <c r="K604" t="n">
        <v>27.95</v>
      </c>
      <c r="L604" t="n">
        <v>27.95</v>
      </c>
    </row>
    <row r="605">
      <c r="A605" s="1">
        <f>Hyperlink("https://www.wallsandfloors.co.uk/titanium-natural-finish-tiles-concrete-cove-200-tiles","Product")</f>
        <v/>
      </c>
      <c r="B605" s="1" t="inlineStr">
        <is>
          <t>13501</t>
        </is>
      </c>
      <c r="C605" s="1" t="inlineStr">
        <is>
          <t>Concrete Cove 200 Skirting Tiles</t>
        </is>
      </c>
      <c r="D605" s="1" t="inlineStr">
        <is>
          <t>200x90x9mm</t>
        </is>
      </c>
      <c r="E605" s="1" t="n">
        <v>7.95</v>
      </c>
      <c r="F605" s="1" t="n">
        <v>0</v>
      </c>
      <c r="G605" s="1" t="inlineStr">
        <is>
          <t>Tile</t>
        </is>
      </c>
      <c r="H605" s="1" t="inlineStr">
        <is>
          <t>Porcelain</t>
        </is>
      </c>
      <c r="I605" s="1" t="inlineStr">
        <is>
          <t>Matt</t>
        </is>
      </c>
      <c r="J605" t="inlineStr"/>
      <c r="K605" t="n">
        <v>7.95</v>
      </c>
      <c r="L605" t="n">
        <v>7.95</v>
      </c>
    </row>
    <row r="606">
      <c r="A606" s="1">
        <f>Hyperlink("https://www.wallsandfloors.co.uk/titanium-natural-finish-tiles-night-cove-150-tiles","Product")</f>
        <v/>
      </c>
      <c r="B606" s="1" t="inlineStr">
        <is>
          <t>13543</t>
        </is>
      </c>
      <c r="C606" s="1" t="inlineStr">
        <is>
          <t>Night Cove 150 Skirting Tiles</t>
        </is>
      </c>
      <c r="D606" s="1" t="inlineStr">
        <is>
          <t>150x90x9mm</t>
        </is>
      </c>
      <c r="E606" s="1" t="n">
        <v>5.95</v>
      </c>
      <c r="F606" s="1" t="n">
        <v>0</v>
      </c>
      <c r="G606" s="1" t="inlineStr"/>
      <c r="H606" s="1" t="inlineStr">
        <is>
          <t>Porcelain</t>
        </is>
      </c>
      <c r="I606" s="1" t="inlineStr">
        <is>
          <t>Matt</t>
        </is>
      </c>
      <c r="J606" t="inlineStr"/>
      <c r="K606" t="n">
        <v>5.95</v>
      </c>
      <c r="L606" t="n">
        <v>5.95</v>
      </c>
    </row>
    <row r="607">
      <c r="A607" s="1">
        <f>Hyperlink("https://www.wallsandfloors.co.uk/titanium-natural-finish-tiles-night-cove-200-tiles","Product")</f>
        <v/>
      </c>
      <c r="B607" s="1" t="inlineStr">
        <is>
          <t>13523</t>
        </is>
      </c>
      <c r="C607" s="1" t="inlineStr">
        <is>
          <t>Night Cove 200 Skirting Tiles</t>
        </is>
      </c>
      <c r="D607" s="1" t="inlineStr">
        <is>
          <t>200x90x9mm</t>
        </is>
      </c>
      <c r="E607" s="1" t="n">
        <v>7.95</v>
      </c>
      <c r="F607" s="1" t="n">
        <v>0</v>
      </c>
      <c r="G607" s="1" t="inlineStr">
        <is>
          <t>Tile</t>
        </is>
      </c>
      <c r="H607" s="1" t="inlineStr">
        <is>
          <t>Porcelain</t>
        </is>
      </c>
      <c r="I607" s="1" t="inlineStr">
        <is>
          <t>Matt</t>
        </is>
      </c>
      <c r="J607" t="n">
        <v>7.95</v>
      </c>
      <c r="K607" t="n">
        <v>7.95</v>
      </c>
      <c r="L607" t="n">
        <v>7.95</v>
      </c>
    </row>
    <row r="608">
      <c r="A608" s="1">
        <f>Hyperlink("https://www.wallsandfloors.co.uk/titanium-natural-finish-tiles-night-external-angle-tiles","Product")</f>
        <v/>
      </c>
      <c r="B608" s="1" t="inlineStr">
        <is>
          <t>13524</t>
        </is>
      </c>
      <c r="C608" s="1" t="inlineStr">
        <is>
          <t>Night External Angle Tiles</t>
        </is>
      </c>
      <c r="D608" s="1" t="inlineStr">
        <is>
          <t>90x30x9mm</t>
        </is>
      </c>
      <c r="E608" s="1" t="n">
        <v>6.45</v>
      </c>
      <c r="F608" s="1" t="n">
        <v>0</v>
      </c>
      <c r="G608" s="1" t="inlineStr">
        <is>
          <t>Tile</t>
        </is>
      </c>
      <c r="H608" s="1" t="inlineStr">
        <is>
          <t>Porcelain</t>
        </is>
      </c>
      <c r="I608" s="1" t="inlineStr">
        <is>
          <t>Matt</t>
        </is>
      </c>
      <c r="J608" t="n">
        <v>6.45</v>
      </c>
      <c r="K608" t="n">
        <v>6.45</v>
      </c>
      <c r="L608" t="n">
        <v>6.45</v>
      </c>
    </row>
    <row r="609">
      <c r="A609" s="1">
        <f>Hyperlink("https://www.wallsandfloors.co.uk/tones-neutrals-tiles-cream-tiles","Product")</f>
        <v/>
      </c>
      <c r="B609" s="1" t="inlineStr">
        <is>
          <t>11320</t>
        </is>
      </c>
      <c r="C609" s="1" t="inlineStr">
        <is>
          <t>Tones Cream Brick Tiles</t>
        </is>
      </c>
      <c r="D609" s="1" t="inlineStr">
        <is>
          <t>400x150x10mm</t>
        </is>
      </c>
      <c r="E609" s="1" t="n">
        <v>30.95</v>
      </c>
      <c r="F609" s="1" t="n">
        <v>0</v>
      </c>
      <c r="G609" s="1" t="inlineStr"/>
      <c r="H609" s="1" t="inlineStr">
        <is>
          <t>Ceramic</t>
        </is>
      </c>
      <c r="I609" s="1" t="inlineStr">
        <is>
          <t>Matt</t>
        </is>
      </c>
      <c r="J609" t="n">
        <v>30.95</v>
      </c>
      <c r="K609" t="n">
        <v>30.95</v>
      </c>
      <c r="L609" t="n">
        <v>30.95</v>
      </c>
    </row>
    <row r="610">
      <c r="A610" s="1">
        <f>Hyperlink("https://www.wallsandfloors.co.uk/tones-neutrals-tiles-charcoal-tiles","Product")</f>
        <v/>
      </c>
      <c r="B610" s="1" t="inlineStr">
        <is>
          <t>11325</t>
        </is>
      </c>
      <c r="C610" s="1" t="inlineStr">
        <is>
          <t>Tones Charcoal Brick Tiles</t>
        </is>
      </c>
      <c r="D610" s="1" t="inlineStr">
        <is>
          <t>400x150x10mm</t>
        </is>
      </c>
      <c r="E610" s="1" t="n">
        <v>30.95</v>
      </c>
      <c r="F610" s="1" t="n">
        <v>0</v>
      </c>
      <c r="G610" s="1" t="inlineStr">
        <is>
          <t>SQM</t>
        </is>
      </c>
      <c r="H610" s="1" t="inlineStr">
        <is>
          <t>Ceramic</t>
        </is>
      </c>
      <c r="I610" s="1" t="inlineStr">
        <is>
          <t>Matt</t>
        </is>
      </c>
      <c r="J610" t="n">
        <v>30.95</v>
      </c>
      <c r="K610" t="n">
        <v>30.95</v>
      </c>
      <c r="L610" t="n">
        <v>30.95</v>
      </c>
    </row>
    <row r="611">
      <c r="A611" s="1">
        <f>Hyperlink("https://www.wallsandfloors.co.uk/tones-effects-tiles-wave-steam-tiles","Product")</f>
        <v/>
      </c>
      <c r="B611" s="1" t="inlineStr">
        <is>
          <t>14439</t>
        </is>
      </c>
      <c r="C611" s="1" t="inlineStr">
        <is>
          <t>Tones Wave Steam Brick Tiles</t>
        </is>
      </c>
      <c r="D611" s="1" t="inlineStr">
        <is>
          <t>400x150x10mm</t>
        </is>
      </c>
      <c r="E611" s="1" t="n">
        <v>30.95</v>
      </c>
      <c r="F611" s="1" t="n">
        <v>0</v>
      </c>
      <c r="G611" s="1" t="inlineStr">
        <is>
          <t>SQM</t>
        </is>
      </c>
      <c r="H611" s="1" t="inlineStr">
        <is>
          <t>Ceramic</t>
        </is>
      </c>
      <c r="I611" s="1" t="inlineStr">
        <is>
          <t>Matt</t>
        </is>
      </c>
      <c r="J611" t="n">
        <v>30.95</v>
      </c>
      <c r="K611" t="n">
        <v>30.95</v>
      </c>
      <c r="L611" t="n">
        <v>30.95</v>
      </c>
    </row>
    <row r="612">
      <c r="A612" s="1">
        <f>Hyperlink("https://www.wallsandfloors.co.uk/tonality-tiles-royal-mink-600x600-floor-tiles","Product")</f>
        <v/>
      </c>
      <c r="B612" s="1" t="inlineStr">
        <is>
          <t>13360</t>
        </is>
      </c>
      <c r="C612" s="1" t="inlineStr">
        <is>
          <t>Tonality Royal Mink Floor Tiles</t>
        </is>
      </c>
      <c r="D612" s="1" t="inlineStr">
        <is>
          <t>600x600x10mm</t>
        </is>
      </c>
      <c r="E612" s="1" t="n">
        <v>43.95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inlineStr"/>
      <c r="K612" t="n">
        <v>43.95</v>
      </c>
      <c r="L612" t="n">
        <v>43.95</v>
      </c>
    </row>
    <row r="613">
      <c r="A613" s="1">
        <f>Hyperlink("https://www.wallsandfloors.co.uk/tonality-tiles-royal-mink-600x300-wall-tiles","Product")</f>
        <v/>
      </c>
      <c r="B613" s="1" t="inlineStr">
        <is>
          <t>13365</t>
        </is>
      </c>
      <c r="C613" s="1" t="inlineStr">
        <is>
          <t>Tonality Royal Mink Wall Tiles</t>
        </is>
      </c>
      <c r="D613" s="1" t="inlineStr">
        <is>
          <t>600x300x11mm</t>
        </is>
      </c>
      <c r="E613" s="1" t="n">
        <v>33.95</v>
      </c>
      <c r="F613" s="1" t="n">
        <v>0</v>
      </c>
      <c r="G613" s="1" t="inlineStr">
        <is>
          <t>SQM</t>
        </is>
      </c>
      <c r="H613" s="1" t="inlineStr">
        <is>
          <t>Ceramic</t>
        </is>
      </c>
      <c r="I613" s="1" t="inlineStr">
        <is>
          <t>Gloss</t>
        </is>
      </c>
      <c r="J613" t="n">
        <v>33.95</v>
      </c>
      <c r="K613" t="n">
        <v>33.95</v>
      </c>
      <c r="L613" t="n">
        <v>33.95</v>
      </c>
    </row>
    <row r="614">
      <c r="A614" s="1">
        <f>Hyperlink("https://www.wallsandfloors.co.uk/tonality-tiles-roman-silver-600x300-wall-tiles","Product")</f>
        <v/>
      </c>
      <c r="B614" s="1" t="inlineStr">
        <is>
          <t>13366</t>
        </is>
      </c>
      <c r="C614" s="1" t="inlineStr">
        <is>
          <t>Roman Silver Wall Tiles</t>
        </is>
      </c>
      <c r="D614" s="1" t="inlineStr">
        <is>
          <t>600x300x11mm</t>
        </is>
      </c>
      <c r="E614" s="1" t="n">
        <v>33.95</v>
      </c>
      <c r="F614" s="1" t="n">
        <v>0</v>
      </c>
      <c r="G614" s="1" t="inlineStr">
        <is>
          <t>SQM</t>
        </is>
      </c>
      <c r="H614" s="1" t="inlineStr">
        <is>
          <t>Ceramic</t>
        </is>
      </c>
      <c r="I614" s="1" t="inlineStr">
        <is>
          <t>Matt</t>
        </is>
      </c>
      <c r="J614" t="n">
        <v>33.95</v>
      </c>
      <c r="K614" t="n">
        <v>33.95</v>
      </c>
      <c r="L614" t="n">
        <v>33.95</v>
      </c>
    </row>
    <row r="615">
      <c r="A615" s="1">
        <f>Hyperlink("https://www.wallsandfloors.co.uk/tonality-tiles-oatmeal-600x600-floor-tiles","Product")</f>
        <v/>
      </c>
      <c r="B615" s="1" t="inlineStr">
        <is>
          <t>13358</t>
        </is>
      </c>
      <c r="C615" s="1" t="inlineStr">
        <is>
          <t>Tonality Oatmeal Floor Tiles</t>
        </is>
      </c>
      <c r="D615" s="1" t="inlineStr">
        <is>
          <t>600x600x10mm</t>
        </is>
      </c>
      <c r="E615" s="1" t="n">
        <v>43.95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Matt</t>
        </is>
      </c>
      <c r="J615" t="n">
        <v>43.95</v>
      </c>
      <c r="K615" t="n">
        <v>43.95</v>
      </c>
      <c r="L615" t="n">
        <v>43.95</v>
      </c>
    </row>
    <row r="616">
      <c r="A616" s="1">
        <f>Hyperlink("https://www.wallsandfloors.co.uk/tonality-tiles-fawn-600x600-floor-tiles","Product")</f>
        <v/>
      </c>
      <c r="B616" s="1" t="inlineStr">
        <is>
          <t>13359</t>
        </is>
      </c>
      <c r="C616" s="1" t="inlineStr">
        <is>
          <t>Tonality Fawn Floor Tiles</t>
        </is>
      </c>
      <c r="D616" s="1" t="inlineStr">
        <is>
          <t>600x600x10mm</t>
        </is>
      </c>
      <c r="E616" s="1" t="n">
        <v>43.95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43.95</v>
      </c>
      <c r="K616" t="n">
        <v>43.95</v>
      </c>
      <c r="L616" t="n">
        <v>43.95</v>
      </c>
    </row>
    <row r="617">
      <c r="A617" s="1">
        <f>Hyperlink("https://www.wallsandfloors.co.uk/tonality-tiles-fawn-600x300-wall-tiles","Product")</f>
        <v/>
      </c>
      <c r="B617" s="1" t="inlineStr">
        <is>
          <t>13364</t>
        </is>
      </c>
      <c r="C617" s="1" t="inlineStr">
        <is>
          <t>Tonality Fawn Wall Tiles</t>
        </is>
      </c>
      <c r="D617" s="1" t="inlineStr">
        <is>
          <t>600x300x11mm</t>
        </is>
      </c>
      <c r="E617" s="1" t="n">
        <v>33.95</v>
      </c>
      <c r="F617" s="1" t="n">
        <v>0</v>
      </c>
      <c r="G617" s="1" t="inlineStr"/>
      <c r="H617" s="1" t="inlineStr">
        <is>
          <t>Ceramic</t>
        </is>
      </c>
      <c r="I617" s="1" t="inlineStr">
        <is>
          <t>Gloss</t>
        </is>
      </c>
      <c r="J617" t="n">
        <v>33.95</v>
      </c>
      <c r="K617" t="n">
        <v>33.95</v>
      </c>
      <c r="L617" t="n">
        <v>33.95</v>
      </c>
    </row>
    <row r="618">
      <c r="A618" s="1">
        <f>Hyperlink("https://www.wallsandfloors.co.uk/tiveden-wengue-wood-effect-tiles","Product")</f>
        <v/>
      </c>
      <c r="B618" s="1" t="inlineStr">
        <is>
          <t>41849</t>
        </is>
      </c>
      <c r="C618" s="1" t="inlineStr">
        <is>
          <t>Tiveden Wengue Wood Effect Tiles</t>
        </is>
      </c>
      <c r="D618" s="1" t="inlineStr">
        <is>
          <t>1195x225x8.7mm</t>
        </is>
      </c>
      <c r="E618" s="1" t="n">
        <v>27.95</v>
      </c>
      <c r="F618" s="1" t="n">
        <v>0</v>
      </c>
      <c r="G618" s="1" t="inlineStr">
        <is>
          <t>SQM</t>
        </is>
      </c>
      <c r="H618" s="1" t="inlineStr">
        <is>
          <t>Porcelain</t>
        </is>
      </c>
      <c r="I618" s="1" t="inlineStr">
        <is>
          <t>Matt</t>
        </is>
      </c>
      <c r="J618" t="n">
        <v>27.95</v>
      </c>
      <c r="K618" t="n">
        <v>27.95</v>
      </c>
      <c r="L618" t="n">
        <v>27.95</v>
      </c>
    </row>
    <row r="619">
      <c r="A619" s="1">
        <f>Hyperlink("https://www.wallsandfloors.co.uk/tiveden-grey-wood-effect-tiles","Product")</f>
        <v/>
      </c>
      <c r="B619" s="1" t="inlineStr">
        <is>
          <t>41847</t>
        </is>
      </c>
      <c r="C619" s="1" t="inlineStr">
        <is>
          <t>Tiveden Grey Wood Effect Tiles</t>
        </is>
      </c>
      <c r="D619" s="1" t="inlineStr">
        <is>
          <t>1195x225x8.7mm</t>
        </is>
      </c>
      <c r="E619" s="1" t="n">
        <v>27.95</v>
      </c>
      <c r="F619" s="1" t="n">
        <v>0</v>
      </c>
      <c r="G619" s="1" t="inlineStr">
        <is>
          <t>SQM</t>
        </is>
      </c>
      <c r="H619" s="1" t="inlineStr">
        <is>
          <t>Porcelain</t>
        </is>
      </c>
      <c r="I619" s="1" t="inlineStr">
        <is>
          <t>Matt</t>
        </is>
      </c>
      <c r="J619" t="n">
        <v>27.95</v>
      </c>
      <c r="K619" t="inlineStr"/>
      <c r="L619" t="n">
        <v>27.95</v>
      </c>
    </row>
    <row r="620">
      <c r="A620" s="1">
        <f>Hyperlink("https://www.wallsandfloors.co.uk/tiveden-cherry-wood-effect-tiles","Product")</f>
        <v/>
      </c>
      <c r="B620" s="1" t="inlineStr">
        <is>
          <t>41846</t>
        </is>
      </c>
      <c r="C620" s="1" t="inlineStr">
        <is>
          <t>Tiveden Cherry Wood Effect Tiles</t>
        </is>
      </c>
      <c r="D620" s="1" t="inlineStr">
        <is>
          <t>1195x225x8.7mm</t>
        </is>
      </c>
      <c r="E620" s="1" t="n">
        <v>27.95</v>
      </c>
      <c r="F620" s="1" t="n">
        <v>0</v>
      </c>
      <c r="G620" s="1" t="inlineStr">
        <is>
          <t>SQM</t>
        </is>
      </c>
      <c r="H620" s="1" t="inlineStr">
        <is>
          <t>Porcelain</t>
        </is>
      </c>
      <c r="I620" s="1" t="inlineStr">
        <is>
          <t>Matt</t>
        </is>
      </c>
      <c r="J620" t="n">
        <v>27.95</v>
      </c>
      <c r="K620" t="inlineStr"/>
      <c r="L620" t="n">
        <v>27.95</v>
      </c>
    </row>
    <row r="621">
      <c r="A621" s="1">
        <f>Hyperlink("https://www.wallsandfloors.co.uk/tiveden-beige-wood-effect-tiles","Product")</f>
        <v/>
      </c>
      <c r="B621" s="1" t="inlineStr">
        <is>
          <t>41845</t>
        </is>
      </c>
      <c r="C621" s="1" t="inlineStr">
        <is>
          <t>Tiveden Beige Wood Effect Tiles</t>
        </is>
      </c>
      <c r="D621" s="1" t="inlineStr">
        <is>
          <t>1195x225x8.7mm</t>
        </is>
      </c>
      <c r="E621" s="1" t="n">
        <v>27.95</v>
      </c>
      <c r="F621" s="1" t="n">
        <v>0</v>
      </c>
      <c r="G621" s="1" t="inlineStr"/>
      <c r="H621" s="1" t="inlineStr">
        <is>
          <t>Porcelain</t>
        </is>
      </c>
      <c r="I621" s="1" t="inlineStr">
        <is>
          <t>Matt</t>
        </is>
      </c>
      <c r="J621" t="n">
        <v>27.95</v>
      </c>
      <c r="K621" t="n">
        <v>27.95</v>
      </c>
      <c r="L621" t="n">
        <v>27.95</v>
      </c>
    </row>
    <row r="622">
      <c r="A622" s="1">
        <f>Hyperlink("https://www.wallsandfloors.co.uk/titanium-natural-finish-tiles-tethys-skirting-tiles","Product")</f>
        <v/>
      </c>
      <c r="B622" s="1" t="inlineStr">
        <is>
          <t>13509</t>
        </is>
      </c>
      <c r="C622" s="1" t="inlineStr">
        <is>
          <t>Tethys Skirting Tiles</t>
        </is>
      </c>
      <c r="D622" s="1" t="inlineStr">
        <is>
          <t>300x80x9mm</t>
        </is>
      </c>
      <c r="E622" s="1" t="n">
        <v>6.95</v>
      </c>
      <c r="F622" s="1" t="n">
        <v>0</v>
      </c>
      <c r="G622" s="1" t="inlineStr">
        <is>
          <t>Tile</t>
        </is>
      </c>
      <c r="H622" s="1" t="inlineStr">
        <is>
          <t>Porcelain</t>
        </is>
      </c>
      <c r="I622" s="1" t="inlineStr">
        <is>
          <t>Matt</t>
        </is>
      </c>
      <c r="J622" t="inlineStr"/>
      <c r="K622" t="inlineStr"/>
      <c r="L622" t="n">
        <v>6.95</v>
      </c>
    </row>
    <row r="623">
      <c r="A623" s="1">
        <f>Hyperlink("https://www.wallsandfloors.co.uk/titanium-natural-finish-tiles-tethys-internal-angle-tiles","Product")</f>
        <v/>
      </c>
      <c r="B623" s="1" t="inlineStr">
        <is>
          <t>13539</t>
        </is>
      </c>
      <c r="C623" s="1" t="inlineStr">
        <is>
          <t>Tethys Internal Angle Tiles</t>
        </is>
      </c>
      <c r="D623" s="1" t="inlineStr">
        <is>
          <t>90x25x9mm</t>
        </is>
      </c>
      <c r="E623" s="1" t="n">
        <v>6.45</v>
      </c>
      <c r="F623" s="1" t="n">
        <v>0</v>
      </c>
      <c r="G623" s="1" t="inlineStr">
        <is>
          <t>Tile</t>
        </is>
      </c>
      <c r="H623" s="1" t="inlineStr">
        <is>
          <t>Porcelain</t>
        </is>
      </c>
      <c r="I623" s="1" t="inlineStr">
        <is>
          <t>Matt</t>
        </is>
      </c>
      <c r="J623" t="n">
        <v>6.45</v>
      </c>
      <c r="K623" t="n">
        <v>6.45</v>
      </c>
      <c r="L623" t="n">
        <v>6.45</v>
      </c>
    </row>
    <row r="624">
      <c r="A624" s="1">
        <f>Hyperlink("https://www.wallsandfloors.co.uk/titanium-natural-finish-tiles-tethys-external-angle-tiles","Product")</f>
        <v/>
      </c>
      <c r="B624" s="1" t="inlineStr">
        <is>
          <t>13537</t>
        </is>
      </c>
      <c r="C624" s="1" t="inlineStr">
        <is>
          <t>Tethys External Angle Tiles</t>
        </is>
      </c>
      <c r="D624" s="1" t="inlineStr">
        <is>
          <t>90x30x9mm</t>
        </is>
      </c>
      <c r="E624" s="1" t="n">
        <v>6.45</v>
      </c>
      <c r="F624" s="1" t="n">
        <v>0</v>
      </c>
      <c r="G624" s="1" t="inlineStr">
        <is>
          <t>Tile</t>
        </is>
      </c>
      <c r="H624" s="1" t="inlineStr">
        <is>
          <t>Porcelain</t>
        </is>
      </c>
      <c r="I624" s="1" t="inlineStr">
        <is>
          <t>Matt</t>
        </is>
      </c>
      <c r="J624" t="n">
        <v>6.45</v>
      </c>
      <c r="K624" t="n">
        <v>6.45</v>
      </c>
      <c r="L624" t="n">
        <v>6.45</v>
      </c>
    </row>
    <row r="625">
      <c r="A625" s="1">
        <f>Hyperlink("https://www.wallsandfloors.co.uk/titanium-natural-finish-tiles-tethys-cove-200-tiles","Product")</f>
        <v/>
      </c>
      <c r="B625" s="1" t="inlineStr">
        <is>
          <t>13535</t>
        </is>
      </c>
      <c r="C625" s="1" t="inlineStr">
        <is>
          <t>Tethys Cove 200 Skirting Tiles</t>
        </is>
      </c>
      <c r="D625" s="1" t="inlineStr">
        <is>
          <t>200x90x9mm</t>
        </is>
      </c>
      <c r="E625" s="1" t="n">
        <v>7.95</v>
      </c>
      <c r="F625" s="1" t="n">
        <v>0</v>
      </c>
      <c r="G625" s="1" t="inlineStr">
        <is>
          <t>Tile</t>
        </is>
      </c>
      <c r="H625" s="1" t="inlineStr">
        <is>
          <t>Porcelain</t>
        </is>
      </c>
      <c r="I625" s="1" t="inlineStr">
        <is>
          <t>Matt</t>
        </is>
      </c>
      <c r="J625" t="n">
        <v>7.95</v>
      </c>
      <c r="K625" t="inlineStr"/>
      <c r="L625" t="n">
        <v>7.95</v>
      </c>
    </row>
    <row r="626">
      <c r="A626" s="1">
        <f>Hyperlink("https://www.wallsandfloors.co.uk/titanium-natural-finish-tiles-tethys-30x30-tiles","Product")</f>
        <v/>
      </c>
      <c r="B626" s="1" t="inlineStr">
        <is>
          <t>13508</t>
        </is>
      </c>
      <c r="C626" s="1" t="inlineStr">
        <is>
          <t>Titanium Tethys Tiles</t>
        </is>
      </c>
      <c r="D626" s="1" t="inlineStr">
        <is>
          <t>300x300x9mm</t>
        </is>
      </c>
      <c r="E626" s="1" t="n">
        <v>20.95</v>
      </c>
      <c r="F626" s="1" t="n">
        <v>0</v>
      </c>
      <c r="G626" s="1" t="inlineStr">
        <is>
          <t>SQM</t>
        </is>
      </c>
      <c r="H626" s="1" t="inlineStr">
        <is>
          <t>Porcelain</t>
        </is>
      </c>
      <c r="I626" s="1" t="inlineStr">
        <is>
          <t>Matt</t>
        </is>
      </c>
      <c r="J626" t="n">
        <v>20.95</v>
      </c>
      <c r="K626" t="n">
        <v>20.95</v>
      </c>
      <c r="L626" t="n">
        <v>20.95</v>
      </c>
    </row>
    <row r="627">
      <c r="A627" s="1">
        <f>Hyperlink("https://www.wallsandfloors.co.uk/titanium-natural-finish-tiles-tethys-20x20-tiles","Product")</f>
        <v/>
      </c>
      <c r="B627" s="1" t="inlineStr">
        <is>
          <t>13507</t>
        </is>
      </c>
      <c r="C627" s="1" t="inlineStr">
        <is>
          <t>Titanium Tethys Tiles</t>
        </is>
      </c>
      <c r="D627" s="1" t="inlineStr">
        <is>
          <t>200x200x9mm</t>
        </is>
      </c>
      <c r="E627" s="1" t="n">
        <v>23.95</v>
      </c>
      <c r="F627" s="1" t="n">
        <v>0</v>
      </c>
      <c r="G627" s="1" t="inlineStr">
        <is>
          <t>SQM</t>
        </is>
      </c>
      <c r="H627" s="1" t="inlineStr">
        <is>
          <t>Porcelain</t>
        </is>
      </c>
      <c r="I627" s="1" t="inlineStr">
        <is>
          <t>Matt</t>
        </is>
      </c>
      <c r="J627" t="inlineStr"/>
      <c r="K627" t="n">
        <v>23.95</v>
      </c>
      <c r="L627" t="n">
        <v>23.95</v>
      </c>
    </row>
    <row r="628">
      <c r="A628" s="1">
        <f>Hyperlink("https://www.wallsandfloors.co.uk/titanium-natural-finish-tiles-soil-skirting-tiles","Product")</f>
        <v/>
      </c>
      <c r="B628" s="1" t="inlineStr">
        <is>
          <t>13530</t>
        </is>
      </c>
      <c r="C628" s="1" t="inlineStr">
        <is>
          <t>Soil Skirting Tiles</t>
        </is>
      </c>
      <c r="D628" s="1" t="inlineStr">
        <is>
          <t>300x80x9mm</t>
        </is>
      </c>
      <c r="E628" s="1" t="n">
        <v>6.95</v>
      </c>
      <c r="F628" s="1" t="n">
        <v>0</v>
      </c>
      <c r="G628" s="1" t="inlineStr">
        <is>
          <t>Tile</t>
        </is>
      </c>
      <c r="H628" s="1" t="inlineStr">
        <is>
          <t>Porcelain</t>
        </is>
      </c>
      <c r="I628" s="1" t="inlineStr">
        <is>
          <t>Matt</t>
        </is>
      </c>
      <c r="J628" t="n">
        <v>6.95</v>
      </c>
      <c r="K628" t="n">
        <v>6.95</v>
      </c>
      <c r="L628" t="n">
        <v>6.95</v>
      </c>
    </row>
    <row r="629">
      <c r="A629" s="1">
        <f>Hyperlink("https://www.wallsandfloors.co.uk/titanium-natural-finish-tiles-soil-30x30-tiles","Product")</f>
        <v/>
      </c>
      <c r="B629" s="1" t="inlineStr">
        <is>
          <t>13529</t>
        </is>
      </c>
      <c r="C629" s="1" t="inlineStr">
        <is>
          <t>Titanium Soil Tiles</t>
        </is>
      </c>
      <c r="D629" s="1" t="inlineStr">
        <is>
          <t>300x300x9mm</t>
        </is>
      </c>
      <c r="E629" s="1" t="n">
        <v>22.95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n">
        <v>22.95</v>
      </c>
      <c r="K629" t="n">
        <v>22.95</v>
      </c>
      <c r="L629" t="n">
        <v>22.95</v>
      </c>
    </row>
    <row r="630">
      <c r="A630" s="1">
        <f>Hyperlink("https://www.wallsandfloors.co.uk/titanium-natural-finish-tiles-night-skirting-tiles","Product")</f>
        <v/>
      </c>
      <c r="B630" s="1" t="inlineStr">
        <is>
          <t>13528</t>
        </is>
      </c>
      <c r="C630" s="1" t="inlineStr">
        <is>
          <t>Night Skirting Tiles</t>
        </is>
      </c>
      <c r="D630" s="1" t="inlineStr">
        <is>
          <t>300x80x9mm</t>
        </is>
      </c>
      <c r="E630" s="1" t="n">
        <v>6.95</v>
      </c>
      <c r="F630" s="1" t="n">
        <v>0</v>
      </c>
      <c r="G630" s="1" t="inlineStr">
        <is>
          <t>Tile</t>
        </is>
      </c>
      <c r="H630" s="1" t="inlineStr">
        <is>
          <t>Porcelain</t>
        </is>
      </c>
      <c r="I630" s="1" t="inlineStr">
        <is>
          <t>Matt</t>
        </is>
      </c>
      <c r="J630" t="n">
        <v>6.95</v>
      </c>
      <c r="K630" t="n">
        <v>6.95</v>
      </c>
      <c r="L630" t="n">
        <v>6.95</v>
      </c>
    </row>
    <row r="631">
      <c r="A631" s="1">
        <f>Hyperlink("https://www.wallsandfloors.co.uk/titanium-natural-finish-tiles-night-internal-angle-tiles","Product")</f>
        <v/>
      </c>
      <c r="B631" s="1" t="inlineStr">
        <is>
          <t>13525</t>
        </is>
      </c>
      <c r="C631" s="1" t="inlineStr">
        <is>
          <t>Night Internal Angle Tiles</t>
        </is>
      </c>
      <c r="D631" s="1" t="inlineStr">
        <is>
          <t>90x25x9mm</t>
        </is>
      </c>
      <c r="E631" s="1" t="n">
        <v>6.45</v>
      </c>
      <c r="F631" s="1" t="n">
        <v>0</v>
      </c>
      <c r="G631" s="1" t="inlineStr">
        <is>
          <t>Tile</t>
        </is>
      </c>
      <c r="H631" s="1" t="inlineStr">
        <is>
          <t>Porcelain</t>
        </is>
      </c>
      <c r="I631" s="1" t="inlineStr">
        <is>
          <t>Matt</t>
        </is>
      </c>
      <c r="J631" t="n">
        <v>6.45</v>
      </c>
      <c r="K631" t="n">
        <v>6.45</v>
      </c>
      <c r="L631" t="n">
        <v>6.45</v>
      </c>
    </row>
    <row r="632">
      <c r="A632" s="1">
        <f>Hyperlink("https://www.wallsandfloors.co.uk/tones-neutrals-tiles-mocha-tiles","Product")</f>
        <v/>
      </c>
      <c r="B632" s="1" t="inlineStr">
        <is>
          <t>11322</t>
        </is>
      </c>
      <c r="C632" s="1" t="inlineStr">
        <is>
          <t>Tones Mocha Brick Tiles</t>
        </is>
      </c>
      <c r="D632" s="1" t="inlineStr">
        <is>
          <t>400x150x10mm</t>
        </is>
      </c>
      <c r="E632" s="1" t="n">
        <v>30.95</v>
      </c>
      <c r="F632" s="1" t="n">
        <v>0</v>
      </c>
      <c r="G632" s="1" t="inlineStr">
        <is>
          <t>SQM</t>
        </is>
      </c>
      <c r="H632" s="1" t="inlineStr">
        <is>
          <t>Ceramic</t>
        </is>
      </c>
      <c r="I632" s="1" t="inlineStr">
        <is>
          <t>Matt</t>
        </is>
      </c>
      <c r="J632" t="n">
        <v>30.95</v>
      </c>
      <c r="K632" t="inlineStr"/>
      <c r="L632" t="n">
        <v>30.95</v>
      </c>
    </row>
    <row r="633">
      <c r="A633" s="1">
        <f>Hyperlink("https://www.wallsandfloors.co.uk/titanic-waves-polished-pebble-grey-60x60-tiles","Product")</f>
        <v/>
      </c>
      <c r="B633" s="1" t="inlineStr">
        <is>
          <t>39155</t>
        </is>
      </c>
      <c r="C633" s="1" t="inlineStr">
        <is>
          <t>Titanic Wave Polished Pebble Grey Tiles</t>
        </is>
      </c>
      <c r="D633" s="1" t="inlineStr">
        <is>
          <t>600x600x9mm</t>
        </is>
      </c>
      <c r="E633" s="1" t="n">
        <v>26.95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Polished</t>
        </is>
      </c>
      <c r="J633" t="n">
        <v>26.95</v>
      </c>
      <c r="K633" t="inlineStr"/>
      <c r="L633" t="n">
        <v>26.95</v>
      </c>
    </row>
    <row r="634">
      <c r="A634" s="1">
        <f>Hyperlink("https://www.wallsandfloors.co.uk/tuileries-crackle-moldura-border-tiles","Product")</f>
        <v/>
      </c>
      <c r="B634" s="1" t="inlineStr">
        <is>
          <t>13180</t>
        </is>
      </c>
      <c r="C634" s="1" t="inlineStr">
        <is>
          <t>Tuileries Crackle Cream Moldura Border Tiles</t>
        </is>
      </c>
      <c r="D634" s="1" t="inlineStr">
        <is>
          <t>150x50x7mm</t>
        </is>
      </c>
      <c r="E634" s="1" t="n">
        <v>4.95</v>
      </c>
      <c r="F634" s="1" t="n">
        <v>0</v>
      </c>
      <c r="G634" s="1" t="inlineStr">
        <is>
          <t>Tile</t>
        </is>
      </c>
      <c r="H634" s="1" t="inlineStr">
        <is>
          <t>Ceramic</t>
        </is>
      </c>
      <c r="I634" s="1" t="inlineStr">
        <is>
          <t>Gloss</t>
        </is>
      </c>
      <c r="J634" t="n">
        <v>4.95</v>
      </c>
      <c r="K634" t="n">
        <v>4.95</v>
      </c>
      <c r="L634" t="n">
        <v>4.95</v>
      </c>
    </row>
    <row r="635">
      <c r="A635" s="1">
        <f>Hyperlink("https://www.wallsandfloors.co.uk/turro-tiles-horizon-tile","Product")</f>
        <v/>
      </c>
      <c r="B635" s="1" t="inlineStr">
        <is>
          <t>12229</t>
        </is>
      </c>
      <c r="C635" s="1" t="inlineStr">
        <is>
          <t>Horizon Tile</t>
        </is>
      </c>
      <c r="D635" s="1" t="inlineStr">
        <is>
          <t>300x200x9mm</t>
        </is>
      </c>
      <c r="E635" s="1" t="n">
        <v>14.95</v>
      </c>
      <c r="F635" s="1" t="n">
        <v>0</v>
      </c>
      <c r="G635" s="1" t="inlineStr">
        <is>
          <t>SQM</t>
        </is>
      </c>
      <c r="H635" s="1" t="inlineStr">
        <is>
          <t>Ceramic</t>
        </is>
      </c>
      <c r="I635" s="1" t="inlineStr">
        <is>
          <t>Gloss</t>
        </is>
      </c>
      <c r="J635" t="n">
        <v>14.95</v>
      </c>
      <c r="K635" t="n">
        <v>14.95</v>
      </c>
      <c r="L635" t="n">
        <v>14.95</v>
      </c>
    </row>
    <row r="636">
      <c r="A636" s="1">
        <f>Hyperlink("https://www.wallsandfloors.co.uk/white-tiles-white-floor-tiles-15072","Product")</f>
        <v/>
      </c>
      <c r="B636" s="1" t="inlineStr">
        <is>
          <t>15072</t>
        </is>
      </c>
      <c r="C636" s="1" t="inlineStr">
        <is>
          <t>Matt White Floor Tiles</t>
        </is>
      </c>
      <c r="D636" s="1" t="inlineStr">
        <is>
          <t>333x333x7mm</t>
        </is>
      </c>
      <c r="E636" s="1" t="n">
        <v>13.95</v>
      </c>
      <c r="F636" s="1" t="n">
        <v>0</v>
      </c>
      <c r="G636" s="1" t="inlineStr">
        <is>
          <t>SQM</t>
        </is>
      </c>
      <c r="H636" s="1" t="inlineStr">
        <is>
          <t>Ceramic</t>
        </is>
      </c>
      <c r="I636" s="1" t="inlineStr">
        <is>
          <t>Matt</t>
        </is>
      </c>
      <c r="J636" t="n">
        <v>13.95</v>
      </c>
      <c r="K636" t="n">
        <v>13.95</v>
      </c>
      <c r="L636" t="n">
        <v>13.95</v>
      </c>
    </row>
    <row r="637">
      <c r="A637" s="1">
        <f>Hyperlink("https://www.wallsandfloors.co.uk/white-tiles-bumpy-gloss-white-tiles","Product")</f>
        <v/>
      </c>
      <c r="B637" s="1" t="inlineStr">
        <is>
          <t>1879</t>
        </is>
      </c>
      <c r="C637" s="1" t="inlineStr">
        <is>
          <t>Bumpy Gloss White Tiles</t>
        </is>
      </c>
      <c r="D637" s="1" t="inlineStr">
        <is>
          <t>150x150x5.5mm</t>
        </is>
      </c>
      <c r="E637" s="1" t="n">
        <v>14.75</v>
      </c>
      <c r="F637" s="1" t="n">
        <v>0</v>
      </c>
      <c r="G637" s="1" t="inlineStr">
        <is>
          <t>SQM</t>
        </is>
      </c>
      <c r="H637" s="1" t="inlineStr">
        <is>
          <t>Ceramic</t>
        </is>
      </c>
      <c r="I637" s="1" t="inlineStr">
        <is>
          <t>Gloss</t>
        </is>
      </c>
      <c r="J637" t="n">
        <v>14.75</v>
      </c>
      <c r="K637" t="n">
        <v>14.75</v>
      </c>
      <c r="L637" t="n">
        <v>14.75</v>
      </c>
    </row>
    <row r="638">
      <c r="A638" s="1">
        <f>Hyperlink("https://www.wallsandfloors.co.uk/white-strip-150x25mm-tiles","Product")</f>
        <v/>
      </c>
      <c r="B638" s="1" t="inlineStr">
        <is>
          <t>990259</t>
        </is>
      </c>
      <c r="C638" s="1" t="inlineStr">
        <is>
          <t>White Strip Tiles</t>
        </is>
      </c>
      <c r="D638" s="1" t="inlineStr">
        <is>
          <t>150x25x9-10mm</t>
        </is>
      </c>
      <c r="E638" s="1" t="n">
        <v>2.37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n">
        <v>2.37</v>
      </c>
      <c r="K638" t="n">
        <v>2.37</v>
      </c>
      <c r="L638" t="n">
        <v>2.37</v>
      </c>
    </row>
    <row r="639">
      <c r="A639" s="1">
        <f>Hyperlink("https://www.wallsandfloors.co.uk/white-squares-70mm-tiles","Product")</f>
        <v/>
      </c>
      <c r="B639" s="1" t="inlineStr">
        <is>
          <t>990074</t>
        </is>
      </c>
      <c r="C639" s="1" t="inlineStr">
        <is>
          <t>White Squares 70mm Tiles</t>
        </is>
      </c>
      <c r="D639" s="1" t="inlineStr">
        <is>
          <t>70x70x9-10mm</t>
        </is>
      </c>
      <c r="E639" s="1" t="n">
        <v>1.5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1.5</v>
      </c>
      <c r="K639" t="n">
        <v>1.5</v>
      </c>
      <c r="L639" t="n">
        <v>1.5</v>
      </c>
    </row>
    <row r="640">
      <c r="A640" s="1">
        <f>Hyperlink("https://www.wallsandfloors.co.uk/white-squares-50mm-tiles","Product")</f>
        <v/>
      </c>
      <c r="B640" s="1" t="inlineStr">
        <is>
          <t>990099</t>
        </is>
      </c>
      <c r="C640" s="1" t="inlineStr">
        <is>
          <t>White Squares 50mm Tiles</t>
        </is>
      </c>
      <c r="D640" s="1" t="inlineStr">
        <is>
          <t>50x50x9-10mm</t>
        </is>
      </c>
      <c r="E640" s="1" t="n">
        <v>2.95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2.95</v>
      </c>
      <c r="K640" t="n">
        <v>2.95</v>
      </c>
      <c r="L640" t="n">
        <v>2.95</v>
      </c>
    </row>
    <row r="641">
      <c r="A641" s="1">
        <f>Hyperlink("https://www.wallsandfloors.co.uk/white-squares-35mm-tiles","Product")</f>
        <v/>
      </c>
      <c r="B641" s="1" t="inlineStr">
        <is>
          <t>990124</t>
        </is>
      </c>
      <c r="C641" s="1" t="inlineStr">
        <is>
          <t>White Squares 35mm Tiles</t>
        </is>
      </c>
      <c r="D641" s="1" t="inlineStr">
        <is>
          <t>35x35x9-10mm</t>
        </is>
      </c>
      <c r="E641" s="1" t="n">
        <v>0.41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0.41</v>
      </c>
      <c r="K641" t="n">
        <v>0.41</v>
      </c>
      <c r="L641" t="n">
        <v>0.41</v>
      </c>
    </row>
    <row r="642">
      <c r="A642" s="1">
        <f>Hyperlink("https://www.wallsandfloors.co.uk/white-octagon-150mm-tiles","Product")</f>
        <v/>
      </c>
      <c r="B642" s="1" t="inlineStr">
        <is>
          <t>990136</t>
        </is>
      </c>
      <c r="C642" s="1" t="inlineStr">
        <is>
          <t>White Octagon Tiles</t>
        </is>
      </c>
      <c r="D642" s="1" t="inlineStr">
        <is>
          <t>150x150x9-10mm</t>
        </is>
      </c>
      <c r="E642" s="1" t="n">
        <v>2.21</v>
      </c>
      <c r="F642" s="1" t="n">
        <v>0</v>
      </c>
      <c r="G642" s="1" t="inlineStr">
        <is>
          <t>SQM</t>
        </is>
      </c>
      <c r="H642" s="1" t="inlineStr">
        <is>
          <t>Porcelain</t>
        </is>
      </c>
      <c r="I642" s="1" t="inlineStr">
        <is>
          <t>Matt</t>
        </is>
      </c>
      <c r="J642" t="inlineStr"/>
      <c r="K642" t="inlineStr"/>
      <c r="L642" t="n">
        <v>2.21</v>
      </c>
    </row>
    <row r="643">
      <c r="A643" s="1">
        <f>Hyperlink("https://www.wallsandfloors.co.uk/whisper-mid-grey-tiles","Product")</f>
        <v/>
      </c>
      <c r="B643" s="1" t="inlineStr">
        <is>
          <t>38432</t>
        </is>
      </c>
      <c r="C643" s="1" t="inlineStr">
        <is>
          <t>Whisper Mid Grey Tiles</t>
        </is>
      </c>
      <c r="D643" s="1" t="inlineStr">
        <is>
          <t>400x150x10mm</t>
        </is>
      </c>
      <c r="E643" s="1" t="n">
        <v>30.95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Matt</t>
        </is>
      </c>
      <c r="J643" t="n">
        <v>30.95</v>
      </c>
      <c r="K643" t="n">
        <v>30.95</v>
      </c>
      <c r="L643" t="n">
        <v>30.95</v>
      </c>
    </row>
    <row r="644">
      <c r="A644" s="1">
        <f>Hyperlink("https://www.wallsandfloors.co.uk/wenge-skirt-tiles","Product")</f>
        <v/>
      </c>
      <c r="B644" s="1" t="inlineStr">
        <is>
          <t>36821</t>
        </is>
      </c>
      <c r="C644" s="1" t="inlineStr">
        <is>
          <t>Muniellos Wenge Wood Effect Skirt Tiles</t>
        </is>
      </c>
      <c r="D644" s="1" t="inlineStr">
        <is>
          <t>450x75x10.5mm</t>
        </is>
      </c>
      <c r="E644" s="1" t="n">
        <v>7.95</v>
      </c>
      <c r="F644" s="1" t="n">
        <v>0</v>
      </c>
      <c r="G644" s="1" t="inlineStr">
        <is>
          <t>Tile</t>
        </is>
      </c>
      <c r="H644" s="1" t="inlineStr">
        <is>
          <t>Porcelain</t>
        </is>
      </c>
      <c r="I644" s="1" t="inlineStr">
        <is>
          <t>Matt</t>
        </is>
      </c>
      <c r="J644" t="n">
        <v>7.95</v>
      </c>
      <c r="K644" t="n">
        <v>7.95</v>
      </c>
      <c r="L644" t="n">
        <v>7.95</v>
      </c>
    </row>
    <row r="645">
      <c r="A645" s="1">
        <f>Hyperlink("https://www.wallsandfloors.co.uk/wenge-910x153-anti-slip-tiles","Product")</f>
        <v/>
      </c>
      <c r="B645" s="1" t="inlineStr">
        <is>
          <t>36551</t>
        </is>
      </c>
      <c r="C645" s="1" t="inlineStr">
        <is>
          <t>Muniellos Wenge Anti-Slip Wood Effect Tiles</t>
        </is>
      </c>
      <c r="D645" s="1" t="inlineStr">
        <is>
          <t>900x150x10.5mm</t>
        </is>
      </c>
      <c r="E645" s="1" t="n">
        <v>33.95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inlineStr"/>
      <c r="L645" t="n">
        <v>33.95</v>
      </c>
    </row>
    <row r="646">
      <c r="A646" s="1">
        <f>Hyperlink("https://www.wallsandfloors.co.uk/white-tiles-white-sands-60x30-tiles","Product")</f>
        <v/>
      </c>
      <c r="B646" s="1" t="inlineStr">
        <is>
          <t>14324</t>
        </is>
      </c>
      <c r="C646" s="1" t="inlineStr">
        <is>
          <t>Coast White Sands Stone Effect Tiles</t>
        </is>
      </c>
      <c r="D646" s="1" t="inlineStr">
        <is>
          <t>613x303x7mm</t>
        </is>
      </c>
      <c r="E646" s="1" t="n">
        <v>17.95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inlineStr"/>
      <c r="K646" t="n">
        <v>17.95</v>
      </c>
      <c r="L646" t="n">
        <v>17.95</v>
      </c>
    </row>
    <row r="647">
      <c r="A647" s="1">
        <f>Hyperlink("https://www.wallsandfloors.co.uk/wayland-rustic-stain-mix-tiles","Product")</f>
        <v/>
      </c>
      <c r="B647" s="1" t="inlineStr">
        <is>
          <t>40104</t>
        </is>
      </c>
      <c r="C647" s="1" t="inlineStr">
        <is>
          <t>Wayland Rustic Stain Mix Tiles</t>
        </is>
      </c>
      <c r="D647" s="1" t="inlineStr">
        <is>
          <t>900x150x9mm</t>
        </is>
      </c>
      <c r="E647" s="1" t="n">
        <v>18.95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n">
        <v>18.95</v>
      </c>
      <c r="K647" t="n">
        <v>18.95</v>
      </c>
      <c r="L647" t="n">
        <v>18.95</v>
      </c>
    </row>
    <row r="648">
      <c r="A648" s="1">
        <f>Hyperlink("https://www.wallsandfloors.co.uk/wayland-ash-stain-mix-tiles","Product")</f>
        <v/>
      </c>
      <c r="B648" s="1" t="inlineStr">
        <is>
          <t>40103</t>
        </is>
      </c>
      <c r="C648" s="1" t="inlineStr">
        <is>
          <t>Wayland Ash Stain Mix Tiles</t>
        </is>
      </c>
      <c r="D648" s="1" t="inlineStr">
        <is>
          <t>900x150x9mm</t>
        </is>
      </c>
      <c r="E648" s="1" t="n">
        <v>18.95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18.95</v>
      </c>
      <c r="K648" t="inlineStr"/>
      <c r="L648" t="n">
        <v>18.95</v>
      </c>
    </row>
    <row r="649">
      <c r="A649" s="1">
        <f>Hyperlink("https://www.wallsandfloors.co.uk/waterfall-tiles-marron-tiles","Product")</f>
        <v/>
      </c>
      <c r="B649" s="1" t="inlineStr">
        <is>
          <t>13249</t>
        </is>
      </c>
      <c r="C649" s="1" t="inlineStr">
        <is>
          <t>Waterfall Textured Marron Split Face Tiles</t>
        </is>
      </c>
      <c r="D649" s="1" t="inlineStr">
        <is>
          <t>560x310x10mm</t>
        </is>
      </c>
      <c r="E649" s="1" t="n">
        <v>29.95</v>
      </c>
      <c r="F649" s="1" t="n">
        <v>0</v>
      </c>
      <c r="G649" s="1" t="inlineStr">
        <is>
          <t>SQM</t>
        </is>
      </c>
      <c r="H649" s="1" t="inlineStr">
        <is>
          <t>Porcelain</t>
        </is>
      </c>
      <c r="I649" s="1" t="inlineStr">
        <is>
          <t>Matt</t>
        </is>
      </c>
      <c r="J649" t="n">
        <v>29.95</v>
      </c>
      <c r="K649" t="n">
        <v>29.95</v>
      </c>
      <c r="L649" t="n">
        <v>29.95</v>
      </c>
    </row>
    <row r="650">
      <c r="A650" s="1">
        <f>Hyperlink("https://www.wallsandfloors.co.uk/waterfall-tiles-ivory-tiles","Product")</f>
        <v/>
      </c>
      <c r="B650" s="1" t="inlineStr">
        <is>
          <t>13248</t>
        </is>
      </c>
      <c r="C650" s="1" t="inlineStr">
        <is>
          <t>Waterfall Textured Ivory Split Face Tiles</t>
        </is>
      </c>
      <c r="D650" s="1" t="inlineStr">
        <is>
          <t>560x310x10mm</t>
        </is>
      </c>
      <c r="E650" s="1" t="n">
        <v>29.95</v>
      </c>
      <c r="F650" s="1" t="n">
        <v>0</v>
      </c>
      <c r="G650" s="1" t="inlineStr">
        <is>
          <t>SQM</t>
        </is>
      </c>
      <c r="H650" s="1" t="inlineStr">
        <is>
          <t>Porcelain</t>
        </is>
      </c>
      <c r="I650" s="1" t="inlineStr">
        <is>
          <t>Matt</t>
        </is>
      </c>
      <c r="J650" t="n">
        <v>29.95</v>
      </c>
      <c r="K650" t="n">
        <v>29.95</v>
      </c>
      <c r="L650" t="n">
        <v>29.95</v>
      </c>
    </row>
    <row r="651">
      <c r="A651" s="1">
        <f>Hyperlink("https://www.wallsandfloors.co.uk/waterfall-tiles-black-tiles","Product")</f>
        <v/>
      </c>
      <c r="B651" s="1" t="inlineStr">
        <is>
          <t>13897</t>
        </is>
      </c>
      <c r="C651" s="1" t="inlineStr">
        <is>
          <t>Waterfall Textured Black Split Face Tiles</t>
        </is>
      </c>
      <c r="D651" s="1" t="inlineStr">
        <is>
          <t>560x310x10mm</t>
        </is>
      </c>
      <c r="E651" s="1" t="n">
        <v>29.95</v>
      </c>
      <c r="F651" s="1" t="n">
        <v>0</v>
      </c>
      <c r="G651" s="1" t="inlineStr">
        <is>
          <t>SQM</t>
        </is>
      </c>
      <c r="H651" s="1" t="inlineStr">
        <is>
          <t>Porcelain</t>
        </is>
      </c>
      <c r="I651" s="1" t="inlineStr">
        <is>
          <t>Matt</t>
        </is>
      </c>
      <c r="J651" t="inlineStr"/>
      <c r="K651" t="n">
        <v>29.95</v>
      </c>
      <c r="L651" t="n">
        <v>29.95</v>
      </c>
    </row>
    <row r="652">
      <c r="A652" s="1">
        <f>Hyperlink("https://www.wallsandfloors.co.uk/waterfall-tiles-beige-tiles","Product")</f>
        <v/>
      </c>
      <c r="B652" s="1" t="inlineStr">
        <is>
          <t>13250</t>
        </is>
      </c>
      <c r="C652" s="1" t="inlineStr">
        <is>
          <t>Waterfall Textured Beige Split Face Tiles</t>
        </is>
      </c>
      <c r="D652" s="1" t="inlineStr">
        <is>
          <t>560x310x10mm</t>
        </is>
      </c>
      <c r="E652" s="1" t="n">
        <v>29.95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Matt</t>
        </is>
      </c>
      <c r="J652" t="n">
        <v>29.95</v>
      </c>
      <c r="K652" t="n">
        <v>29.95</v>
      </c>
      <c r="L652" t="n">
        <v>29.95</v>
      </c>
    </row>
    <row r="653">
      <c r="A653" s="1">
        <f>Hyperlink("https://www.wallsandfloors.co.uk/voronoi-marble-effect-hexagon-tiles-anais-white-hexagon-tiles","Product")</f>
        <v/>
      </c>
      <c r="B653" s="1" t="inlineStr">
        <is>
          <t>15201</t>
        </is>
      </c>
      <c r="C653" s="1" t="inlineStr">
        <is>
          <t>Voronoi White Marble Effect Hexagon Tiles</t>
        </is>
      </c>
      <c r="D653" s="1" t="inlineStr">
        <is>
          <t>330x285x9mm</t>
        </is>
      </c>
      <c r="E653" s="1" t="n">
        <v>33.95</v>
      </c>
      <c r="F653" s="1" t="n">
        <v>0</v>
      </c>
      <c r="G653" s="1" t="inlineStr"/>
      <c r="H653" s="1" t="inlineStr">
        <is>
          <t>Porcelain</t>
        </is>
      </c>
      <c r="I653" s="1" t="inlineStr">
        <is>
          <t>Satin</t>
        </is>
      </c>
      <c r="J653" t="n">
        <v>33.95</v>
      </c>
      <c r="K653" t="inlineStr"/>
      <c r="L653" t="n">
        <v>33.95</v>
      </c>
    </row>
    <row r="654">
      <c r="A654" s="1">
        <f>Hyperlink("https://www.wallsandfloors.co.uk/voronoi-marble-effect-hexagon-tiles-anais-white-hexagon-decor-tiles","Product")</f>
        <v/>
      </c>
      <c r="B654" s="1" t="inlineStr">
        <is>
          <t>15202</t>
        </is>
      </c>
      <c r="C654" s="1" t="inlineStr">
        <is>
          <t>Voronoi White Hexagon Decor Tiles</t>
        </is>
      </c>
      <c r="D654" s="1" t="inlineStr">
        <is>
          <t>330x285x9mm</t>
        </is>
      </c>
      <c r="E654" s="1" t="n">
        <v>37.95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Satin</t>
        </is>
      </c>
      <c r="J654" t="n">
        <v>37.95</v>
      </c>
      <c r="K654" t="n">
        <v>37.95</v>
      </c>
      <c r="L654" t="n">
        <v>37.95</v>
      </c>
    </row>
    <row r="655">
      <c r="A655" s="1">
        <f>Hyperlink("https://www.wallsandfloors.co.uk/vintage-wood-tiles-rovere-floor-tiles","Product")</f>
        <v/>
      </c>
      <c r="B655" s="1" t="inlineStr">
        <is>
          <t>12026</t>
        </is>
      </c>
      <c r="C655" s="1" t="inlineStr">
        <is>
          <t>Vintage Wood Rovere Floor Tiles</t>
        </is>
      </c>
      <c r="D655" s="1" t="inlineStr">
        <is>
          <t>478x478x8mm</t>
        </is>
      </c>
      <c r="E655" s="1" t="n">
        <v>49.95</v>
      </c>
      <c r="F655" s="1" t="n">
        <v>0</v>
      </c>
      <c r="G655" s="1" t="inlineStr">
        <is>
          <t>SQM</t>
        </is>
      </c>
      <c r="H655" s="1" t="inlineStr">
        <is>
          <t>Porcelain</t>
        </is>
      </c>
      <c r="I655" s="1" t="inlineStr">
        <is>
          <t>Matt</t>
        </is>
      </c>
      <c r="J655" t="inlineStr"/>
      <c r="K655" t="n">
        <v>49.95</v>
      </c>
      <c r="L655" t="n">
        <v>49.95</v>
      </c>
    </row>
    <row r="656">
      <c r="A656" s="1">
        <f>Hyperlink("https://www.wallsandfloors.co.uk/vintage-wood-tiles-larice-floor-tiles","Product")</f>
        <v/>
      </c>
      <c r="B656" s="1" t="inlineStr">
        <is>
          <t>12025</t>
        </is>
      </c>
      <c r="C656" s="1" t="inlineStr">
        <is>
          <t>Vintage Wood Larice Floor Tiles</t>
        </is>
      </c>
      <c r="D656" s="1" t="inlineStr">
        <is>
          <t>478x478x8mm</t>
        </is>
      </c>
      <c r="E656" s="1" t="n">
        <v>49.95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49.95</v>
      </c>
      <c r="K656" t="n">
        <v>49.95</v>
      </c>
      <c r="L656" t="n">
        <v>49.95</v>
      </c>
    </row>
    <row r="657">
      <c r="A657" s="1">
        <f>Hyperlink("https://www.wallsandfloors.co.uk/vintage-wood-tiles-abete-floor-tiles","Product")</f>
        <v/>
      </c>
      <c r="B657" s="1" t="inlineStr">
        <is>
          <t>12024</t>
        </is>
      </c>
      <c r="C657" s="1" t="inlineStr">
        <is>
          <t>Vintage Wood Abete Floor Tiles</t>
        </is>
      </c>
      <c r="D657" s="1" t="inlineStr">
        <is>
          <t>478x478x8mm</t>
        </is>
      </c>
      <c r="E657" s="1" t="n">
        <v>49.95</v>
      </c>
      <c r="F657" s="1" t="n">
        <v>0</v>
      </c>
      <c r="G657" s="1" t="inlineStr">
        <is>
          <t>SQM</t>
        </is>
      </c>
      <c r="H657" s="1" t="inlineStr">
        <is>
          <t>Porcelain</t>
        </is>
      </c>
      <c r="I657" s="1" t="inlineStr">
        <is>
          <t>Matt</t>
        </is>
      </c>
      <c r="J657" t="inlineStr"/>
      <c r="K657" t="inlineStr"/>
      <c r="L657" t="n">
        <v>49.95</v>
      </c>
    </row>
    <row r="658">
      <c r="A658" s="1">
        <f>Hyperlink("https://www.wallsandfloors.co.uk/wayland-mochal-stain-mix-tiles","Product")</f>
        <v/>
      </c>
      <c r="B658" s="1" t="inlineStr">
        <is>
          <t>39112</t>
        </is>
      </c>
      <c r="C658" s="1" t="inlineStr">
        <is>
          <t>Wayland Mochal Stain Mix Tiles</t>
        </is>
      </c>
      <c r="D658" s="1" t="inlineStr">
        <is>
          <t>900x150x9mm</t>
        </is>
      </c>
      <c r="E658" s="1" t="n">
        <v>25.95</v>
      </c>
      <c r="F658" s="1" t="n">
        <v>0</v>
      </c>
      <c r="G658" s="1" t="inlineStr">
        <is>
          <t>SQM</t>
        </is>
      </c>
      <c r="H658" s="1" t="inlineStr">
        <is>
          <t>Porcelain</t>
        </is>
      </c>
      <c r="I658" s="1" t="inlineStr">
        <is>
          <t>Matt</t>
        </is>
      </c>
      <c r="J658" t="inlineStr"/>
      <c r="K658" t="n">
        <v>25.95</v>
      </c>
      <c r="L658" t="n">
        <v>25.95</v>
      </c>
    </row>
    <row r="659">
      <c r="A659" s="1">
        <f>Hyperlink("https://www.wallsandfloors.co.uk/white-tiles-white-wall-tiles","Product")</f>
        <v/>
      </c>
      <c r="B659" s="1" t="inlineStr">
        <is>
          <t>2060</t>
        </is>
      </c>
      <c r="C659" s="1" t="inlineStr">
        <is>
          <t>White Wall Tiles</t>
        </is>
      </c>
      <c r="D659" s="1" t="inlineStr">
        <is>
          <t>300x200x7mm</t>
        </is>
      </c>
      <c r="E659" s="1" t="n">
        <v>31.25</v>
      </c>
      <c r="F659" s="1" t="n">
        <v>0</v>
      </c>
      <c r="G659" s="1" t="inlineStr">
        <is>
          <t>SQM</t>
        </is>
      </c>
      <c r="H659" s="1" t="inlineStr">
        <is>
          <t>Ceramic</t>
        </is>
      </c>
      <c r="I659" s="1" t="inlineStr">
        <is>
          <t>Gloss</t>
        </is>
      </c>
      <c r="J659" t="n">
        <v>31.25</v>
      </c>
      <c r="K659" t="n">
        <v>31.25</v>
      </c>
      <c r="L659" t="n">
        <v>31.25</v>
      </c>
    </row>
    <row r="660">
      <c r="A660" s="1">
        <f>Hyperlink("https://www.wallsandfloors.co.uk/white-triangle-70x70x100mm","Product")</f>
        <v/>
      </c>
      <c r="B660" s="1" t="inlineStr">
        <is>
          <t>990209</t>
        </is>
      </c>
      <c r="C660" s="1" t="inlineStr">
        <is>
          <t>White Triangle 70x70x100mm Tiles</t>
        </is>
      </c>
      <c r="D660" s="1" t="inlineStr">
        <is>
          <t>70x70x100mm</t>
        </is>
      </c>
      <c r="E660" s="1" t="n">
        <v>1.63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1.63</v>
      </c>
      <c r="K660" t="n">
        <v>1.63</v>
      </c>
      <c r="L660" t="n">
        <v>1.63</v>
      </c>
    </row>
    <row r="661">
      <c r="A661" s="1">
        <f>Hyperlink("https://www.wallsandfloors.co.uk/woodford-dado-strip-tiles-burgundy-dado-tiles","Product")</f>
        <v/>
      </c>
      <c r="B661" s="1" t="inlineStr">
        <is>
          <t>12423</t>
        </is>
      </c>
      <c r="C661" s="1" t="inlineStr">
        <is>
          <t>Woodford Burgundy Dado Border Tiles</t>
        </is>
      </c>
      <c r="D661" s="1" t="inlineStr">
        <is>
          <t>200x50x5mm</t>
        </is>
      </c>
      <c r="E661" s="1" t="n">
        <v>3.95</v>
      </c>
      <c r="F661" s="1" t="n">
        <v>0</v>
      </c>
      <c r="G661" s="1" t="inlineStr">
        <is>
          <t>SQM</t>
        </is>
      </c>
      <c r="H661" s="1" t="inlineStr">
        <is>
          <t>Ceramic</t>
        </is>
      </c>
      <c r="I661" s="1" t="inlineStr">
        <is>
          <t>Gloss</t>
        </is>
      </c>
      <c r="J661" t="n">
        <v>3.95</v>
      </c>
      <c r="K661" t="n">
        <v>3.95</v>
      </c>
      <c r="L661" t="n">
        <v>3.95</v>
      </c>
    </row>
    <row r="662">
      <c r="A662" s="1">
        <f>Hyperlink("https://www.wallsandfloors.co.uk/zoetic-marble-effect-tiles-anais-blanco-marble-effect-wall-tiles","Product")</f>
        <v/>
      </c>
      <c r="B662" s="1" t="inlineStr">
        <is>
          <t>14768</t>
        </is>
      </c>
      <c r="C662" s="1" t="inlineStr">
        <is>
          <t>Anais Blanco Marble Effect Wall Tiles</t>
        </is>
      </c>
      <c r="D662" s="1" t="inlineStr">
        <is>
          <t>550x333x8mm</t>
        </is>
      </c>
      <c r="E662" s="1" t="n">
        <v>16.95</v>
      </c>
      <c r="F662" s="1" t="n">
        <v>0</v>
      </c>
      <c r="G662" s="1" t="inlineStr">
        <is>
          <t>SQM</t>
        </is>
      </c>
      <c r="H662" s="1" t="inlineStr">
        <is>
          <t>Ceramic</t>
        </is>
      </c>
      <c r="I662" s="1" t="inlineStr">
        <is>
          <t>Gloss</t>
        </is>
      </c>
      <c r="J662" t="n">
        <v>16.95</v>
      </c>
      <c r="K662" t="n">
        <v>16.95</v>
      </c>
      <c r="L662" t="n">
        <v>16.95</v>
      </c>
    </row>
    <row r="663">
      <c r="A663" s="1">
        <f>Hyperlink("https://www.wallsandfloors.co.uk/zermatt-steel-tiles","Product")</f>
        <v/>
      </c>
      <c r="B663" s="1" t="inlineStr">
        <is>
          <t>44498</t>
        </is>
      </c>
      <c r="C663" s="1" t="inlineStr">
        <is>
          <t>Zermatt Steel Tiles</t>
        </is>
      </c>
      <c r="D663" s="1" t="inlineStr">
        <is>
          <t>800x800x9.5mm</t>
        </is>
      </c>
      <c r="E663" s="1" t="n">
        <v>27.95</v>
      </c>
      <c r="F663" s="1" t="n">
        <v>0</v>
      </c>
      <c r="G663" s="1" t="inlineStr"/>
      <c r="H663" s="1" t="inlineStr">
        <is>
          <t>Porcelain</t>
        </is>
      </c>
      <c r="I663" s="1" t="inlineStr">
        <is>
          <t>Matt</t>
        </is>
      </c>
      <c r="J663" t="inlineStr"/>
      <c r="K663" t="n">
        <v>27.95</v>
      </c>
      <c r="L663" t="n">
        <v>27.95</v>
      </c>
    </row>
    <row r="664">
      <c r="A664" s="1">
        <f>Hyperlink("https://www.wallsandfloors.co.uk/zermatt-natural-tiles","Product")</f>
        <v/>
      </c>
      <c r="B664" s="1" t="inlineStr">
        <is>
          <t>44497</t>
        </is>
      </c>
      <c r="C664" s="1" t="inlineStr">
        <is>
          <t>Zermatt Natural Tiles</t>
        </is>
      </c>
      <c r="D664" s="1" t="inlineStr">
        <is>
          <t>800x800x9.5mm</t>
        </is>
      </c>
      <c r="E664" s="1" t="n">
        <v>27.95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27.95</v>
      </c>
      <c r="K664" t="n">
        <v>27.95</v>
      </c>
      <c r="L664" t="n">
        <v>27.95</v>
      </c>
    </row>
    <row r="665">
      <c r="A665" s="1">
        <f>Hyperlink("https://www.wallsandfloors.co.uk/zellij-tiles-patchwork-effect-tiles","Product")</f>
        <v/>
      </c>
      <c r="B665" s="1" t="inlineStr">
        <is>
          <t>12371</t>
        </is>
      </c>
      <c r="C665" s="1" t="inlineStr">
        <is>
          <t>Zellij Patchwork Effect Pattern Tiles</t>
        </is>
      </c>
      <c r="D665" s="1" t="inlineStr">
        <is>
          <t>442x442x10mm</t>
        </is>
      </c>
      <c r="E665" s="1" t="n">
        <v>30.95</v>
      </c>
      <c r="F665" s="1" t="n">
        <v>0</v>
      </c>
      <c r="G665" s="1" t="inlineStr">
        <is>
          <t>SQM</t>
        </is>
      </c>
      <c r="H665" s="1" t="inlineStr">
        <is>
          <t>Porcelain</t>
        </is>
      </c>
      <c r="I665" s="1" t="inlineStr">
        <is>
          <t>Matt</t>
        </is>
      </c>
      <c r="J665" t="n">
        <v>30.95</v>
      </c>
      <c r="K665" t="n">
        <v>30.95</v>
      </c>
      <c r="L665" t="n">
        <v>30.95</v>
      </c>
    </row>
    <row r="666">
      <c r="A666" s="1">
        <f>Hyperlink("https://www.wallsandfloors.co.uk/zeinah-tiles-louane-tiles","Product")</f>
        <v/>
      </c>
      <c r="B666" s="1" t="inlineStr">
        <is>
          <t>12943</t>
        </is>
      </c>
      <c r="C666" s="1" t="inlineStr">
        <is>
          <t>Zeinah Louane Patchwork Pattern Tiles</t>
        </is>
      </c>
      <c r="D666" s="1" t="inlineStr">
        <is>
          <t>600x600x10.5mm</t>
        </is>
      </c>
      <c r="E666" s="1" t="n">
        <v>33.95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n">
        <v>33.95</v>
      </c>
      <c r="K666" t="n">
        <v>33.95</v>
      </c>
      <c r="L666" t="n">
        <v>33.95</v>
      </c>
    </row>
    <row r="667">
      <c r="A667" s="1">
        <f>Hyperlink("https://www.wallsandfloors.co.uk/zeinah-tiles-galena-tiles-12942","Product")</f>
        <v/>
      </c>
      <c r="B667" s="1" t="inlineStr">
        <is>
          <t>12942</t>
        </is>
      </c>
      <c r="C667" s="1" t="inlineStr">
        <is>
          <t>Zeinah Galena Patchwork Pattern Tiles</t>
        </is>
      </c>
      <c r="D667" s="1" t="inlineStr">
        <is>
          <t>600x600x10.5mm</t>
        </is>
      </c>
      <c r="E667" s="1" t="n">
        <v>33.95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33.95</v>
      </c>
      <c r="K667" t="n">
        <v>33.95</v>
      </c>
      <c r="L667" t="n">
        <v>33.95</v>
      </c>
    </row>
    <row r="668">
      <c r="A668" s="1">
        <f>Hyperlink("https://www.wallsandfloors.co.uk/zebra-porcelain-tiles-matt-pure-white-tile","Product")</f>
        <v/>
      </c>
      <c r="B668" s="1" t="inlineStr">
        <is>
          <t>14456</t>
        </is>
      </c>
      <c r="C668" s="1" t="inlineStr">
        <is>
          <t>Matt Pure White Tile</t>
        </is>
      </c>
      <c r="D668" s="1" t="inlineStr">
        <is>
          <t>456x456x7mm</t>
        </is>
      </c>
      <c r="E668" s="1" t="n">
        <v>27.95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inlineStr"/>
      <c r="K668" t="n">
        <v>27.95</v>
      </c>
      <c r="L668" t="n">
        <v>27.95</v>
      </c>
    </row>
    <row r="669">
      <c r="A669" s="1">
        <f>Hyperlink("https://www.wallsandfloors.co.uk/zebra-porcelain-tiles-matt-ebony-black-tile","Product")</f>
        <v/>
      </c>
      <c r="B669" s="1" t="inlineStr">
        <is>
          <t>14454</t>
        </is>
      </c>
      <c r="C669" s="1" t="inlineStr">
        <is>
          <t>Zebra Matt Ebony Matt Black Tiles</t>
        </is>
      </c>
      <c r="D669" s="1" t="inlineStr">
        <is>
          <t>456x456x7mm</t>
        </is>
      </c>
      <c r="E669" s="1" t="n">
        <v>27.95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n">
        <v>27.95</v>
      </c>
      <c r="K669" t="inlineStr"/>
      <c r="L669" t="n">
        <v>27.95</v>
      </c>
    </row>
    <row r="670">
      <c r="A670" s="1">
        <f>Hyperlink("https://www.wallsandfloors.co.uk/zebra-porcelain-tiles-high-gloss-pure-white-tile","Product")</f>
        <v/>
      </c>
      <c r="B670" s="1" t="inlineStr">
        <is>
          <t>14455</t>
        </is>
      </c>
      <c r="C670" s="1" t="inlineStr">
        <is>
          <t>High Gloss Pure Ultra White Tiles</t>
        </is>
      </c>
      <c r="D670" s="1" t="inlineStr">
        <is>
          <t>452x452x7mm</t>
        </is>
      </c>
      <c r="E670" s="1" t="n">
        <v>27.95</v>
      </c>
      <c r="F670" s="1" t="n">
        <v>0</v>
      </c>
      <c r="G670" s="1" t="inlineStr">
        <is>
          <t>SQM</t>
        </is>
      </c>
      <c r="H670" s="1" t="inlineStr">
        <is>
          <t>Porcelain</t>
        </is>
      </c>
      <c r="I670" s="1" t="inlineStr">
        <is>
          <t>Gloss</t>
        </is>
      </c>
      <c r="J670" t="n">
        <v>27.95</v>
      </c>
      <c r="K670" t="n">
        <v>27.95</v>
      </c>
      <c r="L670" t="n">
        <v>27.95</v>
      </c>
    </row>
    <row r="671">
      <c r="A671" s="1">
        <f>Hyperlink("https://www.wallsandfloors.co.uk/zealous-splitface-tiles-white-sparkle-split-face-effect-tiles","Product")</f>
        <v/>
      </c>
      <c r="B671" s="1" t="inlineStr">
        <is>
          <t>15620</t>
        </is>
      </c>
      <c r="C671" s="1" t="inlineStr">
        <is>
          <t>White Split Face Effect Tiles</t>
        </is>
      </c>
      <c r="D671" s="1" t="inlineStr">
        <is>
          <t>500x165x8mm</t>
        </is>
      </c>
      <c r="E671" s="1" t="n">
        <v>27.95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27.95</v>
      </c>
      <c r="K671" t="n">
        <v>27.95</v>
      </c>
      <c r="L671" t="n">
        <v>27.95</v>
      </c>
    </row>
    <row r="672">
      <c r="A672" s="1">
        <f>Hyperlink("https://www.wallsandfloors.co.uk/zealous-splitface-tiles-black-sparkle-split-face-effect-tiles","Product")</f>
        <v/>
      </c>
      <c r="B672" s="1" t="inlineStr">
        <is>
          <t>15621</t>
        </is>
      </c>
      <c r="C672" s="1" t="inlineStr">
        <is>
          <t>Black Sparkle Split Face Effect Tiles</t>
        </is>
      </c>
      <c r="D672" s="1" t="inlineStr">
        <is>
          <t>500x165x8mm</t>
        </is>
      </c>
      <c r="E672" s="1" t="n">
        <v>27.95</v>
      </c>
      <c r="F672" s="1" t="n">
        <v>0</v>
      </c>
      <c r="G672" s="1" t="inlineStr">
        <is>
          <t>SQM</t>
        </is>
      </c>
      <c r="H672" s="1" t="inlineStr">
        <is>
          <t>Porcelain</t>
        </is>
      </c>
      <c r="I672" s="1" t="inlineStr">
        <is>
          <t>Matt</t>
        </is>
      </c>
      <c r="J672" t="inlineStr"/>
      <c r="K672" t="inlineStr"/>
      <c r="L672" t="n">
        <v>27.95</v>
      </c>
    </row>
    <row r="673">
      <c r="A673" s="1">
        <f>Hyperlink("https://www.wallsandfloors.co.uk/yellow-triangle-70x70x100mm-tiles","Product")</f>
        <v/>
      </c>
      <c r="B673" s="1" t="inlineStr">
        <is>
          <t>990210</t>
        </is>
      </c>
      <c r="C673" s="1" t="inlineStr">
        <is>
          <t>Yellow Triangle 70x70x100mm Tiles</t>
        </is>
      </c>
      <c r="D673" s="1" t="inlineStr">
        <is>
          <t>70x70x100mm</t>
        </is>
      </c>
      <c r="E673" s="1" t="n">
        <v>3.38</v>
      </c>
      <c r="F673" s="1" t="n">
        <v>0</v>
      </c>
      <c r="G673" s="1" t="inlineStr">
        <is>
          <t>SQM</t>
        </is>
      </c>
      <c r="H673" s="1" t="inlineStr">
        <is>
          <t>Porcelain</t>
        </is>
      </c>
      <c r="I673" s="1" t="inlineStr">
        <is>
          <t>Matt</t>
        </is>
      </c>
      <c r="J673" t="inlineStr"/>
      <c r="K673" t="n">
        <v>3.38</v>
      </c>
      <c r="L673" t="n">
        <v>3.38</v>
      </c>
    </row>
    <row r="674">
      <c r="A674" s="1">
        <f>Hyperlink("https://www.wallsandfloors.co.uk/yellow-triangle-50x50x70mm-tiles","Product")</f>
        <v/>
      </c>
      <c r="B674" s="1" t="inlineStr">
        <is>
          <t>990185</t>
        </is>
      </c>
      <c r="C674" s="1" t="inlineStr">
        <is>
          <t>Yellow Triangle Tiles</t>
        </is>
      </c>
      <c r="D674" s="1" t="inlineStr">
        <is>
          <t>50x50x70mm</t>
        </is>
      </c>
      <c r="E674" s="1" t="n">
        <v>2.03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Matt</t>
        </is>
      </c>
      <c r="J674" t="n">
        <v>2.03</v>
      </c>
      <c r="K674" t="n">
        <v>2.03</v>
      </c>
      <c r="L674" t="n">
        <v>2.03</v>
      </c>
    </row>
    <row r="675">
      <c r="A675" s="1">
        <f>Hyperlink("https://www.wallsandfloors.co.uk/yellow-squares-50mm-tiles","Product")</f>
        <v/>
      </c>
      <c r="B675" s="1" t="inlineStr">
        <is>
          <t>990100</t>
        </is>
      </c>
      <c r="C675" s="1" t="inlineStr">
        <is>
          <t>Yellow Squares 50mm Tiles</t>
        </is>
      </c>
      <c r="D675" s="1" t="inlineStr">
        <is>
          <t>50x50x9-10mm</t>
        </is>
      </c>
      <c r="E675" s="1" t="n">
        <v>0.67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Matt</t>
        </is>
      </c>
      <c r="J675" t="n">
        <v>0.67</v>
      </c>
      <c r="K675" t="inlineStr"/>
      <c r="L675" t="n">
        <v>0.67</v>
      </c>
    </row>
    <row r="676">
      <c r="A676" s="1">
        <f>Hyperlink("https://www.wallsandfloors.co.uk/woven-wood-tiles","Product")</f>
        <v/>
      </c>
      <c r="B676" s="1" t="inlineStr">
        <is>
          <t>41711</t>
        </is>
      </c>
      <c r="C676" s="1" t="inlineStr">
        <is>
          <t>Woven Wood Tiles</t>
        </is>
      </c>
      <c r="D676" s="1" t="inlineStr">
        <is>
          <t>480x480x10mm</t>
        </is>
      </c>
      <c r="E676" s="1" t="n">
        <v>40.95</v>
      </c>
      <c r="F676" s="1" t="n">
        <v>0</v>
      </c>
      <c r="G676" s="1" t="inlineStr">
        <is>
          <t>SQM</t>
        </is>
      </c>
      <c r="H676" s="1" t="inlineStr">
        <is>
          <t>Porcelain</t>
        </is>
      </c>
      <c r="I676" s="1" t="inlineStr">
        <is>
          <t>Matt</t>
        </is>
      </c>
      <c r="J676" t="n">
        <v>40.95</v>
      </c>
      <c r="K676" t="n">
        <v>40.95</v>
      </c>
      <c r="L676" t="n">
        <v>40.95</v>
      </c>
    </row>
    <row r="677">
      <c r="A677" s="1">
        <f>Hyperlink("https://www.wallsandfloors.co.uk/woven-snow-tiles","Product")</f>
        <v/>
      </c>
      <c r="B677" s="1" t="inlineStr">
        <is>
          <t>41548</t>
        </is>
      </c>
      <c r="C677" s="1" t="inlineStr">
        <is>
          <t>Woven Snow Tiles</t>
        </is>
      </c>
      <c r="D677" s="1" t="inlineStr">
        <is>
          <t>480x480x10mm</t>
        </is>
      </c>
      <c r="E677" s="1" t="n">
        <v>40.95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n">
        <v>40.95</v>
      </c>
      <c r="K677" t="n">
        <v>40.95</v>
      </c>
      <c r="L677" t="n">
        <v>40.95</v>
      </c>
    </row>
    <row r="678">
      <c r="A678" s="1">
        <f>Hyperlink("https://www.wallsandfloors.co.uk/woven-smoke-tiles","Product")</f>
        <v/>
      </c>
      <c r="B678" s="1" t="inlineStr">
        <is>
          <t>41710</t>
        </is>
      </c>
      <c r="C678" s="1" t="inlineStr">
        <is>
          <t>Woven Smoke Tiles</t>
        </is>
      </c>
      <c r="D678" s="1" t="inlineStr">
        <is>
          <t>480x480x10mm</t>
        </is>
      </c>
      <c r="E678" s="1" t="n">
        <v>40.95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Matt</t>
        </is>
      </c>
      <c r="J678" t="inlineStr"/>
      <c r="K678" t="n">
        <v>40.95</v>
      </c>
      <c r="L678" t="n">
        <v>40.95</v>
      </c>
    </row>
    <row r="679">
      <c r="A679" s="1">
        <f>Hyperlink("https://www.wallsandfloors.co.uk/woven-skirting-wood-tiles-49789","Product")</f>
        <v/>
      </c>
      <c r="B679" s="1" t="inlineStr">
        <is>
          <t>42713</t>
        </is>
      </c>
      <c r="C679" s="1" t="inlineStr">
        <is>
          <t>Woven Skirting Wood Tiles</t>
        </is>
      </c>
      <c r="D679" s="1" t="inlineStr">
        <is>
          <t>480x78x10mm</t>
        </is>
      </c>
      <c r="E679" s="1" t="n">
        <v>7.95</v>
      </c>
      <c r="F679" s="1" t="n">
        <v>0</v>
      </c>
      <c r="G679" s="1" t="inlineStr">
        <is>
          <t>Tile</t>
        </is>
      </c>
      <c r="H679" s="1" t="inlineStr">
        <is>
          <t>Porcelain</t>
        </is>
      </c>
      <c r="I679" s="1" t="inlineStr">
        <is>
          <t>Matt</t>
        </is>
      </c>
      <c r="J679" t="inlineStr"/>
      <c r="K679" t="n">
        <v>7.95</v>
      </c>
      <c r="L679" t="n">
        <v>7.95</v>
      </c>
    </row>
    <row r="680">
      <c r="A680" s="1">
        <f>Hyperlink("https://www.wallsandfloors.co.uk/woven-skirting-snow-tiles","Product")</f>
        <v/>
      </c>
      <c r="B680" s="1" t="inlineStr">
        <is>
          <t>42620</t>
        </is>
      </c>
      <c r="C680" s="1" t="inlineStr">
        <is>
          <t>Woven Skirting Snow Tiles</t>
        </is>
      </c>
      <c r="D680" s="1" t="inlineStr">
        <is>
          <t>480x78x10mm</t>
        </is>
      </c>
      <c r="E680" s="1" t="n">
        <v>7.95</v>
      </c>
      <c r="F680" s="1" t="n">
        <v>0</v>
      </c>
      <c r="G680" s="1" t="inlineStr">
        <is>
          <t>Tile</t>
        </is>
      </c>
      <c r="H680" s="1" t="inlineStr">
        <is>
          <t>Porcelain</t>
        </is>
      </c>
      <c r="I680" s="1" t="inlineStr">
        <is>
          <t>Matt</t>
        </is>
      </c>
      <c r="J680" t="n">
        <v>7.95</v>
      </c>
      <c r="K680" t="n">
        <v>7.95</v>
      </c>
      <c r="L680" t="n">
        <v>7.95</v>
      </c>
    </row>
    <row r="681">
      <c r="A681" s="1">
        <f>Hyperlink("https://www.wallsandfloors.co.uk/woven-skirting-smoke-tiles","Product")</f>
        <v/>
      </c>
      <c r="B681" s="1" t="inlineStr">
        <is>
          <t>42712</t>
        </is>
      </c>
      <c r="C681" s="1" t="inlineStr">
        <is>
          <t>Woven Skirting Smoke Tiles</t>
        </is>
      </c>
      <c r="D681" s="1" t="inlineStr">
        <is>
          <t>480x78x10mm</t>
        </is>
      </c>
      <c r="E681" s="1" t="n">
        <v>7.95</v>
      </c>
      <c r="F681" s="1" t="n">
        <v>0</v>
      </c>
      <c r="G681" s="1" t="inlineStr">
        <is>
          <t>Tile</t>
        </is>
      </c>
      <c r="H681" s="1" t="inlineStr">
        <is>
          <t>Porcelain</t>
        </is>
      </c>
      <c r="I681" s="1" t="inlineStr">
        <is>
          <t>Matt</t>
        </is>
      </c>
      <c r="J681" t="inlineStr"/>
      <c r="K681" t="n">
        <v>7.95</v>
      </c>
      <c r="L681" t="n">
        <v>7.95</v>
      </c>
    </row>
    <row r="682">
      <c r="A682" s="1">
        <f>Hyperlink("https://www.wallsandfloors.co.uk/woven-skirting-sand-tiles","Product")</f>
        <v/>
      </c>
      <c r="B682" s="1" t="inlineStr">
        <is>
          <t>42711</t>
        </is>
      </c>
      <c r="C682" s="1" t="inlineStr">
        <is>
          <t>Woven Skirting Sand Tiles</t>
        </is>
      </c>
      <c r="D682" s="1" t="inlineStr">
        <is>
          <t>480x78x10mm</t>
        </is>
      </c>
      <c r="E682" s="1" t="n">
        <v>7.95</v>
      </c>
      <c r="F682" s="1" t="n">
        <v>0</v>
      </c>
      <c r="G682" s="1" t="inlineStr"/>
      <c r="H682" s="1" t="inlineStr">
        <is>
          <t>Porcelain</t>
        </is>
      </c>
      <c r="I682" s="1" t="inlineStr">
        <is>
          <t>Matt</t>
        </is>
      </c>
      <c r="J682" t="n">
        <v>7.95</v>
      </c>
      <c r="K682" t="n">
        <v>7.95</v>
      </c>
      <c r="L682" t="n">
        <v>7.95</v>
      </c>
    </row>
    <row r="683">
      <c r="A683" s="1">
        <f>Hyperlink("https://www.wallsandfloors.co.uk/woven-sand-tiles","Product")</f>
        <v/>
      </c>
      <c r="B683" s="1" t="inlineStr">
        <is>
          <t>41703</t>
        </is>
      </c>
      <c r="C683" s="1" t="inlineStr">
        <is>
          <t>Woven Sand Tiles</t>
        </is>
      </c>
      <c r="D683" s="1" t="inlineStr">
        <is>
          <t>480x480x10mm</t>
        </is>
      </c>
      <c r="E683" s="1" t="n">
        <v>40.95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inlineStr"/>
      <c r="K683" t="n">
        <v>40.95</v>
      </c>
      <c r="L683" t="n">
        <v>40.95</v>
      </c>
    </row>
    <row r="684">
      <c r="A684" s="1">
        <f>Hyperlink("https://www.wallsandfloors.co.uk/woodland-tiles","Product")</f>
        <v/>
      </c>
      <c r="B684" s="1" t="inlineStr">
        <is>
          <t>14327</t>
        </is>
      </c>
      <c r="C684" s="1" t="inlineStr">
        <is>
          <t>Ruvido Woodland Hexagon Tiles</t>
        </is>
      </c>
      <c r="D684" s="1" t="inlineStr">
        <is>
          <t>450x450x9mm</t>
        </is>
      </c>
      <c r="E684" s="1" t="n">
        <v>30.95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n">
        <v>30.95</v>
      </c>
      <c r="K684" t="n">
        <v>30.95</v>
      </c>
      <c r="L684" t="n">
        <v>30.95</v>
      </c>
    </row>
    <row r="685">
      <c r="A685" s="1">
        <f>Hyperlink("https://www.wallsandfloors.co.uk/vintage-wood-plank-tiles-pino-970x157-plank-tiles","Product")</f>
        <v/>
      </c>
      <c r="B685" s="1" t="inlineStr">
        <is>
          <t>13384</t>
        </is>
      </c>
      <c r="C685" s="1" t="inlineStr">
        <is>
          <t>Vintage Pino Plank Wood Effect Tiles</t>
        </is>
      </c>
      <c r="D685" s="1" t="inlineStr">
        <is>
          <t>970x157x10mm</t>
        </is>
      </c>
      <c r="E685" s="1" t="n">
        <v>34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/>
      <c r="K685" t="n">
        <v>34</v>
      </c>
      <c r="L685" t="n">
        <v>34</v>
      </c>
    </row>
    <row r="686">
      <c r="A686" s="1">
        <f>Hyperlink("https://www.wallsandfloors.co.uk/tundra-freedom-tiles-gloss-white-medium-tiles","Product")</f>
        <v/>
      </c>
      <c r="B686" s="1" t="inlineStr">
        <is>
          <t>12217</t>
        </is>
      </c>
      <c r="C686" s="1" t="inlineStr">
        <is>
          <t>Tundra Freedom Gloss White Wall Tiles</t>
        </is>
      </c>
      <c r="D686" s="1" t="inlineStr">
        <is>
          <t>360x275x8mm</t>
        </is>
      </c>
      <c r="E686" s="1" t="n">
        <v>17.3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Gloss</t>
        </is>
      </c>
      <c r="J686" t="n">
        <v>17.3</v>
      </c>
      <c r="K686" t="n">
        <v>17.3</v>
      </c>
      <c r="L686" t="n">
        <v>17.3</v>
      </c>
    </row>
    <row r="687">
      <c r="A687" s="1">
        <f>Hyperlink("https://www.wallsandfloors.co.uk/vintage-wood-plank-tiles-larice-970x157-plank-tiles","Product")</f>
        <v/>
      </c>
      <c r="B687" s="1" t="inlineStr">
        <is>
          <t>13376</t>
        </is>
      </c>
      <c r="C687" s="1" t="inlineStr">
        <is>
          <t>Vintage Larice Plank Wood Effect Tiles</t>
        </is>
      </c>
      <c r="D687" s="1" t="inlineStr">
        <is>
          <t>970x157x10mm</t>
        </is>
      </c>
      <c r="E687" s="1" t="n">
        <v>34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34</v>
      </c>
      <c r="K687" t="n">
        <v>34</v>
      </c>
      <c r="L687" t="n">
        <v>34</v>
      </c>
    </row>
    <row r="688">
      <c r="A688" s="1">
        <f>Hyperlink("https://www.wallsandfloors.co.uk/vintage-wood-plank-tiles-grigio-970x237-anti-slip-plank-tiles","Product")</f>
        <v/>
      </c>
      <c r="B688" s="1" t="inlineStr">
        <is>
          <t>13375</t>
        </is>
      </c>
      <c r="C688" s="1" t="inlineStr">
        <is>
          <t>Vintage Anti-Slip Grey Plank Wood Effect Tiles</t>
        </is>
      </c>
      <c r="D688" s="1" t="inlineStr">
        <is>
          <t>970x237x10mm</t>
        </is>
      </c>
      <c r="E688" s="1" t="n">
        <v>33.55</v>
      </c>
      <c r="F688" s="1" t="n">
        <v>0</v>
      </c>
      <c r="G688" s="1" t="inlineStr">
        <is>
          <t>SQM</t>
        </is>
      </c>
      <c r="H688" s="1" t="inlineStr">
        <is>
          <t>Porcelain</t>
        </is>
      </c>
      <c r="I688" s="1" t="inlineStr">
        <is>
          <t>Matt</t>
        </is>
      </c>
      <c r="J688" t="n">
        <v>33.55</v>
      </c>
      <c r="K688" t="n">
        <v>33.55</v>
      </c>
      <c r="L688" t="n">
        <v>33.55</v>
      </c>
    </row>
    <row r="689">
      <c r="A689" s="1">
        <f>Hyperlink("https://www.wallsandfloors.co.uk/vena-biana-bevelled-matt-20x10-tiles","Product")</f>
        <v/>
      </c>
      <c r="B689" s="1" t="inlineStr">
        <is>
          <t>37743</t>
        </is>
      </c>
      <c r="C689" s="1" t="inlineStr">
        <is>
          <t>Vena Biana Bevelled Matt Tiles</t>
        </is>
      </c>
      <c r="D689" s="1" t="inlineStr">
        <is>
          <t>200x100x7mm</t>
        </is>
      </c>
      <c r="E689" s="1" t="n">
        <v>20.85</v>
      </c>
      <c r="F689" s="1" t="n">
        <v>0</v>
      </c>
      <c r="G689" s="1" t="inlineStr">
        <is>
          <t>SQM</t>
        </is>
      </c>
      <c r="H689" s="1" t="inlineStr">
        <is>
          <t>Ceramic</t>
        </is>
      </c>
      <c r="I689" s="1" t="inlineStr">
        <is>
          <t>Matt</t>
        </is>
      </c>
      <c r="J689" t="inlineStr"/>
      <c r="K689" t="inlineStr"/>
      <c r="L689" t="n">
        <v>20.85</v>
      </c>
    </row>
    <row r="690">
      <c r="A690" s="1">
        <f>Hyperlink("https://www.wallsandfloors.co.uk/vena-biana-bevelled-gloss-20x10-tiles","Product")</f>
        <v/>
      </c>
      <c r="B690" s="1" t="inlineStr">
        <is>
          <t>37742</t>
        </is>
      </c>
      <c r="C690" s="1" t="inlineStr">
        <is>
          <t>Vena Biana Bevelled Gloss Tiles</t>
        </is>
      </c>
      <c r="D690" s="1" t="inlineStr">
        <is>
          <t>200x100x6.5mm</t>
        </is>
      </c>
      <c r="E690" s="1" t="n">
        <v>20.85</v>
      </c>
      <c r="F690" s="1" t="n">
        <v>0</v>
      </c>
      <c r="G690" s="1" t="inlineStr">
        <is>
          <t>SQM</t>
        </is>
      </c>
      <c r="H690" s="1" t="inlineStr">
        <is>
          <t>Ceramic</t>
        </is>
      </c>
      <c r="I690" s="1" t="inlineStr">
        <is>
          <t>Gloss</t>
        </is>
      </c>
      <c r="J690" t="n">
        <v>20.85</v>
      </c>
      <c r="K690" t="inlineStr"/>
      <c r="L690" t="n">
        <v>20.85</v>
      </c>
    </row>
    <row r="691">
      <c r="A691" s="1">
        <f>Hyperlink("https://www.wallsandfloors.co.uk/vena-biana-bevelled-gloss-15x75-tiles","Product")</f>
        <v/>
      </c>
      <c r="B691" s="1" t="inlineStr">
        <is>
          <t>37790</t>
        </is>
      </c>
      <c r="C691" s="1" t="inlineStr">
        <is>
          <t>Vena Biana Bevelled Gloss 15X7.5 Tiles</t>
        </is>
      </c>
      <c r="D691" s="1" t="inlineStr">
        <is>
          <t>150x75x7mm</t>
        </is>
      </c>
      <c r="E691" s="1" t="n">
        <v>26.15</v>
      </c>
      <c r="F691" s="1" t="n">
        <v>0</v>
      </c>
      <c r="G691" s="1" t="inlineStr">
        <is>
          <t>SQM</t>
        </is>
      </c>
      <c r="H691" s="1" t="inlineStr">
        <is>
          <t>Ceramic</t>
        </is>
      </c>
      <c r="I691" s="1" t="inlineStr">
        <is>
          <t>Gloss</t>
        </is>
      </c>
      <c r="J691" t="inlineStr"/>
      <c r="K691" t="n">
        <v>26.15</v>
      </c>
      <c r="L691" t="n">
        <v>26.15</v>
      </c>
    </row>
    <row r="692">
      <c r="A692" s="1">
        <f>Hyperlink("https://www.wallsandfloors.co.uk/vanilla-strip-150x25mm-tiles","Product")</f>
        <v/>
      </c>
      <c r="B692" s="1" t="inlineStr">
        <is>
          <t>990258</t>
        </is>
      </c>
      <c r="C692" s="1" t="inlineStr">
        <is>
          <t>Vanilla Strip Tiles</t>
        </is>
      </c>
      <c r="D692" s="1" t="inlineStr">
        <is>
          <t>150x25x9-10mm</t>
        </is>
      </c>
      <c r="E692" s="1" t="n">
        <v>2.37</v>
      </c>
      <c r="F692" s="1" t="n">
        <v>0</v>
      </c>
      <c r="G692" s="1" t="inlineStr">
        <is>
          <t>SQM</t>
        </is>
      </c>
      <c r="H692" s="1" t="inlineStr">
        <is>
          <t>Porcelain</t>
        </is>
      </c>
      <c r="I692" s="1" t="inlineStr">
        <is>
          <t>Matt</t>
        </is>
      </c>
      <c r="J692" t="inlineStr"/>
      <c r="K692" t="n">
        <v>2.37</v>
      </c>
      <c r="L692" t="n">
        <v>2.37</v>
      </c>
    </row>
    <row r="693">
      <c r="A693" s="1">
        <f>Hyperlink("https://www.wallsandfloors.co.uk/vanilla-squares-50mm-tiles","Product")</f>
        <v/>
      </c>
      <c r="B693" s="1" t="inlineStr">
        <is>
          <t>990098</t>
        </is>
      </c>
      <c r="C693" s="1" t="inlineStr">
        <is>
          <t>Vanilla Squares 50mm Tiles</t>
        </is>
      </c>
      <c r="D693" s="1" t="inlineStr">
        <is>
          <t>50x50x9-10mm</t>
        </is>
      </c>
      <c r="E693" s="1" t="n">
        <v>0.67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0.67</v>
      </c>
      <c r="K693" t="n">
        <v>0.67</v>
      </c>
      <c r="L693" t="n">
        <v>0.67</v>
      </c>
    </row>
    <row r="694">
      <c r="A694" s="1">
        <f>Hyperlink("https://www.wallsandfloors.co.uk/vanilla-squares-100mm-tiles","Product")</f>
        <v/>
      </c>
      <c r="B694" s="1" t="inlineStr">
        <is>
          <t>990048</t>
        </is>
      </c>
      <c r="C694" s="1" t="inlineStr">
        <is>
          <t>Vanilla Squares 100mm Tiles</t>
        </is>
      </c>
      <c r="D694" s="1" t="inlineStr">
        <is>
          <t>100x100x9-10mm</t>
        </is>
      </c>
      <c r="E694" s="1" t="n">
        <v>1.62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inlineStr"/>
      <c r="K694" t="n">
        <v>1.62</v>
      </c>
      <c r="L694" t="n">
        <v>1.62</v>
      </c>
    </row>
    <row r="695">
      <c r="A695" s="1">
        <f>Hyperlink("https://www.wallsandfloors.co.uk/urbanique-tiles-stone-field-tiles","Product")</f>
        <v/>
      </c>
      <c r="B695" s="1" t="inlineStr">
        <is>
          <t>10449</t>
        </is>
      </c>
      <c r="C695" s="1" t="inlineStr">
        <is>
          <t>Stone Field Tiles</t>
        </is>
      </c>
      <c r="D695" s="1" t="inlineStr">
        <is>
          <t>360x275x8mm</t>
        </is>
      </c>
      <c r="E695" s="1" t="n">
        <v>24.95</v>
      </c>
      <c r="F695" s="1" t="n">
        <v>0</v>
      </c>
      <c r="G695" s="1" t="inlineStr">
        <is>
          <t>SQM</t>
        </is>
      </c>
      <c r="H695" s="1" t="inlineStr">
        <is>
          <t>Ceramic</t>
        </is>
      </c>
      <c r="I695" s="1" t="inlineStr">
        <is>
          <t>Satin</t>
        </is>
      </c>
      <c r="J695" t="n">
        <v>24.95</v>
      </c>
      <c r="K695" t="n">
        <v>24.95</v>
      </c>
      <c r="L695" t="n">
        <v>24.95</v>
      </c>
    </row>
    <row r="696">
      <c r="A696" s="1">
        <f>Hyperlink("https://www.wallsandfloors.co.uk/urbanique-tiles-honey-field-tiles","Product")</f>
        <v/>
      </c>
      <c r="B696" s="1" t="inlineStr">
        <is>
          <t>10844</t>
        </is>
      </c>
      <c r="C696" s="1" t="inlineStr">
        <is>
          <t>Honey Field Tiles</t>
        </is>
      </c>
      <c r="D696" s="1" t="inlineStr">
        <is>
          <t>360x275x9mm</t>
        </is>
      </c>
      <c r="E696" s="1" t="n">
        <v>24.95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Satin</t>
        </is>
      </c>
      <c r="J696" t="n">
        <v>24.95</v>
      </c>
      <c r="K696" t="n">
        <v>24.95</v>
      </c>
      <c r="L696" t="n">
        <v>24.95</v>
      </c>
    </row>
    <row r="697">
      <c r="A697" s="1">
        <f>Hyperlink("https://www.wallsandfloors.co.uk/urban-mix-waterfall-wood-tiles","Product")</f>
        <v/>
      </c>
      <c r="B697" s="1" t="inlineStr">
        <is>
          <t>15682</t>
        </is>
      </c>
      <c r="C697" s="1" t="inlineStr">
        <is>
          <t>BoCoCa Urban Mix Waterfall Wood Tiles</t>
        </is>
      </c>
      <c r="D697" s="1" t="inlineStr">
        <is>
          <t>625x320x9mm</t>
        </is>
      </c>
      <c r="E697" s="1" t="n">
        <v>40.95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Matt</t>
        </is>
      </c>
      <c r="J697" t="n">
        <v>40.95</v>
      </c>
      <c r="K697" t="n">
        <v>40.95</v>
      </c>
      <c r="L697" t="n">
        <v>40.95</v>
      </c>
    </row>
    <row r="698">
      <c r="A698" s="1">
        <f>Hyperlink("https://www.wallsandfloors.co.uk/unicolour-tiles-cinza-matt-tiles","Product")</f>
        <v/>
      </c>
      <c r="B698" s="1" t="inlineStr">
        <is>
          <t>10812</t>
        </is>
      </c>
      <c r="C698" s="1" t="inlineStr">
        <is>
          <t>Unicolour Cinza Matt Tiles</t>
        </is>
      </c>
      <c r="D698" s="1" t="inlineStr">
        <is>
          <t>300x300x6mm</t>
        </is>
      </c>
      <c r="E698" s="1" t="n">
        <v>13.5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n">
        <v>13.5</v>
      </c>
      <c r="K698" t="n">
        <v>13.5</v>
      </c>
      <c r="L698" t="n">
        <v>13.5</v>
      </c>
    </row>
    <row r="699">
      <c r="A699" s="1">
        <f>Hyperlink("https://www.wallsandfloors.co.uk/vena-biana-flat-matt-30x10-tiles","Product")</f>
        <v/>
      </c>
      <c r="B699" s="1" t="inlineStr">
        <is>
          <t>37791</t>
        </is>
      </c>
      <c r="C699" s="1" t="inlineStr">
        <is>
          <t>Vena Biana Flat Matt Tiles</t>
        </is>
      </c>
      <c r="D699" s="1" t="inlineStr">
        <is>
          <t>300x100x7.5mm</t>
        </is>
      </c>
      <c r="E699" s="1" t="n">
        <v>23.15</v>
      </c>
      <c r="F699" s="1" t="n">
        <v>0</v>
      </c>
      <c r="G699" s="1" t="inlineStr">
        <is>
          <t>SQM</t>
        </is>
      </c>
      <c r="H699" s="1" t="inlineStr">
        <is>
          <t>Ceramic</t>
        </is>
      </c>
      <c r="I699" s="1" t="inlineStr">
        <is>
          <t>Matt</t>
        </is>
      </c>
      <c r="J699" t="n">
        <v>23.15</v>
      </c>
      <c r="K699" t="inlineStr"/>
      <c r="L699" t="n">
        <v>23.15</v>
      </c>
    </row>
    <row r="700">
      <c r="A700" s="1">
        <f>Hyperlink("https://www.wallsandfloors.co.uk/unglazed-anthracite-6774","Product")</f>
        <v/>
      </c>
      <c r="B700" s="1" t="inlineStr">
        <is>
          <t>6774</t>
        </is>
      </c>
      <c r="C700" s="1" t="inlineStr">
        <is>
          <t>Victorian Unglazed Anthracite Quarry Tiles</t>
        </is>
      </c>
      <c r="D700" s="1" t="inlineStr">
        <is>
          <t>100x100x9mm</t>
        </is>
      </c>
      <c r="E700" s="1" t="n">
        <v>0.62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inlineStr"/>
      <c r="L700" t="n">
        <v>0.62</v>
      </c>
    </row>
    <row r="701">
      <c r="A701" s="1">
        <f>Hyperlink("https://www.wallsandfloors.co.uk/under-tile-heating-mat-230v-3000w-20-sqm","Product")</f>
        <v/>
      </c>
      <c r="B701" s="1" t="inlineStr">
        <is>
          <t>15519</t>
        </is>
      </c>
      <c r="C701" s="1" t="inlineStr">
        <is>
          <t>Underfloor Tile Heating Mat 230V / 3000W 20 Sqm</t>
        </is>
      </c>
      <c r="D701" s="1" t="inlineStr">
        <is>
          <t>20 Sqm</t>
        </is>
      </c>
      <c r="E701" s="1" t="n">
        <v>528</v>
      </c>
      <c r="F701" s="1" t="n">
        <v>0</v>
      </c>
      <c r="G701" s="1" t="inlineStr">
        <is>
          <t>Units</t>
        </is>
      </c>
      <c r="H701" s="1" t="inlineStr">
        <is>
          <t>Underfloor Tile Heating</t>
        </is>
      </c>
      <c r="I701" s="1" t="inlineStr">
        <is>
          <t>-</t>
        </is>
      </c>
      <c r="J701" t="n">
        <v>528</v>
      </c>
      <c r="K701" t="n">
        <v>528</v>
      </c>
      <c r="L701" t="n">
        <v>528</v>
      </c>
    </row>
    <row r="702">
      <c r="A702" s="1">
        <f>Hyperlink("https://www.wallsandfloors.co.uk/under-tile-heating-mat-230v-2400w-16-sqm-25314","Product")</f>
        <v/>
      </c>
      <c r="B702" s="1" t="inlineStr">
        <is>
          <t>15518</t>
        </is>
      </c>
      <c r="C702" s="1" t="inlineStr">
        <is>
          <t>Underfloor Tile Heating Mat 230V / 2400W 16 Sqm</t>
        </is>
      </c>
      <c r="D702" s="1" t="inlineStr">
        <is>
          <t>16 Sqm</t>
        </is>
      </c>
      <c r="E702" s="1" t="n">
        <v>422.4</v>
      </c>
      <c r="F702" s="1" t="n">
        <v>0</v>
      </c>
      <c r="G702" s="1" t="inlineStr">
        <is>
          <t>Units</t>
        </is>
      </c>
      <c r="H702" s="1" t="inlineStr">
        <is>
          <t>Underfloor Tile Heating</t>
        </is>
      </c>
      <c r="I702" s="1" t="inlineStr">
        <is>
          <t>-</t>
        </is>
      </c>
      <c r="J702" t="n">
        <v>422.4</v>
      </c>
      <c r="K702" t="n">
        <v>422.4</v>
      </c>
      <c r="L702" t="n">
        <v>422.4</v>
      </c>
    </row>
    <row r="703">
      <c r="A703" s="1">
        <f>Hyperlink("https://www.wallsandfloors.co.uk/ultracolour-plus-musk-grey-tile-grout","Product")</f>
        <v/>
      </c>
      <c r="B703" s="1" t="inlineStr">
        <is>
          <t>38885</t>
        </is>
      </c>
      <c r="C703" s="1" t="inlineStr">
        <is>
          <t>Mapei Ultracolour Plus 116 Musk Grey Tile Grout 5 Kg Per Unit</t>
        </is>
      </c>
      <c r="D703" s="1" t="inlineStr">
        <is>
          <t>5 Kg</t>
        </is>
      </c>
      <c r="E703" s="1" t="n">
        <v>13.95</v>
      </c>
      <c r="F703" s="1" t="n">
        <v>0</v>
      </c>
      <c r="G703" s="1" t="inlineStr">
        <is>
          <t>Unit</t>
        </is>
      </c>
      <c r="H703" s="1" t="inlineStr">
        <is>
          <t>-</t>
        </is>
      </c>
      <c r="I703" s="1" t="inlineStr">
        <is>
          <t>-</t>
        </is>
      </c>
      <c r="J703" t="n">
        <v>13.95</v>
      </c>
      <c r="K703" t="n">
        <v>13.95</v>
      </c>
      <c r="L703" t="n">
        <v>13.95</v>
      </c>
    </row>
    <row r="704">
      <c r="A704" s="1">
        <f>Hyperlink("https://www.wallsandfloors.co.uk/ultracolour-plus-171-turquoise-5kg","Product")</f>
        <v/>
      </c>
      <c r="B704" s="1" t="inlineStr">
        <is>
          <t>33372</t>
        </is>
      </c>
      <c r="C704" s="1" t="inlineStr">
        <is>
          <t>Ultracolour Plus 171 Turquoise Tile Grout</t>
        </is>
      </c>
      <c r="D704" s="1" t="inlineStr">
        <is>
          <t>5 Kg</t>
        </is>
      </c>
      <c r="E704" s="1" t="n">
        <v>42.95</v>
      </c>
      <c r="F704" s="1" t="n">
        <v>0</v>
      </c>
      <c r="G704" s="1" t="inlineStr">
        <is>
          <t>Unit</t>
        </is>
      </c>
      <c r="H704" s="1" t="inlineStr">
        <is>
          <t>Floor Grout, Wall Grout</t>
        </is>
      </c>
      <c r="I704" s="1" t="inlineStr">
        <is>
          <t>-</t>
        </is>
      </c>
      <c r="J704" t="n">
        <v>42.95</v>
      </c>
      <c r="K704" t="inlineStr"/>
      <c r="L704" t="n">
        <v>42.95</v>
      </c>
    </row>
    <row r="705">
      <c r="A705" s="1">
        <f>Hyperlink("https://www.wallsandfloors.co.uk/ultracolour-plus-134-medium-silk-tile-grout","Product")</f>
        <v/>
      </c>
      <c r="B705" s="1" t="inlineStr">
        <is>
          <t>15330</t>
        </is>
      </c>
      <c r="C705" s="1" t="inlineStr">
        <is>
          <t>Mapei Ultracolour Plus 134 Medium Silk Tile Grout 5 Kg</t>
        </is>
      </c>
      <c r="D705" s="1" t="inlineStr">
        <is>
          <t>5 Kg</t>
        </is>
      </c>
      <c r="E705" s="1" t="n">
        <v>13.95</v>
      </c>
      <c r="F705" s="1" t="n">
        <v>0</v>
      </c>
      <c r="G705" s="1" t="inlineStr">
        <is>
          <t>Unit</t>
        </is>
      </c>
      <c r="H705" s="1" t="inlineStr">
        <is>
          <t>Grout</t>
        </is>
      </c>
      <c r="I705" s="1" t="inlineStr">
        <is>
          <t>-</t>
        </is>
      </c>
      <c r="J705" t="n">
        <v>13.95</v>
      </c>
      <c r="K705" t="n">
        <v>13.95</v>
      </c>
      <c r="L705" t="n">
        <v>13.95</v>
      </c>
    </row>
    <row r="706">
      <c r="A706" s="1">
        <f>Hyperlink("https://www.wallsandfloors.co.uk/uffmoor-wood-honey-tiles","Product")</f>
        <v/>
      </c>
      <c r="B706" s="1" t="inlineStr">
        <is>
          <t>39128</t>
        </is>
      </c>
      <c r="C706" s="1" t="inlineStr">
        <is>
          <t>Uffmoor Honey Wood Effect Tiles</t>
        </is>
      </c>
      <c r="D706" s="1" t="inlineStr">
        <is>
          <t>900x150x9mm</t>
        </is>
      </c>
      <c r="E706" s="1" t="n">
        <v>18.95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18.95</v>
      </c>
      <c r="K706" t="inlineStr"/>
      <c r="L706" t="n">
        <v>18.95</v>
      </c>
    </row>
    <row r="707">
      <c r="A707" s="1">
        <f>Hyperlink("https://www.wallsandfloors.co.uk/tx900-n-tile-cutter","Product")</f>
        <v/>
      </c>
      <c r="B707" s="1" t="inlineStr">
        <is>
          <t>27487</t>
        </is>
      </c>
      <c r="C707" s="1" t="inlineStr">
        <is>
          <t>TX-900-N Manual Tile Cutter</t>
        </is>
      </c>
      <c r="D707" s="1" t="inlineStr">
        <is>
          <t>930mm</t>
        </is>
      </c>
      <c r="E707" s="1" t="n">
        <v>569.95</v>
      </c>
      <c r="F707" s="1" t="n">
        <v>0</v>
      </c>
      <c r="G707" s="1" t="inlineStr">
        <is>
          <t>Unit</t>
        </is>
      </c>
      <c r="H707" s="1" t="inlineStr">
        <is>
          <t>Manual Tile Cutters</t>
        </is>
      </c>
      <c r="I707" s="1" t="inlineStr">
        <is>
          <t>-</t>
        </is>
      </c>
      <c r="J707" t="n">
        <v>569.95</v>
      </c>
      <c r="K707" t="n">
        <v>569.95</v>
      </c>
      <c r="L707" t="n">
        <v>569.95</v>
      </c>
    </row>
    <row r="708">
      <c r="A708" s="1">
        <f>Hyperlink("https://www.wallsandfloors.co.uk/tvh-250-superpro-hard-materials-diamond-blade","Product")</f>
        <v/>
      </c>
      <c r="B708" s="1" t="inlineStr">
        <is>
          <t>40405</t>
        </is>
      </c>
      <c r="C708" s="1" t="inlineStr">
        <is>
          <t>TVH 250mm Hard Materials Diamond Blade</t>
        </is>
      </c>
      <c r="D708" s="1" t="inlineStr">
        <is>
          <t>250mm</t>
        </is>
      </c>
      <c r="E708" s="1" t="n">
        <v>109.45</v>
      </c>
      <c r="F708" s="1" t="n">
        <v>0</v>
      </c>
      <c r="G708" s="1" t="inlineStr">
        <is>
          <t>Unit</t>
        </is>
      </c>
      <c r="H708" s="1" t="inlineStr">
        <is>
          <t>Accessories</t>
        </is>
      </c>
      <c r="I708" s="1" t="inlineStr">
        <is>
          <t>-</t>
        </is>
      </c>
      <c r="J708" t="n">
        <v>109.45</v>
      </c>
      <c r="K708" t="n">
        <v>109.45</v>
      </c>
      <c r="L708" t="n">
        <v>109.45</v>
      </c>
    </row>
    <row r="709">
      <c r="A709" s="1">
        <f>Hyperlink("https://www.wallsandfloors.co.uk/tvh-200-superpro-hard-materials-diamond-blade","Product")</f>
        <v/>
      </c>
      <c r="B709" s="1" t="inlineStr">
        <is>
          <t>40404</t>
        </is>
      </c>
      <c r="C709" s="1" t="inlineStr">
        <is>
          <t>TVH 200mm Hard Materials Diamond Blade</t>
        </is>
      </c>
      <c r="D709" s="1" t="inlineStr">
        <is>
          <t>200mm</t>
        </is>
      </c>
      <c r="E709" s="1" t="n">
        <v>58.75</v>
      </c>
      <c r="F709" s="1" t="n">
        <v>0</v>
      </c>
      <c r="G709" s="1" t="inlineStr">
        <is>
          <t>Unit</t>
        </is>
      </c>
      <c r="H709" s="1" t="inlineStr">
        <is>
          <t>Accessories</t>
        </is>
      </c>
      <c r="I709" s="1" t="inlineStr">
        <is>
          <t>-</t>
        </is>
      </c>
      <c r="J709" t="n">
        <v>58.75</v>
      </c>
      <c r="K709" t="inlineStr"/>
      <c r="L709" t="n">
        <v>58.75</v>
      </c>
    </row>
    <row r="710">
      <c r="A710" s="1">
        <f>Hyperlink("https://www.wallsandfloors.co.uk/tva-115-superpro-hard-materials-diamond-blade","Product")</f>
        <v/>
      </c>
      <c r="B710" s="1" t="inlineStr">
        <is>
          <t>40403</t>
        </is>
      </c>
      <c r="C710" s="1" t="inlineStr">
        <is>
          <t>TVA 115mm Hard Materials Diamond Blade</t>
        </is>
      </c>
      <c r="D710" s="1" t="inlineStr">
        <is>
          <t>115mm</t>
        </is>
      </c>
      <c r="E710" s="1" t="n">
        <v>31.25</v>
      </c>
      <c r="F710" s="1" t="n">
        <v>0</v>
      </c>
      <c r="G710" s="1" t="inlineStr">
        <is>
          <t>Unit</t>
        </is>
      </c>
      <c r="H710" s="1" t="inlineStr">
        <is>
          <t>Accessories</t>
        </is>
      </c>
      <c r="I710" s="1" t="inlineStr">
        <is>
          <t>-</t>
        </is>
      </c>
      <c r="J710" t="n">
        <v>31.25</v>
      </c>
      <c r="K710" t="n">
        <v>31.25</v>
      </c>
      <c r="L710" t="n">
        <v>31.25</v>
      </c>
    </row>
    <row r="711">
      <c r="A711" s="1">
        <f>Hyperlink("https://www.wallsandfloors.co.uk/under-tile-heating-mat-230v-3600w-24-sqm-25313","Product")</f>
        <v/>
      </c>
      <c r="B711" s="1" t="inlineStr">
        <is>
          <t>15520</t>
        </is>
      </c>
      <c r="C711" s="1" t="inlineStr">
        <is>
          <t>Underfloor Tile Heating Mat 230V / 3600W 24 Sqm</t>
        </is>
      </c>
      <c r="D711" s="1" t="inlineStr">
        <is>
          <t>24 Sqm</t>
        </is>
      </c>
      <c r="E711" s="1" t="n">
        <v>788.04</v>
      </c>
      <c r="F711" s="1" t="n">
        <v>0</v>
      </c>
      <c r="G711" s="1" t="inlineStr">
        <is>
          <t>Units</t>
        </is>
      </c>
      <c r="H711" s="1" t="inlineStr">
        <is>
          <t>Underfloor Tile Heating</t>
        </is>
      </c>
      <c r="I711" s="1" t="inlineStr">
        <is>
          <t>-</t>
        </is>
      </c>
      <c r="J711" t="inlineStr"/>
      <c r="K711" t="n">
        <v>788.04</v>
      </c>
      <c r="L711" t="n">
        <v>788.04</v>
      </c>
    </row>
    <row r="712">
      <c r="A712" s="1">
        <f>Hyperlink("https://www.wallsandfloors.co.uk/verde-bottella-8414","Product")</f>
        <v/>
      </c>
      <c r="B712" s="1" t="inlineStr">
        <is>
          <t>8414</t>
        </is>
      </c>
      <c r="C712" s="1" t="inlineStr">
        <is>
          <t>Metro Green Park Green Gloss Tiles</t>
        </is>
      </c>
      <c r="D712" s="1" t="inlineStr">
        <is>
          <t>200x100x7mm</t>
        </is>
      </c>
      <c r="E712" s="1" t="n">
        <v>20.95</v>
      </c>
      <c r="F712" s="1" t="n">
        <v>0</v>
      </c>
      <c r="G712" s="1" t="inlineStr">
        <is>
          <t>SQM</t>
        </is>
      </c>
      <c r="H712" s="1" t="inlineStr">
        <is>
          <t>Ceramic</t>
        </is>
      </c>
      <c r="I712" s="1" t="inlineStr">
        <is>
          <t>Gloss</t>
        </is>
      </c>
      <c r="J712" t="inlineStr"/>
      <c r="K712" t="n">
        <v>20.95</v>
      </c>
      <c r="L712" t="n">
        <v>20.95</v>
      </c>
    </row>
    <row r="713">
      <c r="A713" s="1">
        <f>Hyperlink("https://www.wallsandfloors.co.uk/vernice-abyssal-tiles","Product")</f>
        <v/>
      </c>
      <c r="B713" s="1" t="inlineStr">
        <is>
          <t>40378</t>
        </is>
      </c>
      <c r="C713" s="1" t="inlineStr">
        <is>
          <t>Vernice Abyssal Tiles</t>
        </is>
      </c>
      <c r="D713" s="1" t="inlineStr">
        <is>
          <t>130x130x8mm</t>
        </is>
      </c>
      <c r="E713" s="1" t="n">
        <v>28.95</v>
      </c>
      <c r="F713" s="1" t="n">
        <v>0</v>
      </c>
      <c r="G713" s="1" t="inlineStr">
        <is>
          <t>SQM</t>
        </is>
      </c>
      <c r="H713" s="1" t="inlineStr">
        <is>
          <t>Ceramic</t>
        </is>
      </c>
      <c r="I713" s="1" t="inlineStr">
        <is>
          <t>Gloss</t>
        </is>
      </c>
      <c r="J713" t="n">
        <v>28.95</v>
      </c>
      <c r="K713" t="n">
        <v>28.95</v>
      </c>
      <c r="L713" t="n">
        <v>28.95</v>
      </c>
    </row>
    <row r="714">
      <c r="A714" s="1">
        <f>Hyperlink("https://www.wallsandfloors.co.uk/vernice-bon-bon-pink-tiles","Product")</f>
        <v/>
      </c>
      <c r="B714" s="1" t="inlineStr">
        <is>
          <t>40379</t>
        </is>
      </c>
      <c r="C714" s="1" t="inlineStr">
        <is>
          <t>Vernice Bon Bon Pink Tiles</t>
        </is>
      </c>
      <c r="D714" s="1" t="inlineStr">
        <is>
          <t>130x130x8mm</t>
        </is>
      </c>
      <c r="E714" s="1" t="n">
        <v>35.95</v>
      </c>
      <c r="F714" s="1" t="n">
        <v>0</v>
      </c>
      <c r="G714" s="1" t="inlineStr">
        <is>
          <t>SQM</t>
        </is>
      </c>
      <c r="H714" s="1" t="inlineStr">
        <is>
          <t>Ceramic</t>
        </is>
      </c>
      <c r="I714" s="1" t="inlineStr">
        <is>
          <t>Gloss</t>
        </is>
      </c>
      <c r="J714" t="n">
        <v>35.95</v>
      </c>
      <c r="K714" t="n">
        <v>35.95</v>
      </c>
      <c r="L714" t="n">
        <v>35.95</v>
      </c>
    </row>
    <row r="715">
      <c r="A715" s="1">
        <f>Hyperlink("https://www.wallsandfloors.co.uk/vintage-wood-plank-tiles-grigio-970x157-anti-slip-plank-tiles","Product")</f>
        <v/>
      </c>
      <c r="B715" s="1" t="inlineStr">
        <is>
          <t>13373</t>
        </is>
      </c>
      <c r="C715" s="1" t="inlineStr">
        <is>
          <t>Vintage Anti-Slip Grey Plank Wood Effect Tiles</t>
        </is>
      </c>
      <c r="D715" s="1" t="inlineStr">
        <is>
          <t>970x157x10mm</t>
        </is>
      </c>
      <c r="E715" s="1" t="n">
        <v>34.35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34.35</v>
      </c>
      <c r="K715" t="n">
        <v>34.35</v>
      </c>
      <c r="L715" t="n">
        <v>34.35</v>
      </c>
    </row>
    <row r="716">
      <c r="A716" s="1">
        <f>Hyperlink("https://www.wallsandfloors.co.uk/vintage-wood-plank-tiles-bianco-970x157-anti-slip-plank-tiles","Product")</f>
        <v/>
      </c>
      <c r="B716" s="1" t="inlineStr">
        <is>
          <t>13369</t>
        </is>
      </c>
      <c r="C716" s="1" t="inlineStr">
        <is>
          <t>Vintage Anti-Slip White Plank Wood Effect Tiles</t>
        </is>
      </c>
      <c r="D716" s="1" t="inlineStr">
        <is>
          <t>970x157x10mm</t>
        </is>
      </c>
      <c r="E716" s="1" t="n">
        <v>34.35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Matt</t>
        </is>
      </c>
      <c r="J716" t="inlineStr"/>
      <c r="K716" t="n">
        <v>34.35</v>
      </c>
      <c r="L716" t="n">
        <v>34.35</v>
      </c>
    </row>
    <row r="717">
      <c r="A717" s="1">
        <f>Hyperlink("https://www.wallsandfloors.co.uk/vintage-wood-plank-tiles-antracite-970x237-anti-slip-plank-tiles","Product")</f>
        <v/>
      </c>
      <c r="B717" s="1" t="inlineStr">
        <is>
          <t>13391</t>
        </is>
      </c>
      <c r="C717" s="1" t="inlineStr">
        <is>
          <t>Vintage Anti-Slip Antracite Plank Wood Effect Tiles</t>
        </is>
      </c>
      <c r="D717" s="1" t="inlineStr">
        <is>
          <t>970x237x10mm</t>
        </is>
      </c>
      <c r="E717" s="1" t="n">
        <v>32.95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Matt</t>
        </is>
      </c>
      <c r="J717" t="inlineStr"/>
      <c r="K717" t="n">
        <v>32.95</v>
      </c>
      <c r="L717" t="n">
        <v>32.95</v>
      </c>
    </row>
    <row r="718">
      <c r="A718" s="1">
        <f>Hyperlink("https://www.wallsandfloors.co.uk/vintage-quarry-tiles-blue-decor-vintage-tiles","Product")</f>
        <v/>
      </c>
      <c r="B718" s="1" t="inlineStr">
        <is>
          <t>14187</t>
        </is>
      </c>
      <c r="C718" s="1" t="inlineStr">
        <is>
          <t>Blue Decor Vintage Pattern Tiles</t>
        </is>
      </c>
      <c r="D718" s="1" t="inlineStr">
        <is>
          <t>250x250x14mm</t>
        </is>
      </c>
      <c r="E718" s="1" t="n">
        <v>40.95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n">
        <v>40.95</v>
      </c>
      <c r="K718" t="n">
        <v>40.95</v>
      </c>
      <c r="L718" t="n">
        <v>40.95</v>
      </c>
    </row>
    <row r="719">
      <c r="A719" s="1">
        <f>Hyperlink("https://www.wallsandfloors.co.uk/vine-mosaic-effect-tiles","Product")</f>
        <v/>
      </c>
      <c r="B719" s="1" t="inlineStr">
        <is>
          <t>13748</t>
        </is>
      </c>
      <c r="C719" s="1" t="inlineStr">
        <is>
          <t>Athena Vine Mosaic Effect Tiles</t>
        </is>
      </c>
      <c r="D719" s="1" t="inlineStr">
        <is>
          <t>500x250x8mm</t>
        </is>
      </c>
      <c r="E719" s="1" t="n">
        <v>15.95</v>
      </c>
      <c r="F719" s="1" t="n">
        <v>0</v>
      </c>
      <c r="G719" s="1" t="inlineStr">
        <is>
          <t>Tile</t>
        </is>
      </c>
      <c r="H719" s="1" t="inlineStr">
        <is>
          <t>Ceramic</t>
        </is>
      </c>
      <c r="I719" s="1" t="inlineStr">
        <is>
          <t>Gloss</t>
        </is>
      </c>
      <c r="J719" t="inlineStr"/>
      <c r="K719" t="n">
        <v>15.95</v>
      </c>
      <c r="L719" t="n">
        <v>15.95</v>
      </c>
    </row>
    <row r="720">
      <c r="A720" s="1">
        <f>Hyperlink("https://www.wallsandfloors.co.uk/victorian-unglazed-hexagon-tiles-white-hexagon-tiles","Product")</f>
        <v/>
      </c>
      <c r="B720" s="1" t="inlineStr">
        <is>
          <t>12873</t>
        </is>
      </c>
      <c r="C720" s="1" t="inlineStr">
        <is>
          <t>White Hexagon Tiles</t>
        </is>
      </c>
      <c r="D720" s="1" t="inlineStr">
        <is>
          <t>115x100x8mm</t>
        </is>
      </c>
      <c r="E720" s="1" t="n">
        <v>0.61</v>
      </c>
      <c r="F720" s="1" t="n">
        <v>0</v>
      </c>
      <c r="G720" s="1" t="inlineStr">
        <is>
          <t>SQM</t>
        </is>
      </c>
      <c r="H720" s="1" t="inlineStr">
        <is>
          <t>Porcelain</t>
        </is>
      </c>
      <c r="I720" s="1" t="inlineStr">
        <is>
          <t>Matt</t>
        </is>
      </c>
      <c r="J720" t="n">
        <v>0.61</v>
      </c>
      <c r="K720" t="n">
        <v>0.61</v>
      </c>
      <c r="L720" t="n">
        <v>0.61</v>
      </c>
    </row>
    <row r="721">
      <c r="A721" s="1">
        <f>Hyperlink("https://www.wallsandfloors.co.uk/victorian-unglazed-150x150-tiles-unglazed-white-tiles","Product")</f>
        <v/>
      </c>
      <c r="B721" s="1" t="inlineStr">
        <is>
          <t>8976</t>
        </is>
      </c>
      <c r="C721" s="1" t="inlineStr">
        <is>
          <t>Victorian Unglazed White Quarry Tiles</t>
        </is>
      </c>
      <c r="D721" s="1" t="inlineStr">
        <is>
          <t>150x150x8mm</t>
        </is>
      </c>
      <c r="E721" s="1" t="n">
        <v>100.95</v>
      </c>
      <c r="F721" s="1" t="n">
        <v>0</v>
      </c>
      <c r="G721" s="1" t="inlineStr">
        <is>
          <t>SQM</t>
        </is>
      </c>
      <c r="H721" s="1" t="inlineStr">
        <is>
          <t>Porcelain</t>
        </is>
      </c>
      <c r="I721" s="1" t="inlineStr">
        <is>
          <t>Matt</t>
        </is>
      </c>
      <c r="J721" t="n">
        <v>100.95</v>
      </c>
      <c r="K721" t="n">
        <v>100.95</v>
      </c>
      <c r="L721" t="n">
        <v>100.95</v>
      </c>
    </row>
    <row r="722">
      <c r="A722" s="1">
        <f>Hyperlink("https://www.wallsandfloors.co.uk/victorian-unglazed-150x150-tiles-unglazed-super-white-tiles","Product")</f>
        <v/>
      </c>
      <c r="B722" s="1" t="inlineStr">
        <is>
          <t>11575</t>
        </is>
      </c>
      <c r="C722" s="1" t="inlineStr">
        <is>
          <t>Victorian Unglazed Super White Quarry Tiles</t>
        </is>
      </c>
      <c r="D722" s="1" t="inlineStr">
        <is>
          <t>150x150x8mm</t>
        </is>
      </c>
      <c r="E722" s="1" t="n">
        <v>2.04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Matt</t>
        </is>
      </c>
      <c r="J722" t="inlineStr"/>
      <c r="K722" t="n">
        <v>2.04</v>
      </c>
      <c r="L722" t="n">
        <v>2.04</v>
      </c>
    </row>
    <row r="723">
      <c r="A723" s="1">
        <f>Hyperlink("https://www.wallsandfloors.co.uk/victorian-unglazed-150x150-tiles-unglazed-red-tiles","Product")</f>
        <v/>
      </c>
      <c r="B723" s="1" t="inlineStr">
        <is>
          <t>8975</t>
        </is>
      </c>
      <c r="C723" s="1" t="inlineStr">
        <is>
          <t>Victorian Unglazed Quarry Red Tiles</t>
        </is>
      </c>
      <c r="D723" s="1" t="inlineStr">
        <is>
          <t>150x150x8mm</t>
        </is>
      </c>
      <c r="E723" s="1" t="n">
        <v>100.95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Matt</t>
        </is>
      </c>
      <c r="J723" t="inlineStr"/>
      <c r="K723" t="n">
        <v>100.95</v>
      </c>
      <c r="L723" t="n">
        <v>100.95</v>
      </c>
    </row>
    <row r="724">
      <c r="A724" s="1">
        <f>Hyperlink("https://www.wallsandfloors.co.uk/victorian-unglazed-150x150-tiles-unglazed-black-tiles","Product")</f>
        <v/>
      </c>
      <c r="B724" s="1" t="inlineStr">
        <is>
          <t>8974</t>
        </is>
      </c>
      <c r="C724" s="1" t="inlineStr">
        <is>
          <t>Victorian Unglazed Black Quarry Tiles</t>
        </is>
      </c>
      <c r="D724" s="1" t="inlineStr">
        <is>
          <t>150x150x8mm</t>
        </is>
      </c>
      <c r="E724" s="1" t="n">
        <v>100.95</v>
      </c>
      <c r="F724" s="1" t="n">
        <v>0</v>
      </c>
      <c r="G724" s="1" t="inlineStr">
        <is>
          <t>SQM</t>
        </is>
      </c>
      <c r="H724" s="1" t="inlineStr">
        <is>
          <t>Porcelain</t>
        </is>
      </c>
      <c r="I724" s="1" t="inlineStr">
        <is>
          <t>Matt</t>
        </is>
      </c>
      <c r="J724" t="inlineStr"/>
      <c r="K724" t="n">
        <v>100.95</v>
      </c>
      <c r="L724" t="n">
        <v>100.95</v>
      </c>
    </row>
    <row r="725">
      <c r="A725" s="1">
        <f>Hyperlink("https://www.wallsandfloors.co.uk/victorian-unglazed-100x100-tiles-unglazed-white-tiles","Product")</f>
        <v/>
      </c>
      <c r="B725" s="1" t="inlineStr">
        <is>
          <t>3647</t>
        </is>
      </c>
      <c r="C725" s="1" t="inlineStr">
        <is>
          <t>Victorian Unglazed White Quarry Tiles</t>
        </is>
      </c>
      <c r="D725" s="1" t="inlineStr">
        <is>
          <t>100x100x9mm</t>
        </is>
      </c>
      <c r="E725" s="1" t="n">
        <v>90.95</v>
      </c>
      <c r="F725" s="1" t="n">
        <v>0</v>
      </c>
      <c r="G725" s="1" t="inlineStr">
        <is>
          <t>SQM</t>
        </is>
      </c>
      <c r="H725" s="1" t="inlineStr">
        <is>
          <t>Porcelain</t>
        </is>
      </c>
      <c r="I725" s="1" t="inlineStr">
        <is>
          <t>Matt</t>
        </is>
      </c>
      <c r="J725" t="n">
        <v>90.95</v>
      </c>
      <c r="K725" t="n">
        <v>90.95</v>
      </c>
      <c r="L725" t="n">
        <v>90.95</v>
      </c>
    </row>
    <row r="726">
      <c r="A726" s="1">
        <f>Hyperlink("https://www.wallsandfloors.co.uk/victorian-unglazed-100x100-tiles-unglazed-pale-grey-tiles","Product")</f>
        <v/>
      </c>
      <c r="B726" s="1" t="inlineStr">
        <is>
          <t>6772</t>
        </is>
      </c>
      <c r="C726" s="1" t="inlineStr">
        <is>
          <t>Victorian Unglazed Pale Grey Quarry Tiles</t>
        </is>
      </c>
      <c r="D726" s="1" t="inlineStr">
        <is>
          <t>100x100x9mm</t>
        </is>
      </c>
      <c r="E726" s="1" t="n">
        <v>100.95</v>
      </c>
      <c r="F726" s="1" t="n">
        <v>0</v>
      </c>
      <c r="G726" s="1" t="inlineStr">
        <is>
          <t>SQM</t>
        </is>
      </c>
      <c r="H726" s="1" t="inlineStr">
        <is>
          <t>Porcelain</t>
        </is>
      </c>
      <c r="I726" s="1" t="inlineStr">
        <is>
          <t>Matt</t>
        </is>
      </c>
      <c r="J726" t="n">
        <v>100.95</v>
      </c>
      <c r="K726" t="n">
        <v>100.95</v>
      </c>
      <c r="L726" t="n">
        <v>100.95</v>
      </c>
    </row>
    <row r="727">
      <c r="A727" s="1">
        <f>Hyperlink("https://www.wallsandfloors.co.uk/victorian-unglazed-100x100-tiles-unglazed-pale-blue-tiles","Product")</f>
        <v/>
      </c>
      <c r="B727" s="1" t="inlineStr">
        <is>
          <t>6778</t>
        </is>
      </c>
      <c r="C727" s="1" t="inlineStr">
        <is>
          <t>Victorian Unglazed Pale Blue Quarry Tiles</t>
        </is>
      </c>
      <c r="D727" s="1" t="inlineStr">
        <is>
          <t>100x100x9mm</t>
        </is>
      </c>
      <c r="E727" s="1" t="n">
        <v>149.95</v>
      </c>
      <c r="F727" s="1" t="n">
        <v>0</v>
      </c>
      <c r="G727" s="1" t="inlineStr">
        <is>
          <t>SQM</t>
        </is>
      </c>
      <c r="H727" s="1" t="inlineStr">
        <is>
          <t>Porcelain</t>
        </is>
      </c>
      <c r="I727" s="1" t="inlineStr">
        <is>
          <t>Matt</t>
        </is>
      </c>
      <c r="J727" t="n">
        <v>149.95</v>
      </c>
      <c r="K727" t="n">
        <v>149.95</v>
      </c>
      <c r="L727" t="n">
        <v>149.95</v>
      </c>
    </row>
    <row r="728">
      <c r="A728" s="1">
        <f>Hyperlink("https://www.wallsandfloors.co.uk/victorian-unglazed-100x100-tiles-unglazed-green-tiles","Product")</f>
        <v/>
      </c>
      <c r="B728" s="1" t="inlineStr">
        <is>
          <t>6781</t>
        </is>
      </c>
      <c r="C728" s="1" t="inlineStr">
        <is>
          <t>Victorian Unglazed Green Quarry Tiles</t>
        </is>
      </c>
      <c r="D728" s="1" t="inlineStr">
        <is>
          <t>100x100x9mm</t>
        </is>
      </c>
      <c r="E728" s="1" t="n">
        <v>100.95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100.95</v>
      </c>
      <c r="K728" t="n">
        <v>100.95</v>
      </c>
      <c r="L728" t="n">
        <v>100.95</v>
      </c>
    </row>
    <row r="729">
      <c r="A729" s="1">
        <f>Hyperlink("https://www.wallsandfloors.co.uk/victorian-unglazed-100x100-tiles-unglazed-black-tiles","Product")</f>
        <v/>
      </c>
      <c r="B729" s="1" t="inlineStr">
        <is>
          <t>3646</t>
        </is>
      </c>
      <c r="C729" s="1" t="inlineStr">
        <is>
          <t>Victorian Unglazed Black Quarry Tiles</t>
        </is>
      </c>
      <c r="D729" s="1" t="inlineStr">
        <is>
          <t>100x100x9mm</t>
        </is>
      </c>
      <c r="E729" s="1" t="n">
        <v>90.95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Matt</t>
        </is>
      </c>
      <c r="J729" t="n">
        <v>90.95</v>
      </c>
      <c r="K729" t="inlineStr"/>
      <c r="L729" t="n">
        <v>90.95</v>
      </c>
    </row>
    <row r="730">
      <c r="A730" s="1">
        <f>Hyperlink("https://www.wallsandfloors.co.uk/victorian-melado-metro-tiles","Product")</f>
        <v/>
      </c>
      <c r="B730" s="1" t="inlineStr">
        <is>
          <t>44217</t>
        </is>
      </c>
      <c r="C730" s="1" t="inlineStr">
        <is>
          <t>Victorian Melado Metro Tiles</t>
        </is>
      </c>
      <c r="D730" s="1" t="inlineStr">
        <is>
          <t>200x100x6.8mm</t>
        </is>
      </c>
      <c r="E730" s="1" t="n">
        <v>26.95</v>
      </c>
      <c r="F730" s="1" t="n">
        <v>0</v>
      </c>
      <c r="G730" s="1" t="inlineStr">
        <is>
          <t>SQM</t>
        </is>
      </c>
      <c r="H730" s="1" t="inlineStr">
        <is>
          <t>Ceramic</t>
        </is>
      </c>
      <c r="I730" s="1" t="inlineStr">
        <is>
          <t>Gloss</t>
        </is>
      </c>
      <c r="J730" t="n">
        <v>26.95</v>
      </c>
      <c r="K730" t="inlineStr"/>
      <c r="L730" t="n">
        <v>26.95</v>
      </c>
    </row>
    <row r="731">
      <c r="A731" s="1">
        <f>Hyperlink("https://www.wallsandfloors.co.uk/victorian-mango-biselado-metro-tiles","Product")</f>
        <v/>
      </c>
      <c r="B731" s="1" t="inlineStr">
        <is>
          <t>44218</t>
        </is>
      </c>
      <c r="C731" s="1" t="inlineStr">
        <is>
          <t>Victorian Mango Metro Tiles</t>
        </is>
      </c>
      <c r="D731" s="1" t="inlineStr">
        <is>
          <t>200x100x6.8mm</t>
        </is>
      </c>
      <c r="E731" s="1" t="n">
        <v>26.95</v>
      </c>
      <c r="F731" s="1" t="n">
        <v>0</v>
      </c>
      <c r="G731" s="1" t="inlineStr">
        <is>
          <t>SQM</t>
        </is>
      </c>
      <c r="H731" s="1" t="inlineStr">
        <is>
          <t>Ceramic</t>
        </is>
      </c>
      <c r="I731" s="1" t="inlineStr">
        <is>
          <t>Gloss</t>
        </is>
      </c>
      <c r="J731" t="inlineStr"/>
      <c r="K731" t="inlineStr"/>
      <c r="L731" t="n">
        <v>26.95</v>
      </c>
    </row>
    <row r="732">
      <c r="A732" s="1">
        <f>Hyperlink("https://www.wallsandfloors.co.uk/vesuvius-split-face-effect-tiles-light-rustic-split-face-effect-tiles","Product")</f>
        <v/>
      </c>
      <c r="B732" s="1" t="inlineStr">
        <is>
          <t>12322</t>
        </is>
      </c>
      <c r="C732" s="1" t="inlineStr">
        <is>
          <t>Vesuvius Light Rustic Split Face Effect Tiles</t>
        </is>
      </c>
      <c r="D732" s="1" t="inlineStr">
        <is>
          <t>600x300x10mm</t>
        </is>
      </c>
      <c r="E732" s="1" t="n">
        <v>33.95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inlineStr"/>
      <c r="K732" t="n">
        <v>33.95</v>
      </c>
      <c r="L732" t="n">
        <v>33.95</v>
      </c>
    </row>
    <row r="733">
      <c r="A733" s="1">
        <f>Hyperlink("https://www.wallsandfloors.co.uk/vesuvius-split-face-effect-tiles-dark-rustic-split-face-effect-tiles","Product")</f>
        <v/>
      </c>
      <c r="B733" s="1" t="inlineStr">
        <is>
          <t>12323</t>
        </is>
      </c>
      <c r="C733" s="1" t="inlineStr">
        <is>
          <t>Vesuvius Dark Rustic Split Face Effect Tiles</t>
        </is>
      </c>
      <c r="D733" s="1" t="inlineStr">
        <is>
          <t>600x300x10mm</t>
        </is>
      </c>
      <c r="E733" s="1" t="n">
        <v>33.95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inlineStr"/>
      <c r="K733" t="n">
        <v>33.95</v>
      </c>
      <c r="L733" t="n">
        <v>33.95</v>
      </c>
    </row>
    <row r="734">
      <c r="A734" s="1">
        <f>Hyperlink("https://www.wallsandfloors.co.uk/vesuvius-split-face-effect-tiles-charcoal-split-face-effect-tiles","Product")</f>
        <v/>
      </c>
      <c r="B734" s="1" t="inlineStr">
        <is>
          <t>12321</t>
        </is>
      </c>
      <c r="C734" s="1" t="inlineStr">
        <is>
          <t>Vesuvius Charcoal Split Face Effect Tiles</t>
        </is>
      </c>
      <c r="D734" s="1" t="inlineStr">
        <is>
          <t>600x300x10mm</t>
        </is>
      </c>
      <c r="E734" s="1" t="n">
        <v>33.95</v>
      </c>
      <c r="F734" s="1" t="n">
        <v>0</v>
      </c>
      <c r="G734" s="1" t="inlineStr">
        <is>
          <t>SQM</t>
        </is>
      </c>
      <c r="H734" s="1" t="inlineStr">
        <is>
          <t>Porcelain</t>
        </is>
      </c>
      <c r="I734" s="1" t="inlineStr">
        <is>
          <t>Matt</t>
        </is>
      </c>
      <c r="J734" t="n">
        <v>33.95</v>
      </c>
      <c r="K734" t="n">
        <v>33.95</v>
      </c>
      <c r="L734" t="n">
        <v>33.95</v>
      </c>
    </row>
    <row r="735">
      <c r="A735" s="1">
        <f>Hyperlink("https://www.wallsandfloors.co.uk/vernice-storm-tiles","Product")</f>
        <v/>
      </c>
      <c r="B735" s="1" t="inlineStr">
        <is>
          <t>40384</t>
        </is>
      </c>
      <c r="C735" s="1" t="inlineStr">
        <is>
          <t>Vernice Storm Tiles</t>
        </is>
      </c>
      <c r="D735" s="1" t="inlineStr">
        <is>
          <t>130x130x8mm</t>
        </is>
      </c>
      <c r="E735" s="1" t="n">
        <v>35.95</v>
      </c>
      <c r="F735" s="1" t="n">
        <v>0</v>
      </c>
      <c r="G735" s="1" t="inlineStr">
        <is>
          <t>SQM</t>
        </is>
      </c>
      <c r="H735" s="1" t="inlineStr">
        <is>
          <t>Ceramic</t>
        </is>
      </c>
      <c r="I735" s="1" t="inlineStr">
        <is>
          <t>Gloss</t>
        </is>
      </c>
      <c r="J735" t="n">
        <v>35.95</v>
      </c>
      <c r="K735" t="inlineStr"/>
      <c r="L735" t="n">
        <v>35.95</v>
      </c>
    </row>
    <row r="736">
      <c r="A736" s="1">
        <f>Hyperlink("https://www.wallsandfloors.co.uk/vernice-springs-tiles","Product")</f>
        <v/>
      </c>
      <c r="B736" s="1" t="inlineStr">
        <is>
          <t>40382</t>
        </is>
      </c>
      <c r="C736" s="1" t="inlineStr">
        <is>
          <t>Vernice Springs Tiles</t>
        </is>
      </c>
      <c r="D736" s="1" t="inlineStr">
        <is>
          <t>130x130x8mm</t>
        </is>
      </c>
      <c r="E736" s="1" t="n">
        <v>28.95</v>
      </c>
      <c r="F736" s="1" t="n">
        <v>0</v>
      </c>
      <c r="G736" s="1" t="inlineStr">
        <is>
          <t>SQM</t>
        </is>
      </c>
      <c r="H736" s="1" t="inlineStr">
        <is>
          <t>Ceramic</t>
        </is>
      </c>
      <c r="I736" s="1" t="inlineStr">
        <is>
          <t>Gloss</t>
        </is>
      </c>
      <c r="J736" t="inlineStr"/>
      <c r="K736" t="n">
        <v>28.95</v>
      </c>
      <c r="L736" t="n">
        <v>28.95</v>
      </c>
    </row>
    <row r="737">
      <c r="A737" s="1">
        <f>Hyperlink("https://www.wallsandfloors.co.uk/vernice-hydrilla-tiles","Product")</f>
        <v/>
      </c>
      <c r="B737" s="1" t="inlineStr">
        <is>
          <t>40383</t>
        </is>
      </c>
      <c r="C737" s="1" t="inlineStr">
        <is>
          <t>Vernice Hydrilla Tiles</t>
        </is>
      </c>
      <c r="D737" s="1" t="inlineStr">
        <is>
          <t>130x130x8mm</t>
        </is>
      </c>
      <c r="E737" s="1" t="n">
        <v>35.95</v>
      </c>
      <c r="F737" s="1" t="n">
        <v>0</v>
      </c>
      <c r="G737" s="1" t="inlineStr">
        <is>
          <t>SQM</t>
        </is>
      </c>
      <c r="H737" s="1" t="inlineStr">
        <is>
          <t>Ceramic</t>
        </is>
      </c>
      <c r="I737" s="1" t="inlineStr">
        <is>
          <t>Gloss</t>
        </is>
      </c>
      <c r="J737" t="n">
        <v>35.95</v>
      </c>
      <c r="K737" t="n">
        <v>35.95</v>
      </c>
      <c r="L737" t="n">
        <v>35.95</v>
      </c>
    </row>
    <row r="738">
      <c r="A738" s="1">
        <f>Hyperlink("https://www.wallsandfloors.co.uk/vintage-wood-plank-tiles-grigio-970x237-plank-tiles","Product")</f>
        <v/>
      </c>
      <c r="B738" s="1" t="inlineStr">
        <is>
          <t>13374</t>
        </is>
      </c>
      <c r="C738" s="1" t="inlineStr">
        <is>
          <t>Vintage Grey Plank Wood Effect Tiles</t>
        </is>
      </c>
      <c r="D738" s="1" t="inlineStr">
        <is>
          <t>970x237x10mm</t>
        </is>
      </c>
      <c r="E738" s="1" t="n">
        <v>32.95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n">
        <v>32.95</v>
      </c>
      <c r="K738" t="inlineStr"/>
      <c r="L738" t="n">
        <v>32.95</v>
      </c>
    </row>
    <row r="739">
      <c r="A739" s="1">
        <f>Hyperlink("https://www.wallsandfloors.co.uk/ritz-tiles-steel-gloss-30x10-tiles","Product")</f>
        <v/>
      </c>
      <c r="B739" s="1" t="inlineStr">
        <is>
          <t>13024</t>
        </is>
      </c>
      <c r="C739" s="1" t="inlineStr">
        <is>
          <t>Ritz Steel Gloss Tiles</t>
        </is>
      </c>
      <c r="D739" s="1" t="inlineStr">
        <is>
          <t>300x100x10mm</t>
        </is>
      </c>
      <c r="E739" s="1" t="n">
        <v>37.95</v>
      </c>
      <c r="F739" s="1" t="n">
        <v>0</v>
      </c>
      <c r="G739" s="1" t="inlineStr">
        <is>
          <t>SQM</t>
        </is>
      </c>
      <c r="H739" s="1" t="inlineStr">
        <is>
          <t>Ceramic</t>
        </is>
      </c>
      <c r="I739" s="1" t="inlineStr">
        <is>
          <t>Gloss</t>
        </is>
      </c>
      <c r="J739" t="inlineStr"/>
      <c r="K739" t="n">
        <v>37.95</v>
      </c>
      <c r="L739" t="n">
        <v>37.95</v>
      </c>
    </row>
    <row r="740">
      <c r="A740" s="1">
        <f>Hyperlink("https://www.wallsandfloors.co.uk/titanic-wave-polished-desert-black-60x30-tiles","Product")</f>
        <v/>
      </c>
      <c r="B740" s="1" t="inlineStr">
        <is>
          <t>39147</t>
        </is>
      </c>
      <c r="C740" s="1" t="inlineStr">
        <is>
          <t>Titanic Wave Polished Desert Black Tiles</t>
        </is>
      </c>
      <c r="D740" s="1" t="inlineStr">
        <is>
          <t>600x300x9mm</t>
        </is>
      </c>
      <c r="E740" s="1" t="n">
        <v>22.91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Polished</t>
        </is>
      </c>
      <c r="J740" t="inlineStr"/>
      <c r="K740" t="n">
        <v>22.91</v>
      </c>
      <c r="L740" t="n">
        <v>22.91</v>
      </c>
    </row>
    <row r="741">
      <c r="A741" s="1">
        <f>Hyperlink("https://www.wallsandfloors.co.uk/titanic-silver-grey-matt-80x40-tiles","Product")</f>
        <v/>
      </c>
      <c r="B741" s="1" t="inlineStr">
        <is>
          <t>37209</t>
        </is>
      </c>
      <c r="C741" s="1" t="inlineStr">
        <is>
          <t>Titanic Silver Grey Matt Tiles</t>
        </is>
      </c>
      <c r="D741" s="1" t="inlineStr">
        <is>
          <t>800x400x10.8mm</t>
        </is>
      </c>
      <c r="E741" s="1" t="n">
        <v>22.95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Matt</t>
        </is>
      </c>
      <c r="J741" t="n">
        <v>22.95</v>
      </c>
      <c r="K741" t="n">
        <v>22.95</v>
      </c>
      <c r="L741" t="n">
        <v>22.95</v>
      </c>
    </row>
    <row r="742">
      <c r="A742" s="1">
        <f>Hyperlink("https://www.wallsandfloors.co.uk/salon-porcelain-tiles-white-polished-600x600-tiles","Product")</f>
        <v/>
      </c>
      <c r="B742" s="1" t="inlineStr">
        <is>
          <t>12633</t>
        </is>
      </c>
      <c r="C742" s="1" t="inlineStr">
        <is>
          <t>Salon Porcelain White Polished Tiles</t>
        </is>
      </c>
      <c r="D742" s="1" t="inlineStr">
        <is>
          <t>600x600x10mm</t>
        </is>
      </c>
      <c r="E742" s="1" t="n">
        <v>34.95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Polished</t>
        </is>
      </c>
      <c r="J742" t="n">
        <v>34.95</v>
      </c>
      <c r="K742" t="n">
        <v>34.95</v>
      </c>
      <c r="L742" t="n">
        <v>34.95</v>
      </c>
    </row>
    <row r="743">
      <c r="A743" s="1">
        <f>Hyperlink("https://www.wallsandfloors.co.uk/salon-porcelain-tiles-white-polished-600x300-tiles","Product")</f>
        <v/>
      </c>
      <c r="B743" s="1" t="inlineStr">
        <is>
          <t>12647</t>
        </is>
      </c>
      <c r="C743" s="1" t="inlineStr">
        <is>
          <t>Salon Porcelain White Polished Tiles</t>
        </is>
      </c>
      <c r="D743" s="1" t="inlineStr">
        <is>
          <t>600x300x10mm</t>
        </is>
      </c>
      <c r="E743" s="1" t="n">
        <v>29.95</v>
      </c>
      <c r="F743" s="1" t="n">
        <v>0</v>
      </c>
      <c r="G743" s="1" t="inlineStr"/>
      <c r="H743" s="1" t="inlineStr">
        <is>
          <t>Porcelain</t>
        </is>
      </c>
      <c r="I743" s="1" t="inlineStr">
        <is>
          <t>Polished</t>
        </is>
      </c>
      <c r="J743" t="n">
        <v>29.95</v>
      </c>
      <c r="K743" t="n">
        <v>29.95</v>
      </c>
      <c r="L743" t="n">
        <v>29.95</v>
      </c>
    </row>
    <row r="744">
      <c r="A744" s="1">
        <f>Hyperlink("https://www.wallsandfloors.co.uk/salon-porcelain-tiles-white-matt-600x300-tiles","Product")</f>
        <v/>
      </c>
      <c r="B744" s="1" t="inlineStr">
        <is>
          <t>12644</t>
        </is>
      </c>
      <c r="C744" s="1" t="inlineStr">
        <is>
          <t>Salon Porcelain White Matt Tiles</t>
        </is>
      </c>
      <c r="D744" s="1" t="inlineStr">
        <is>
          <t>600x300x10mm</t>
        </is>
      </c>
      <c r="E744" s="1" t="n">
        <v>29.95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Matt</t>
        </is>
      </c>
      <c r="J744" t="n">
        <v>29.95</v>
      </c>
      <c r="K744" t="n">
        <v>29.95</v>
      </c>
      <c r="L744" t="n">
        <v>29.95</v>
      </c>
    </row>
    <row r="745">
      <c r="A745" s="1">
        <f>Hyperlink("https://www.wallsandfloors.co.uk/salon-porcelain-tiles-grey-structured-600x600-tiles","Product")</f>
        <v/>
      </c>
      <c r="B745" s="1" t="inlineStr">
        <is>
          <t>12640</t>
        </is>
      </c>
      <c r="C745" s="1" t="inlineStr">
        <is>
          <t>Salon Porcelain Grey Anti Slip Tiles</t>
        </is>
      </c>
      <c r="D745" s="1" t="inlineStr">
        <is>
          <t>600x600x10mm</t>
        </is>
      </c>
      <c r="E745" s="1" t="n">
        <v>29.95</v>
      </c>
      <c r="F745" s="1" t="n">
        <v>0</v>
      </c>
      <c r="G745" s="1" t="inlineStr">
        <is>
          <t>SQM</t>
        </is>
      </c>
      <c r="H745" s="1" t="inlineStr">
        <is>
          <t>Porcelain</t>
        </is>
      </c>
      <c r="I745" s="1" t="inlineStr">
        <is>
          <t>Matt</t>
        </is>
      </c>
      <c r="J745" t="n">
        <v>29.95</v>
      </c>
      <c r="K745" t="inlineStr"/>
      <c r="L745" t="n">
        <v>29.95</v>
      </c>
    </row>
    <row r="746">
      <c r="A746" s="1">
        <f>Hyperlink("https://www.wallsandfloors.co.uk/salon-porcelain-tiles-grey-structured-600x300-tiles","Product")</f>
        <v/>
      </c>
      <c r="B746" s="1" t="inlineStr">
        <is>
          <t>12654</t>
        </is>
      </c>
      <c r="C746" s="1" t="inlineStr">
        <is>
          <t>Salon Porcelain Grey Anti Slip Tiles</t>
        </is>
      </c>
      <c r="D746" s="1" t="inlineStr">
        <is>
          <t>600x300x10mm</t>
        </is>
      </c>
      <c r="E746" s="1" t="n">
        <v>29.95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Matt</t>
        </is>
      </c>
      <c r="J746" t="inlineStr"/>
      <c r="K746" t="n">
        <v>29.95</v>
      </c>
      <c r="L746" t="n">
        <v>29.95</v>
      </c>
    </row>
    <row r="747">
      <c r="A747" s="1">
        <f>Hyperlink("https://www.wallsandfloors.co.uk/salon-porcelain-tiles-grey-polished-600x600-tiles","Product")</f>
        <v/>
      </c>
      <c r="B747" s="1" t="inlineStr">
        <is>
          <t>12639</t>
        </is>
      </c>
      <c r="C747" s="1" t="inlineStr">
        <is>
          <t>Salon Porcelain Grey Polished Tiles</t>
        </is>
      </c>
      <c r="D747" s="1" t="inlineStr">
        <is>
          <t>600x600x10mm</t>
        </is>
      </c>
      <c r="E747" s="1" t="n">
        <v>34.95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Polished</t>
        </is>
      </c>
      <c r="J747" t="n">
        <v>34.95</v>
      </c>
      <c r="K747" t="n">
        <v>34.95</v>
      </c>
      <c r="L747" t="n">
        <v>34.95</v>
      </c>
    </row>
    <row r="748">
      <c r="A748" s="1">
        <f>Hyperlink("https://www.wallsandfloors.co.uk/salon-porcelain-tiles-grey-polished-600x300-tiles","Product")</f>
        <v/>
      </c>
      <c r="B748" s="1" t="inlineStr">
        <is>
          <t>12653</t>
        </is>
      </c>
      <c r="C748" s="1" t="inlineStr">
        <is>
          <t>Salon Porcelain Grey Polished Tiles</t>
        </is>
      </c>
      <c r="D748" s="1" t="inlineStr">
        <is>
          <t>600x300x10mm</t>
        </is>
      </c>
      <c r="E748" s="1" t="n">
        <v>29.95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Polished</t>
        </is>
      </c>
      <c r="J748" t="n">
        <v>29.95</v>
      </c>
      <c r="K748" t="n">
        <v>29.95</v>
      </c>
      <c r="L748" t="n">
        <v>29.95</v>
      </c>
    </row>
    <row r="749">
      <c r="A749" s="1">
        <f>Hyperlink("https://www.wallsandfloors.co.uk/salon-porcelain-tiles-grey-matt-600x300-tiles","Product")</f>
        <v/>
      </c>
      <c r="B749" s="1" t="inlineStr">
        <is>
          <t>12652</t>
        </is>
      </c>
      <c r="C749" s="1" t="inlineStr">
        <is>
          <t>Salon Porcelain Grey Matt Tiles</t>
        </is>
      </c>
      <c r="D749" s="1" t="inlineStr">
        <is>
          <t>600x300x10mm</t>
        </is>
      </c>
      <c r="E749" s="1" t="n">
        <v>29.95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Matt</t>
        </is>
      </c>
      <c r="J749" t="n">
        <v>29.95</v>
      </c>
      <c r="K749" t="n">
        <v>29.95</v>
      </c>
      <c r="L749" t="n">
        <v>29.95</v>
      </c>
    </row>
    <row r="750">
      <c r="A750" s="1">
        <f>Hyperlink("https://www.wallsandfloors.co.uk/salon-porcelain-tiles-graphite-structured-600x600-tiles","Product")</f>
        <v/>
      </c>
      <c r="B750" s="1" t="inlineStr">
        <is>
          <t>12637</t>
        </is>
      </c>
      <c r="C750" s="1" t="inlineStr">
        <is>
          <t>Salon Porcelain Graphite Anti Slip Tiles</t>
        </is>
      </c>
      <c r="D750" s="1" t="inlineStr">
        <is>
          <t>600x600x10mm</t>
        </is>
      </c>
      <c r="E750" s="1" t="n">
        <v>29.95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inlineStr"/>
      <c r="K750" t="n">
        <v>29.95</v>
      </c>
      <c r="L750" t="n">
        <v>29.95</v>
      </c>
    </row>
    <row r="751">
      <c r="A751" s="1">
        <f>Hyperlink("https://www.wallsandfloors.co.uk/salon-porcelain-tiles-graphite-structured-600x300-tiles","Product")</f>
        <v/>
      </c>
      <c r="B751" s="1" t="inlineStr">
        <is>
          <t>12651</t>
        </is>
      </c>
      <c r="C751" s="1" t="inlineStr">
        <is>
          <t>Salon Porcelain Graphite Anti Slip Tiles</t>
        </is>
      </c>
      <c r="D751" s="1" t="inlineStr">
        <is>
          <t>600x300x10mm</t>
        </is>
      </c>
      <c r="E751" s="1" t="n">
        <v>29.95</v>
      </c>
      <c r="F751" s="1" t="n">
        <v>0</v>
      </c>
      <c r="G751" s="1" t="inlineStr">
        <is>
          <t>SQM</t>
        </is>
      </c>
      <c r="H751" s="1" t="inlineStr">
        <is>
          <t>Porcelain</t>
        </is>
      </c>
      <c r="I751" s="1" t="inlineStr">
        <is>
          <t>Matt</t>
        </is>
      </c>
      <c r="J751" t="inlineStr"/>
      <c r="K751" t="inlineStr"/>
      <c r="L751" t="n">
        <v>29.95</v>
      </c>
    </row>
    <row r="752">
      <c r="A752" s="1">
        <f>Hyperlink("https://www.wallsandfloors.co.uk/salon-porcelain-tiles-white-structured-600x600-tiles","Product")</f>
        <v/>
      </c>
      <c r="B752" s="1" t="inlineStr">
        <is>
          <t>12634</t>
        </is>
      </c>
      <c r="C752" s="1" t="inlineStr">
        <is>
          <t>Salon Porcelain White Anti Slip Tiles</t>
        </is>
      </c>
      <c r="D752" s="1" t="inlineStr">
        <is>
          <t>600x600x10mm</t>
        </is>
      </c>
      <c r="E752" s="1" t="n">
        <v>29.95</v>
      </c>
      <c r="F752" s="1" t="n">
        <v>0</v>
      </c>
      <c r="G752" s="1" t="inlineStr">
        <is>
          <t>SQM</t>
        </is>
      </c>
      <c r="H752" s="1" t="inlineStr">
        <is>
          <t>Porcelain</t>
        </is>
      </c>
      <c r="I752" s="1" t="inlineStr">
        <is>
          <t>Matt</t>
        </is>
      </c>
      <c r="J752" t="n">
        <v>29.95</v>
      </c>
      <c r="K752" t="inlineStr"/>
      <c r="L752" t="n">
        <v>29.95</v>
      </c>
    </row>
    <row r="753">
      <c r="A753" s="1">
        <f>Hyperlink("https://www.wallsandfloors.co.uk/salon-porcelain-tiles-graphite-polished-600x600-tiles","Product")</f>
        <v/>
      </c>
      <c r="B753" s="1" t="inlineStr">
        <is>
          <t>12636</t>
        </is>
      </c>
      <c r="C753" s="1" t="inlineStr">
        <is>
          <t>Salon Porcelain Graphite Polished Tiles</t>
        </is>
      </c>
      <c r="D753" s="1" t="inlineStr">
        <is>
          <t>600x600x10mm</t>
        </is>
      </c>
      <c r="E753" s="1" t="n">
        <v>29.95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Polished</t>
        </is>
      </c>
      <c r="J753" t="inlineStr"/>
      <c r="K753" t="n">
        <v>29.95</v>
      </c>
      <c r="L753" t="n">
        <v>29.95</v>
      </c>
    </row>
    <row r="754">
      <c r="A754" s="1">
        <f>Hyperlink("https://www.wallsandfloors.co.uk/salon-porcelain-tiles-graphite-matt-600x600-tiles","Product")</f>
        <v/>
      </c>
      <c r="B754" s="1" t="inlineStr">
        <is>
          <t>12635</t>
        </is>
      </c>
      <c r="C754" s="1" t="inlineStr">
        <is>
          <t>Salon Porcelain Graphite Matt Tiles</t>
        </is>
      </c>
      <c r="D754" s="1" t="inlineStr">
        <is>
          <t>600x600x10mm</t>
        </is>
      </c>
      <c r="E754" s="1" t="n">
        <v>29.95</v>
      </c>
      <c r="F754" s="1" t="n">
        <v>0</v>
      </c>
      <c r="G754" s="1" t="inlineStr">
        <is>
          <t>SQM</t>
        </is>
      </c>
      <c r="H754" s="1" t="inlineStr">
        <is>
          <t>Porcelain</t>
        </is>
      </c>
      <c r="I754" s="1" t="inlineStr">
        <is>
          <t>Matt</t>
        </is>
      </c>
      <c r="J754" t="n">
        <v>29.95</v>
      </c>
      <c r="K754" t="n">
        <v>29.95</v>
      </c>
      <c r="L754" t="n">
        <v>29.95</v>
      </c>
    </row>
    <row r="755">
      <c r="A755" s="1">
        <f>Hyperlink("https://www.wallsandfloors.co.uk/salon-porcelain-tiles-graphite-matt-600x300-tiles","Product")</f>
        <v/>
      </c>
      <c r="B755" s="1" t="inlineStr">
        <is>
          <t>12649</t>
        </is>
      </c>
      <c r="C755" s="1" t="inlineStr">
        <is>
          <t>Salon Porcelain Graphite Matt Tiles</t>
        </is>
      </c>
      <c r="D755" s="1" t="inlineStr">
        <is>
          <t>600x300x10mm</t>
        </is>
      </c>
      <c r="E755" s="1" t="n">
        <v>29.95</v>
      </c>
      <c r="F755" s="1" t="n">
        <v>0</v>
      </c>
      <c r="G755" s="1" t="inlineStr">
        <is>
          <t>SQM</t>
        </is>
      </c>
      <c r="H755" s="1" t="inlineStr">
        <is>
          <t>Porcelain</t>
        </is>
      </c>
      <c r="I755" s="1" t="inlineStr">
        <is>
          <t>Matt</t>
        </is>
      </c>
      <c r="J755" t="n">
        <v>29.95</v>
      </c>
      <c r="K755" t="n">
        <v>29.95</v>
      </c>
      <c r="L755" t="n">
        <v>29.95</v>
      </c>
    </row>
    <row r="756">
      <c r="A756" s="1">
        <f>Hyperlink("https://www.wallsandfloors.co.uk/salon-porcelain-tiles-black-structured-600x600-tiles","Product")</f>
        <v/>
      </c>
      <c r="B756" s="1" t="inlineStr">
        <is>
          <t>12643</t>
        </is>
      </c>
      <c r="C756" s="1" t="inlineStr">
        <is>
          <t>Salon Porcelain Black Anti Slip Tiles</t>
        </is>
      </c>
      <c r="D756" s="1" t="inlineStr">
        <is>
          <t>600x600x10mm</t>
        </is>
      </c>
      <c r="E756" s="1" t="n">
        <v>29.95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n">
        <v>29.95</v>
      </c>
      <c r="K756" t="n">
        <v>29.95</v>
      </c>
      <c r="L756" t="n">
        <v>29.95</v>
      </c>
    </row>
    <row r="757">
      <c r="A757" s="1">
        <f>Hyperlink("https://www.wallsandfloors.co.uk/salon-porcelain-tiles-black-polished-600x600-tiles","Product")</f>
        <v/>
      </c>
      <c r="B757" s="1" t="inlineStr">
        <is>
          <t>12642</t>
        </is>
      </c>
      <c r="C757" s="1" t="inlineStr">
        <is>
          <t>Salon Porcelain Black Polished Tiles</t>
        </is>
      </c>
      <c r="D757" s="1" t="inlineStr">
        <is>
          <t>600x600x10mm</t>
        </is>
      </c>
      <c r="E757" s="1" t="n">
        <v>29.95</v>
      </c>
      <c r="F757" s="1" t="n">
        <v>0</v>
      </c>
      <c r="G757" s="1" t="inlineStr">
        <is>
          <t>SQM</t>
        </is>
      </c>
      <c r="H757" s="1" t="inlineStr">
        <is>
          <t>Porcelain</t>
        </is>
      </c>
      <c r="I757" s="1" t="inlineStr">
        <is>
          <t>Polished</t>
        </is>
      </c>
      <c r="J757" t="inlineStr"/>
      <c r="K757" t="n">
        <v>29.95</v>
      </c>
      <c r="L757" t="n">
        <v>29.95</v>
      </c>
    </row>
    <row r="758">
      <c r="A758" s="1">
        <f>Hyperlink("https://www.wallsandfloors.co.uk/salon-porcelain-tiles-black-polished-600x300-tiles","Product")</f>
        <v/>
      </c>
      <c r="B758" s="1" t="inlineStr">
        <is>
          <t>12656</t>
        </is>
      </c>
      <c r="C758" s="1" t="inlineStr">
        <is>
          <t>Salon Porcelain Black Polished Tiles</t>
        </is>
      </c>
      <c r="D758" s="1" t="inlineStr">
        <is>
          <t>600x300x10mm</t>
        </is>
      </c>
      <c r="E758" s="1" t="n">
        <v>29.95</v>
      </c>
      <c r="F758" s="1" t="n">
        <v>0</v>
      </c>
      <c r="G758" s="1" t="inlineStr">
        <is>
          <t>SQM</t>
        </is>
      </c>
      <c r="H758" s="1" t="inlineStr">
        <is>
          <t>Porcelain</t>
        </is>
      </c>
      <c r="I758" s="1" t="inlineStr">
        <is>
          <t>Polished</t>
        </is>
      </c>
      <c r="J758" t="n">
        <v>29.95</v>
      </c>
      <c r="K758" t="n">
        <v>29.95</v>
      </c>
      <c r="L758" t="n">
        <v>29.95</v>
      </c>
    </row>
    <row r="759">
      <c r="A759" s="1">
        <f>Hyperlink("https://www.wallsandfloors.co.uk/salon-porcelain-tiles-black-matt-600x600-tiles","Product")</f>
        <v/>
      </c>
      <c r="B759" s="1" t="inlineStr">
        <is>
          <t>12641</t>
        </is>
      </c>
      <c r="C759" s="1" t="inlineStr">
        <is>
          <t>Salon Porcelain Black Matt Tiles</t>
        </is>
      </c>
      <c r="D759" s="1" t="inlineStr">
        <is>
          <t>600x600x10mm</t>
        </is>
      </c>
      <c r="E759" s="1" t="n">
        <v>29.95</v>
      </c>
      <c r="F759" s="1" t="n">
        <v>0</v>
      </c>
      <c r="G759" s="1" t="inlineStr">
        <is>
          <t>SQM</t>
        </is>
      </c>
      <c r="H759" s="1" t="inlineStr">
        <is>
          <t>Porcelain</t>
        </is>
      </c>
      <c r="I759" s="1" t="inlineStr">
        <is>
          <t>Matt</t>
        </is>
      </c>
      <c r="J759" t="n">
        <v>29.95</v>
      </c>
      <c r="K759" t="n">
        <v>29.95</v>
      </c>
      <c r="L759" t="n">
        <v>29.95</v>
      </c>
    </row>
    <row r="760">
      <c r="A760" s="1">
        <f>Hyperlink("https://www.wallsandfloors.co.uk/salcombe-sands-tiles-mill-bay-beige-tiles","Product")</f>
        <v/>
      </c>
      <c r="B760" s="1" t="inlineStr">
        <is>
          <t>15541</t>
        </is>
      </c>
      <c r="C760" s="1" t="inlineStr">
        <is>
          <t>Salcombe Sands Mill Bay Beige Tiles</t>
        </is>
      </c>
      <c r="D760" s="1" t="inlineStr">
        <is>
          <t>600x300x9mm</t>
        </is>
      </c>
      <c r="E760" s="1" t="n">
        <v>36.95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n">
        <v>36.95</v>
      </c>
      <c r="K760" t="inlineStr"/>
      <c r="L760" t="n">
        <v>36.95</v>
      </c>
    </row>
    <row r="761">
      <c r="A761" s="1">
        <f>Hyperlink("https://www.wallsandfloors.co.uk/salcombe-sands-tiles-jubilee-grey-tiles","Product")</f>
        <v/>
      </c>
      <c r="B761" s="1" t="inlineStr">
        <is>
          <t>15543</t>
        </is>
      </c>
      <c r="C761" s="1" t="inlineStr">
        <is>
          <t>Salcombe Sands Jubilee Grey Tiles</t>
        </is>
      </c>
      <c r="D761" s="1" t="inlineStr">
        <is>
          <t>600x300x9mm</t>
        </is>
      </c>
      <c r="E761" s="1" t="n">
        <v>35.95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Matt</t>
        </is>
      </c>
      <c r="J761" t="n">
        <v>35.95</v>
      </c>
      <c r="K761" t="n">
        <v>35.95</v>
      </c>
      <c r="L761" t="n">
        <v>35.95</v>
      </c>
    </row>
    <row r="762">
      <c r="A762" s="1">
        <f>Hyperlink("https://www.wallsandfloors.co.uk/salcombe-sands-tiles-cable-cove-white-tiles","Product")</f>
        <v/>
      </c>
      <c r="B762" s="1" t="inlineStr">
        <is>
          <t>15542</t>
        </is>
      </c>
      <c r="C762" s="1" t="inlineStr">
        <is>
          <t>Salcombe Sands Cable Cove White Tiles</t>
        </is>
      </c>
      <c r="D762" s="1" t="inlineStr">
        <is>
          <t>600x300x9mm</t>
        </is>
      </c>
      <c r="E762" s="1" t="n">
        <v>34.95</v>
      </c>
      <c r="F762" s="1" t="n">
        <v>0</v>
      </c>
      <c r="G762" s="1" t="inlineStr">
        <is>
          <t>SQM</t>
        </is>
      </c>
      <c r="H762" s="1" t="inlineStr">
        <is>
          <t>Ceramic</t>
        </is>
      </c>
      <c r="I762" s="1" t="inlineStr">
        <is>
          <t>Matt</t>
        </is>
      </c>
      <c r="J762" t="n">
        <v>34.95</v>
      </c>
      <c r="K762" t="n">
        <v>34.95</v>
      </c>
      <c r="L762" t="n">
        <v>34.95</v>
      </c>
    </row>
    <row r="763">
      <c r="A763" s="1">
        <f>Hyperlink("https://www.wallsandfloors.co.uk/ruvido-hexagon-tiles-tribal-stone-tiles","Product")</f>
        <v/>
      </c>
      <c r="B763" s="1" t="inlineStr">
        <is>
          <t>14325</t>
        </is>
      </c>
      <c r="C763" s="1" t="inlineStr">
        <is>
          <t>Ruvido Tribal Stone Hexagon Tiles</t>
        </is>
      </c>
      <c r="D763" s="1" t="inlineStr">
        <is>
          <t>450x450x9mm</t>
        </is>
      </c>
      <c r="E763" s="1" t="n">
        <v>30.95</v>
      </c>
      <c r="F763" s="1" t="n">
        <v>0</v>
      </c>
      <c r="G763" s="1" t="inlineStr">
        <is>
          <t>SQM</t>
        </is>
      </c>
      <c r="H763" s="1" t="inlineStr">
        <is>
          <t>Porcelain</t>
        </is>
      </c>
      <c r="I763" s="1" t="inlineStr">
        <is>
          <t>Matt</t>
        </is>
      </c>
      <c r="J763" t="n">
        <v>30.95</v>
      </c>
      <c r="K763" t="n">
        <v>30.95</v>
      </c>
      <c r="L763" t="n">
        <v>30.95</v>
      </c>
    </row>
    <row r="764">
      <c r="A764" s="1">
        <f>Hyperlink("https://www.wallsandfloors.co.uk/salon-porcelain-tiles-graphite-polished-600x300-tiles","Product")</f>
        <v/>
      </c>
      <c r="B764" s="1" t="inlineStr">
        <is>
          <t>12650</t>
        </is>
      </c>
      <c r="C764" s="1" t="inlineStr">
        <is>
          <t>Salon Porcelain Graphite Polished Tiles</t>
        </is>
      </c>
      <c r="D764" s="1" t="inlineStr">
        <is>
          <t>600x300x10mm</t>
        </is>
      </c>
      <c r="E764" s="1" t="n">
        <v>29.95</v>
      </c>
      <c r="F764" s="1" t="n">
        <v>0</v>
      </c>
      <c r="G764" s="1" t="inlineStr">
        <is>
          <t>SQM</t>
        </is>
      </c>
      <c r="H764" s="1" t="inlineStr">
        <is>
          <t>Porcelain</t>
        </is>
      </c>
      <c r="I764" s="1" t="inlineStr">
        <is>
          <t>Polished</t>
        </is>
      </c>
      <c r="J764" t="n">
        <v>29.95</v>
      </c>
      <c r="K764" t="n">
        <v>29.95</v>
      </c>
      <c r="L764" t="n">
        <v>29.95</v>
      </c>
    </row>
    <row r="765">
      <c r="A765" s="1">
        <f>Hyperlink("https://www.wallsandfloors.co.uk/saloon-tiles-tavern-black-wood-tiles","Product")</f>
        <v/>
      </c>
      <c r="B765" s="1" t="inlineStr">
        <is>
          <t>14415</t>
        </is>
      </c>
      <c r="C765" s="1" t="inlineStr">
        <is>
          <t>Saloon Tavern Black Wood Tiles</t>
        </is>
      </c>
      <c r="D765" s="1" t="inlineStr">
        <is>
          <t>900x150x9.5mm</t>
        </is>
      </c>
      <c r="E765" s="1" t="n">
        <v>40.95</v>
      </c>
      <c r="F765" s="1" t="n">
        <v>0</v>
      </c>
      <c r="G765" s="1" t="inlineStr">
        <is>
          <t>SQM</t>
        </is>
      </c>
      <c r="H765" s="1" t="inlineStr">
        <is>
          <t>Porcelain</t>
        </is>
      </c>
      <c r="I765" s="1" t="inlineStr">
        <is>
          <t>Matt</t>
        </is>
      </c>
      <c r="J765" t="n">
        <v>40.95</v>
      </c>
      <c r="K765" t="n">
        <v>40.95</v>
      </c>
      <c r="L765" t="n">
        <v>40.95</v>
      </c>
    </row>
    <row r="766">
      <c r="A766" s="1">
        <f>Hyperlink("https://www.wallsandfloors.co.uk/saloon-tiles-tavern-white-wood-tiles","Product")</f>
        <v/>
      </c>
      <c r="B766" s="1" t="inlineStr">
        <is>
          <t>14416</t>
        </is>
      </c>
      <c r="C766" s="1" t="inlineStr">
        <is>
          <t>Saloon Tavern White Wood Effect Tiles</t>
        </is>
      </c>
      <c r="D766" s="1" t="inlineStr">
        <is>
          <t>900x150x9.5mm</t>
        </is>
      </c>
      <c r="E766" s="1" t="n">
        <v>40.95</v>
      </c>
      <c r="F766" s="1" t="n">
        <v>0</v>
      </c>
      <c r="G766" s="1" t="inlineStr">
        <is>
          <t>SQM</t>
        </is>
      </c>
      <c r="H766" s="1" t="inlineStr">
        <is>
          <t>Porcelain</t>
        </is>
      </c>
      <c r="I766" s="1" t="inlineStr">
        <is>
          <t>Matt</t>
        </is>
      </c>
      <c r="J766" t="n">
        <v>40.95</v>
      </c>
      <c r="K766" t="n">
        <v>40.95</v>
      </c>
      <c r="L766" t="n">
        <v>40.95</v>
      </c>
    </row>
    <row r="767">
      <c r="A767" s="1">
        <f>Hyperlink("https://www.wallsandfloors.co.uk/sand-wave-polished-desert-black-60x60-tiles","Product")</f>
        <v/>
      </c>
      <c r="B767" s="1" t="inlineStr">
        <is>
          <t>39149</t>
        </is>
      </c>
      <c r="C767" s="1" t="inlineStr">
        <is>
          <t>Titanic Wave Polished Desert Black 60X60 Tiles</t>
        </is>
      </c>
      <c r="D767" s="1" t="inlineStr">
        <is>
          <t>600x600x9mm</t>
        </is>
      </c>
      <c r="E767" s="1" t="n">
        <v>26.95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Polished</t>
        </is>
      </c>
      <c r="J767" t="inlineStr"/>
      <c r="K767" t="n">
        <v>26.95</v>
      </c>
      <c r="L767" t="n">
        <v>26.95</v>
      </c>
    </row>
    <row r="768">
      <c r="A768" s="1">
        <f>Hyperlink("https://www.wallsandfloors.co.uk/shimmer-mosaic-tiles-lipari-mosaic-tiles","Product")</f>
        <v/>
      </c>
      <c r="B768" s="1" t="inlineStr">
        <is>
          <t>12158</t>
        </is>
      </c>
      <c r="C768" s="1" t="inlineStr">
        <is>
          <t>Shimmer Lipari Mosaic Tiles</t>
        </is>
      </c>
      <c r="D768" s="1" t="inlineStr">
        <is>
          <t>330x330x4mm</t>
        </is>
      </c>
      <c r="E768" s="1" t="n">
        <v>15.95</v>
      </c>
      <c r="F768" s="1" t="n">
        <v>0</v>
      </c>
      <c r="G768" s="1" t="inlineStr">
        <is>
          <t>Sheet</t>
        </is>
      </c>
      <c r="H768" s="1" t="inlineStr">
        <is>
          <t>Glass</t>
        </is>
      </c>
      <c r="I768" s="1" t="inlineStr">
        <is>
          <t>Gloss</t>
        </is>
      </c>
      <c r="J768" t="n">
        <v>15.95</v>
      </c>
      <c r="K768" t="n">
        <v>15.95</v>
      </c>
      <c r="L768" t="n">
        <v>15.95</v>
      </c>
    </row>
    <row r="769">
      <c r="A769" s="1">
        <f>Hyperlink("https://www.wallsandfloors.co.uk/sherwood-light-grey-20mm-wood-effect-tiles","Product")</f>
        <v/>
      </c>
      <c r="B769" s="1" t="inlineStr">
        <is>
          <t>44380</t>
        </is>
      </c>
      <c r="C769" s="1" t="inlineStr">
        <is>
          <t>Sherwood Light Grey Wood Effect Porcelain Paving Slabs</t>
        </is>
      </c>
      <c r="D769" s="1" t="inlineStr">
        <is>
          <t>1195x295x20mm</t>
        </is>
      </c>
      <c r="E769" s="1" t="n">
        <v>48.95</v>
      </c>
      <c r="F769" s="1" t="n">
        <v>0</v>
      </c>
      <c r="G769" s="1" t="inlineStr">
        <is>
          <t>SQM</t>
        </is>
      </c>
      <c r="H769" s="1" t="inlineStr">
        <is>
          <t>Porcelain</t>
        </is>
      </c>
      <c r="I769" s="1" t="inlineStr">
        <is>
          <t>Matt</t>
        </is>
      </c>
      <c r="J769" t="n">
        <v>48.95</v>
      </c>
      <c r="K769" t="n">
        <v>48.95</v>
      </c>
      <c r="L769" t="n">
        <v>48.95</v>
      </c>
    </row>
    <row r="770">
      <c r="A770" s="1">
        <f>Hyperlink("https://www.wallsandfloors.co.uk/sherwood-grey-20mm-wood-effect-tiles","Product")</f>
        <v/>
      </c>
      <c r="B770" s="1" t="inlineStr">
        <is>
          <t>44425</t>
        </is>
      </c>
      <c r="C770" s="1" t="inlineStr">
        <is>
          <t>Sherwood Grey Wood Effect Porcelain Paving Slabs</t>
        </is>
      </c>
      <c r="D770" s="1" t="inlineStr">
        <is>
          <t>1195x295x20mm</t>
        </is>
      </c>
      <c r="E770" s="1" t="n">
        <v>48.95</v>
      </c>
      <c r="F770" s="1" t="n">
        <v>0</v>
      </c>
      <c r="G770" s="1" t="inlineStr">
        <is>
          <t>SQM</t>
        </is>
      </c>
      <c r="H770" s="1" t="inlineStr">
        <is>
          <t>Porcelain</t>
        </is>
      </c>
      <c r="I770" s="1" t="inlineStr">
        <is>
          <t>Matt</t>
        </is>
      </c>
      <c r="J770" t="n">
        <v>48.95</v>
      </c>
      <c r="K770" t="inlineStr"/>
      <c r="L770" t="n">
        <v>48.95</v>
      </c>
    </row>
    <row r="771">
      <c r="A771" s="1">
        <f>Hyperlink("https://www.wallsandfloors.co.uk/sevenoaks-polished-timber-tiles-tudor-oak-polished-wood-effect-tiles","Product")</f>
        <v/>
      </c>
      <c r="B771" s="1" t="inlineStr">
        <is>
          <t>14861</t>
        </is>
      </c>
      <c r="C771" s="1" t="inlineStr">
        <is>
          <t>Sevenoaks Tudor Oak Polished Wood Effect Tiles</t>
        </is>
      </c>
      <c r="D771" s="1" t="inlineStr">
        <is>
          <t>1140x200x10mm</t>
        </is>
      </c>
      <c r="E771" s="1" t="n">
        <v>26.95</v>
      </c>
      <c r="F771" s="1" t="n">
        <v>0</v>
      </c>
      <c r="G771" s="1" t="inlineStr">
        <is>
          <t>SQM</t>
        </is>
      </c>
      <c r="H771" s="1" t="inlineStr">
        <is>
          <t>Porcelain</t>
        </is>
      </c>
      <c r="I771" s="1" t="inlineStr">
        <is>
          <t>Gloss</t>
        </is>
      </c>
      <c r="J771" t="n">
        <v>26.95</v>
      </c>
      <c r="K771" t="n">
        <v>26.95</v>
      </c>
      <c r="L771" t="n">
        <v>26.95</v>
      </c>
    </row>
    <row r="772">
      <c r="A772" s="1">
        <f>Hyperlink("https://www.wallsandfloors.co.uk/serpentine-stone-effect-multi-colour-stone-effect-tiles","Product")</f>
        <v/>
      </c>
      <c r="B772" s="1" t="inlineStr">
        <is>
          <t>13988</t>
        </is>
      </c>
      <c r="C772" s="1" t="inlineStr">
        <is>
          <t>Multi Colour Stone Effect Tiles</t>
        </is>
      </c>
      <c r="D772" s="1" t="inlineStr">
        <is>
          <t>600x300x7mm</t>
        </is>
      </c>
      <c r="E772" s="1" t="n">
        <v>34.95</v>
      </c>
      <c r="F772" s="1" t="n">
        <v>0</v>
      </c>
      <c r="G772" s="1" t="inlineStr">
        <is>
          <t>SQM</t>
        </is>
      </c>
      <c r="H772" s="1" t="inlineStr">
        <is>
          <t>Porcelain</t>
        </is>
      </c>
      <c r="I772" s="1" t="inlineStr">
        <is>
          <t>Matt</t>
        </is>
      </c>
      <c r="J772" t="n">
        <v>34.95</v>
      </c>
      <c r="K772" t="n">
        <v>34.95</v>
      </c>
      <c r="L772" t="n">
        <v>34.95</v>
      </c>
    </row>
    <row r="773">
      <c r="A773" s="1">
        <f>Hyperlink("https://www.wallsandfloors.co.uk/serpentine-stone-effect-grey-stone-effect-tiles","Product")</f>
        <v/>
      </c>
      <c r="B773" s="1" t="inlineStr">
        <is>
          <t>13986</t>
        </is>
      </c>
      <c r="C773" s="1" t="inlineStr">
        <is>
          <t>Grey Stone Effect Tiles</t>
        </is>
      </c>
      <c r="D773" s="1" t="inlineStr">
        <is>
          <t>600x300x7mm</t>
        </is>
      </c>
      <c r="E773" s="1" t="n">
        <v>34.95</v>
      </c>
      <c r="F773" s="1" t="n">
        <v>0</v>
      </c>
      <c r="G773" s="1" t="inlineStr">
        <is>
          <t>SQM</t>
        </is>
      </c>
      <c r="H773" s="1" t="inlineStr">
        <is>
          <t>Porcelain</t>
        </is>
      </c>
      <c r="I773" s="1" t="inlineStr">
        <is>
          <t>Matt</t>
        </is>
      </c>
      <c r="J773" t="n">
        <v>34.95</v>
      </c>
      <c r="K773" t="inlineStr"/>
      <c r="L773" t="n">
        <v>34.95</v>
      </c>
    </row>
    <row r="774">
      <c r="A774" s="1">
        <f>Hyperlink("https://www.wallsandfloors.co.uk/serpentine-stone-effect-beige-stone-effect-tiles","Product")</f>
        <v/>
      </c>
      <c r="B774" s="1" t="inlineStr">
        <is>
          <t>13985</t>
        </is>
      </c>
      <c r="C774" s="1" t="inlineStr">
        <is>
          <t>Beige Stone Effect Tiles</t>
        </is>
      </c>
      <c r="D774" s="1" t="inlineStr">
        <is>
          <t>600x300x7mm</t>
        </is>
      </c>
      <c r="E774" s="1" t="n">
        <v>34.95</v>
      </c>
      <c r="F774" s="1" t="n">
        <v>0</v>
      </c>
      <c r="G774" s="1" t="inlineStr">
        <is>
          <t>SQM</t>
        </is>
      </c>
      <c r="H774" s="1" t="inlineStr">
        <is>
          <t>Porcelain</t>
        </is>
      </c>
      <c r="I774" s="1" t="inlineStr">
        <is>
          <t>Matt</t>
        </is>
      </c>
      <c r="J774" t="n">
        <v>34.95</v>
      </c>
      <c r="K774" t="n">
        <v>34.95</v>
      </c>
      <c r="L774" t="n">
        <v>34.95</v>
      </c>
    </row>
    <row r="775">
      <c r="A775" s="1">
        <f>Hyperlink("https://www.wallsandfloors.co.uk/serenity-tiles-shaded-grey-matt-floor-tiles","Product")</f>
        <v/>
      </c>
      <c r="B775" s="1" t="inlineStr">
        <is>
          <t>14152</t>
        </is>
      </c>
      <c r="C775" s="1" t="inlineStr">
        <is>
          <t>Shaded Grey Matt Floor Tiles</t>
        </is>
      </c>
      <c r="D775" s="1" t="inlineStr">
        <is>
          <t>600x300x9mm</t>
        </is>
      </c>
      <c r="E775" s="1" t="n">
        <v>27.95</v>
      </c>
      <c r="F775" s="1" t="n">
        <v>0</v>
      </c>
      <c r="G775" s="1" t="inlineStr">
        <is>
          <t>SQM</t>
        </is>
      </c>
      <c r="H775" s="1" t="inlineStr">
        <is>
          <t>Porcelain</t>
        </is>
      </c>
      <c r="I775" s="1" t="inlineStr">
        <is>
          <t>Matt</t>
        </is>
      </c>
      <c r="J775" t="inlineStr"/>
      <c r="K775" t="n">
        <v>27.95</v>
      </c>
      <c r="L775" t="n">
        <v>27.95</v>
      </c>
    </row>
    <row r="776">
      <c r="A776" s="1">
        <f>Hyperlink("https://www.wallsandfloors.co.uk/seraglio-marble-effect-tiles-lambeth-palace-wall-tiles","Product")</f>
        <v/>
      </c>
      <c r="B776" s="1" t="inlineStr">
        <is>
          <t>13329</t>
        </is>
      </c>
      <c r="C776" s="1" t="inlineStr">
        <is>
          <t>Lambeth Palace Wall Tiles</t>
        </is>
      </c>
      <c r="D776" s="1" t="inlineStr">
        <is>
          <t>600x300x11mm</t>
        </is>
      </c>
      <c r="E776" s="1" t="n">
        <v>35.95</v>
      </c>
      <c r="F776" s="1" t="n">
        <v>0</v>
      </c>
      <c r="G776" s="1" t="inlineStr">
        <is>
          <t>SQM</t>
        </is>
      </c>
      <c r="H776" s="1" t="inlineStr">
        <is>
          <t>Ceramic</t>
        </is>
      </c>
      <c r="I776" s="1" t="inlineStr">
        <is>
          <t>Gloss</t>
        </is>
      </c>
      <c r="J776" t="n">
        <v>35.95</v>
      </c>
      <c r="K776" t="n">
        <v>35.95</v>
      </c>
      <c r="L776" t="n">
        <v>35.95</v>
      </c>
    </row>
    <row r="777">
      <c r="A777" s="1">
        <f>Hyperlink("https://www.wallsandfloors.co.uk/seraglio-marble-effect-tiles-lambeth-palace-floor-tiles","Product")</f>
        <v/>
      </c>
      <c r="B777" s="1" t="inlineStr">
        <is>
          <t>13316</t>
        </is>
      </c>
      <c r="C777" s="1" t="inlineStr">
        <is>
          <t>Lambeth Palace Floor Tiles</t>
        </is>
      </c>
      <c r="D777" s="1" t="inlineStr">
        <is>
          <t>600x600x10mm</t>
        </is>
      </c>
      <c r="E777" s="1" t="n">
        <v>45.95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Gloss</t>
        </is>
      </c>
      <c r="J777" t="n">
        <v>45.95</v>
      </c>
      <c r="K777" t="n">
        <v>45.95</v>
      </c>
      <c r="L777" t="n">
        <v>45.95</v>
      </c>
    </row>
    <row r="778">
      <c r="A778" s="1">
        <f>Hyperlink("https://www.wallsandfloors.co.uk/seraglio-marble-effect-tiles-kensington-palace-wall-tiles","Product")</f>
        <v/>
      </c>
      <c r="B778" s="1" t="inlineStr">
        <is>
          <t>13323</t>
        </is>
      </c>
      <c r="C778" s="1" t="inlineStr">
        <is>
          <t>Kensington Palace Wall Tiles</t>
        </is>
      </c>
      <c r="D778" s="1" t="inlineStr">
        <is>
          <t>600x300x11mm</t>
        </is>
      </c>
      <c r="E778" s="1" t="n">
        <v>35.95</v>
      </c>
      <c r="F778" s="1" t="n">
        <v>0</v>
      </c>
      <c r="G778" s="1" t="inlineStr">
        <is>
          <t>SQM</t>
        </is>
      </c>
      <c r="H778" s="1" t="inlineStr">
        <is>
          <t>Ceramic</t>
        </is>
      </c>
      <c r="I778" s="1" t="inlineStr">
        <is>
          <t>Gloss</t>
        </is>
      </c>
      <c r="J778" t="n">
        <v>35.95</v>
      </c>
      <c r="K778" t="n">
        <v>35.95</v>
      </c>
      <c r="L778" t="n">
        <v>35.95</v>
      </c>
    </row>
    <row r="779">
      <c r="A779" s="1">
        <f>Hyperlink("https://www.wallsandfloors.co.uk/seraglio-marble-effect-tiles-kensington-palace-floor-tiles","Product")</f>
        <v/>
      </c>
      <c r="B779" s="1" t="inlineStr">
        <is>
          <t>13312</t>
        </is>
      </c>
      <c r="C779" s="1" t="inlineStr">
        <is>
          <t>Kensington Palace Floor Tiles</t>
        </is>
      </c>
      <c r="D779" s="1" t="inlineStr">
        <is>
          <t>600x600x10mm</t>
        </is>
      </c>
      <c r="E779" s="1" t="n">
        <v>44.95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Gloss</t>
        </is>
      </c>
      <c r="J779" t="n">
        <v>44.95</v>
      </c>
      <c r="K779" t="n">
        <v>44.95</v>
      </c>
      <c r="L779" t="n">
        <v>44.95</v>
      </c>
    </row>
    <row r="780">
      <c r="A780" s="1">
        <f>Hyperlink("https://www.wallsandfloors.co.uk/seraglio-marble-effect-tiles-buckingham-palace-floor-tiles","Product")</f>
        <v/>
      </c>
      <c r="B780" s="1" t="inlineStr">
        <is>
          <t>13309</t>
        </is>
      </c>
      <c r="C780" s="1" t="inlineStr">
        <is>
          <t>Buckingham Palace Floor Tiles</t>
        </is>
      </c>
      <c r="D780" s="1" t="inlineStr">
        <is>
          <t>600x600x10mm</t>
        </is>
      </c>
      <c r="E780" s="1" t="n">
        <v>45.95</v>
      </c>
      <c r="F780" s="1" t="n">
        <v>0</v>
      </c>
      <c r="G780" s="1" t="inlineStr">
        <is>
          <t>SQM</t>
        </is>
      </c>
      <c r="H780" s="1" t="inlineStr">
        <is>
          <t>Porcelain</t>
        </is>
      </c>
      <c r="I780" s="1" t="inlineStr">
        <is>
          <t>Gloss</t>
        </is>
      </c>
      <c r="J780" t="n">
        <v>45.95</v>
      </c>
      <c r="K780" t="n">
        <v>45.95</v>
      </c>
      <c r="L780" t="n">
        <v>45.95</v>
      </c>
    </row>
    <row r="781">
      <c r="A781" s="1">
        <f>Hyperlink("https://www.wallsandfloors.co.uk/seasoned-timber-tiles-silvered-ash-wood-effect-tiles","Product")</f>
        <v/>
      </c>
      <c r="B781" s="1" t="inlineStr">
        <is>
          <t>14627</t>
        </is>
      </c>
      <c r="C781" s="1" t="inlineStr">
        <is>
          <t>Seasoned Timber Silvered Ash Wood Effect Tiles</t>
        </is>
      </c>
      <c r="D781" s="1" t="inlineStr">
        <is>
          <t>1000x160x10.5mm</t>
        </is>
      </c>
      <c r="E781" s="1" t="n">
        <v>59.95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n">
        <v>59.95</v>
      </c>
      <c r="K781" t="n">
        <v>59.95</v>
      </c>
      <c r="L781" t="n">
        <v>59.95</v>
      </c>
    </row>
    <row r="782">
      <c r="A782" s="1">
        <f>Hyperlink("https://www.wallsandfloors.co.uk/sea-green-matt-tiles","Product")</f>
        <v/>
      </c>
      <c r="B782" s="1" t="inlineStr">
        <is>
          <t>13684</t>
        </is>
      </c>
      <c r="C782" s="1" t="inlineStr">
        <is>
          <t>Marvel Matt Sea Green Wall Tiles</t>
        </is>
      </c>
      <c r="D782" s="1" t="inlineStr">
        <is>
          <t>148x148x6mm</t>
        </is>
      </c>
      <c r="E782" s="1" t="n">
        <v>23.95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Matt</t>
        </is>
      </c>
      <c r="J782" t="n">
        <v>23.95</v>
      </c>
      <c r="K782" t="n">
        <v>23.95</v>
      </c>
      <c r="L782" t="n">
        <v>23.95</v>
      </c>
    </row>
    <row r="783">
      <c r="A783" s="1">
        <f>Hyperlink("https://www.wallsandfloors.co.uk/scintilla-sapphire-tiles","Product")</f>
        <v/>
      </c>
      <c r="B783" s="1" t="inlineStr">
        <is>
          <t>39076</t>
        </is>
      </c>
      <c r="C783" s="1" t="inlineStr">
        <is>
          <t>Scintilla Sapphire Star Pattern Tiles</t>
        </is>
      </c>
      <c r="D783" s="1" t="inlineStr">
        <is>
          <t>450x450x10.5mm</t>
        </is>
      </c>
      <c r="E783" s="1" t="n">
        <v>19.95</v>
      </c>
      <c r="F783" s="1" t="n">
        <v>0</v>
      </c>
      <c r="G783" s="1" t="inlineStr">
        <is>
          <t>SQM</t>
        </is>
      </c>
      <c r="H783" s="1" t="inlineStr">
        <is>
          <t>Ceramic</t>
        </is>
      </c>
      <c r="I783" s="1" t="inlineStr">
        <is>
          <t>Matt</t>
        </is>
      </c>
      <c r="J783" t="n">
        <v>19.95</v>
      </c>
      <c r="K783" t="n">
        <v>19.95</v>
      </c>
      <c r="L783" t="n">
        <v>19.95</v>
      </c>
    </row>
    <row r="784">
      <c r="A784" s="1">
        <f>Hyperlink("https://www.wallsandfloors.co.uk/scintilla-night-pattern-tiles","Product")</f>
        <v/>
      </c>
      <c r="B784" s="1" t="inlineStr">
        <is>
          <t>44251</t>
        </is>
      </c>
      <c r="C784" s="1" t="inlineStr">
        <is>
          <t>Scintilla Night Pattern Tiles</t>
        </is>
      </c>
      <c r="D784" s="1" t="inlineStr">
        <is>
          <t>450x450x10.5mm</t>
        </is>
      </c>
      <c r="E784" s="1" t="n">
        <v>19.95</v>
      </c>
      <c r="F784" s="1" t="n">
        <v>0</v>
      </c>
      <c r="G784" s="1" t="inlineStr">
        <is>
          <t>SQM</t>
        </is>
      </c>
      <c r="H784" s="1" t="inlineStr">
        <is>
          <t>Ceramic</t>
        </is>
      </c>
      <c r="I784" s="1" t="inlineStr">
        <is>
          <t>Matt</t>
        </is>
      </c>
      <c r="J784" t="inlineStr"/>
      <c r="K784" t="inlineStr"/>
      <c r="L784" t="n">
        <v>19.95</v>
      </c>
    </row>
    <row r="785">
      <c r="A785" s="1">
        <f>Hyperlink("https://www.wallsandfloors.co.uk/schluter-systems-schluter-kerdi-kereck-external-angle","Product")</f>
        <v/>
      </c>
      <c r="B785" s="1" t="inlineStr">
        <is>
          <t>12910</t>
        </is>
      </c>
      <c r="C785" s="1" t="inlineStr">
        <is>
          <t>Schluter Kerdi-Kereck External Angle</t>
        </is>
      </c>
      <c r="D785" s="1" t="inlineStr">
        <is>
          <t>Corner Shaped</t>
        </is>
      </c>
      <c r="E785" s="1" t="n">
        <v>6.45</v>
      </c>
      <c r="F785" s="1" t="n">
        <v>0</v>
      </c>
      <c r="G785" s="1" t="inlineStr">
        <is>
          <t>Pack</t>
        </is>
      </c>
      <c r="H785" s="1" t="inlineStr">
        <is>
          <t>Preparation Products</t>
        </is>
      </c>
      <c r="I785" s="1" t="inlineStr">
        <is>
          <t>-</t>
        </is>
      </c>
      <c r="J785" t="inlineStr"/>
      <c r="K785" t="n">
        <v>6.45</v>
      </c>
      <c r="L785" t="n">
        <v>6.45</v>
      </c>
    </row>
    <row r="786">
      <c r="A786" s="1">
        <f>Hyperlink("https://www.wallsandfloors.co.uk/schluter-systems-schluter-ditra-matting-roll-cut","Product")</f>
        <v/>
      </c>
      <c r="B786" s="1" t="inlineStr">
        <is>
          <t>10965</t>
        </is>
      </c>
      <c r="C786" s="1" t="inlineStr">
        <is>
          <t>Schluter  Ditra Matting Roll (Cut)</t>
        </is>
      </c>
      <c r="D786" s="1" t="inlineStr">
        <is>
          <t>1m</t>
        </is>
      </c>
      <c r="E786" s="1" t="n">
        <v>13.95</v>
      </c>
      <c r="F786" s="1" t="n">
        <v>0</v>
      </c>
      <c r="G786" s="1" t="inlineStr">
        <is>
          <t>Unit</t>
        </is>
      </c>
      <c r="H786" s="1" t="inlineStr">
        <is>
          <t>Preparation Products</t>
        </is>
      </c>
      <c r="I786" s="1" t="inlineStr">
        <is>
          <t>-</t>
        </is>
      </c>
      <c r="J786" t="inlineStr"/>
      <c r="K786" t="n">
        <v>13.95</v>
      </c>
      <c r="L786" t="n">
        <v>13.95</v>
      </c>
    </row>
    <row r="787">
      <c r="A787" s="1">
        <f>Hyperlink("https://www.wallsandfloors.co.uk/schluter-systems-schluter-ditra-matting-roll","Product")</f>
        <v/>
      </c>
      <c r="B787" s="1" t="inlineStr">
        <is>
          <t>10425</t>
        </is>
      </c>
      <c r="C787" s="1" t="inlineStr">
        <is>
          <t>Schluter Ditra Matting Roll</t>
        </is>
      </c>
      <c r="D787" s="1" t="inlineStr">
        <is>
          <t>30m</t>
        </is>
      </c>
      <c r="E787" s="1" t="n">
        <v>369.95</v>
      </c>
      <c r="F787" s="1" t="n">
        <v>0</v>
      </c>
      <c r="G787" s="1" t="inlineStr">
        <is>
          <t>Unit</t>
        </is>
      </c>
      <c r="H787" s="1" t="inlineStr">
        <is>
          <t>Preparation Products</t>
        </is>
      </c>
      <c r="I787" s="1" t="inlineStr">
        <is>
          <t>-</t>
        </is>
      </c>
      <c r="J787" t="n">
        <v>369.95</v>
      </c>
      <c r="K787" t="n">
        <v>369.95</v>
      </c>
      <c r="L787" t="n">
        <v>369.95</v>
      </c>
    </row>
    <row r="788">
      <c r="A788" s="1">
        <f>Hyperlink("https://www.wallsandfloors.co.uk/schluter-systems-ditra-sound-heavy-pe-mat","Product")</f>
        <v/>
      </c>
      <c r="B788" s="1" t="inlineStr">
        <is>
          <t>14419</t>
        </is>
      </c>
      <c r="C788" s="1" t="inlineStr">
        <is>
          <t>Ditra Sound Heavy Pe Mat</t>
        </is>
      </c>
      <c r="D788" s="1" t="inlineStr">
        <is>
          <t>750x550x3.5mm</t>
        </is>
      </c>
      <c r="E788" s="1" t="n">
        <v>9.949999999999999</v>
      </c>
      <c r="F788" s="1" t="n">
        <v>0</v>
      </c>
      <c r="G788" s="1" t="inlineStr">
        <is>
          <t>Units</t>
        </is>
      </c>
      <c r="H788" s="1" t="inlineStr">
        <is>
          <t>-</t>
        </is>
      </c>
      <c r="I788" s="1" t="inlineStr">
        <is>
          <t>Matt</t>
        </is>
      </c>
      <c r="J788" t="inlineStr"/>
      <c r="K788" t="n">
        <v>9.949999999999999</v>
      </c>
      <c r="L788" t="n">
        <v>9.949999999999999</v>
      </c>
    </row>
    <row r="789">
      <c r="A789" s="1">
        <f>Hyperlink("https://www.wallsandfloors.co.uk/santarem-anti-slip-tiles-pale-blue-anti-slip-tiles","Product")</f>
        <v/>
      </c>
      <c r="B789" s="1" t="inlineStr">
        <is>
          <t>11378</t>
        </is>
      </c>
      <c r="C789" s="1" t="inlineStr">
        <is>
          <t>Santarem Pale Blue Anti-Slip Tiles</t>
        </is>
      </c>
      <c r="D789" s="1" t="inlineStr">
        <is>
          <t>197x197x9mm</t>
        </is>
      </c>
      <c r="E789" s="1" t="n">
        <v>25.95</v>
      </c>
      <c r="F789" s="1" t="n">
        <v>0</v>
      </c>
      <c r="G789" s="1" t="inlineStr">
        <is>
          <t>SQM</t>
        </is>
      </c>
      <c r="H789" s="1" t="inlineStr">
        <is>
          <t>Porcelain</t>
        </is>
      </c>
      <c r="I789" s="1" t="inlineStr">
        <is>
          <t>Matt</t>
        </is>
      </c>
      <c r="J789" t="n">
        <v>25.95</v>
      </c>
      <c r="K789" t="inlineStr"/>
      <c r="L789" t="n">
        <v>25.95</v>
      </c>
    </row>
    <row r="790">
      <c r="A790" s="1">
        <f>Hyperlink("https://www.wallsandfloors.co.uk/santarem-anti-slip-tiles-black-anti-slip-tiles","Product")</f>
        <v/>
      </c>
      <c r="B790" s="1" t="inlineStr">
        <is>
          <t>11376</t>
        </is>
      </c>
      <c r="C790" s="1" t="inlineStr">
        <is>
          <t>Santarem Black Anti-Slip Tiles</t>
        </is>
      </c>
      <c r="D790" s="1" t="inlineStr">
        <is>
          <t>197x197x9mm</t>
        </is>
      </c>
      <c r="E790" s="1" t="n">
        <v>25.95</v>
      </c>
      <c r="F790" s="1" t="n">
        <v>0</v>
      </c>
      <c r="G790" s="1" t="inlineStr">
        <is>
          <t>SQM</t>
        </is>
      </c>
      <c r="H790" s="1" t="inlineStr">
        <is>
          <t>Porcelain</t>
        </is>
      </c>
      <c r="I790" s="1" t="inlineStr">
        <is>
          <t>Matt</t>
        </is>
      </c>
      <c r="J790" t="n">
        <v>25.95</v>
      </c>
      <c r="K790" t="inlineStr"/>
      <c r="L790" t="n">
        <v>25.95</v>
      </c>
    </row>
    <row r="791">
      <c r="A791" s="1">
        <f>Hyperlink("https://www.wallsandfloors.co.uk/ruvido-hexagon-tiles-oppidan-city-tiles","Product")</f>
        <v/>
      </c>
      <c r="B791" s="1" t="inlineStr">
        <is>
          <t>14323</t>
        </is>
      </c>
      <c r="C791" s="1" t="inlineStr">
        <is>
          <t>Ruvido Oppidan City Hexagon Tiles</t>
        </is>
      </c>
      <c r="D791" s="1" t="inlineStr">
        <is>
          <t>450x450x9mm</t>
        </is>
      </c>
      <c r="E791" s="1" t="n">
        <v>15</v>
      </c>
      <c r="F791" s="1" t="n">
        <v>0</v>
      </c>
      <c r="G791" s="1" t="inlineStr">
        <is>
          <t>SQM</t>
        </is>
      </c>
      <c r="H791" s="1" t="inlineStr">
        <is>
          <t>Porcelain</t>
        </is>
      </c>
      <c r="I791" s="1" t="inlineStr">
        <is>
          <t>Matt</t>
        </is>
      </c>
      <c r="J791" t="n">
        <v>15</v>
      </c>
      <c r="K791" t="inlineStr"/>
      <c r="L791" t="n">
        <v>15</v>
      </c>
    </row>
    <row r="792">
      <c r="A792" s="1">
        <f>Hyperlink("https://www.wallsandfloors.co.uk/shimmer-mosaic-tiles-san-domino-mosaic-tiles","Product")</f>
        <v/>
      </c>
      <c r="B792" s="1" t="inlineStr">
        <is>
          <t>12163</t>
        </is>
      </c>
      <c r="C792" s="1" t="inlineStr">
        <is>
          <t>San Domino Mosaic Tiles</t>
        </is>
      </c>
      <c r="D792" s="1" t="inlineStr">
        <is>
          <t>330x330x4mm</t>
        </is>
      </c>
      <c r="E792" s="1" t="n">
        <v>13.95</v>
      </c>
      <c r="F792" s="1" t="n">
        <v>0</v>
      </c>
      <c r="G792" s="1" t="inlineStr">
        <is>
          <t>Sheet</t>
        </is>
      </c>
      <c r="H792" s="1" t="inlineStr">
        <is>
          <t>Glass</t>
        </is>
      </c>
      <c r="I792" s="1" t="inlineStr">
        <is>
          <t>Gloss</t>
        </is>
      </c>
      <c r="J792" t="n">
        <v>13.95</v>
      </c>
      <c r="K792" t="n">
        <v>13.95</v>
      </c>
      <c r="L792" t="n">
        <v>13.95</v>
      </c>
    </row>
    <row r="793">
      <c r="A793" s="1">
        <f>Hyperlink("https://www.wallsandfloors.co.uk/ruvido-hexagon-tiles-folk-tale-tiles","Product")</f>
        <v/>
      </c>
      <c r="B793" s="1" t="inlineStr">
        <is>
          <t>14321</t>
        </is>
      </c>
      <c r="C793" s="1" t="inlineStr">
        <is>
          <t>Ruvido Folk Tale Hexagon Tiles</t>
        </is>
      </c>
      <c r="D793" s="1" t="inlineStr">
        <is>
          <t>450x450x9mm</t>
        </is>
      </c>
      <c r="E793" s="1" t="n">
        <v>30.95</v>
      </c>
      <c r="F793" s="1" t="n">
        <v>0</v>
      </c>
      <c r="G793" s="1" t="inlineStr">
        <is>
          <t>SQM</t>
        </is>
      </c>
      <c r="H793" s="1" t="inlineStr">
        <is>
          <t>Porcelain</t>
        </is>
      </c>
      <c r="I793" s="1" t="inlineStr">
        <is>
          <t>Matt</t>
        </is>
      </c>
      <c r="J793" t="inlineStr"/>
      <c r="K793" t="inlineStr"/>
      <c r="L793" t="n">
        <v>30.95</v>
      </c>
    </row>
    <row r="794">
      <c r="A794" s="1">
        <f>Hyperlink("https://www.wallsandfloors.co.uk/rustic-shimmer-copper-tiles","Product")</f>
        <v/>
      </c>
      <c r="B794" s="1" t="inlineStr">
        <is>
          <t>37275</t>
        </is>
      </c>
      <c r="C794" s="1" t="inlineStr">
        <is>
          <t>Crystal Rustic Shimmer Copper Split Face Tiles</t>
        </is>
      </c>
      <c r="D794" s="1" t="inlineStr">
        <is>
          <t>300x150x8-15mm</t>
        </is>
      </c>
      <c r="E794" s="1" t="n">
        <v>54.95</v>
      </c>
      <c r="F794" s="1" t="n">
        <v>0</v>
      </c>
      <c r="G794" s="1" t="inlineStr">
        <is>
          <t>SQM</t>
        </is>
      </c>
      <c r="H794" s="1" t="inlineStr">
        <is>
          <t>Quartzite</t>
        </is>
      </c>
      <c r="I794" s="1" t="inlineStr">
        <is>
          <t>Matt</t>
        </is>
      </c>
      <c r="J794" t="n">
        <v>54.95</v>
      </c>
      <c r="K794" t="n">
        <v>54.95</v>
      </c>
      <c r="L794" t="n">
        <v>54.95</v>
      </c>
    </row>
    <row r="795">
      <c r="A795" s="1">
        <f>Hyperlink("https://www.wallsandfloors.co.uk/rubi-tools-3mm-spacers","Product")</f>
        <v/>
      </c>
      <c r="B795" s="1" t="inlineStr">
        <is>
          <t>9114</t>
        </is>
      </c>
      <c r="C795" s="1" t="inlineStr">
        <is>
          <t>3mm Spacers</t>
        </is>
      </c>
      <c r="D795" s="1" t="inlineStr">
        <is>
          <t>3mm - 1000pk</t>
        </is>
      </c>
      <c r="E795" s="1" t="n">
        <v>9.449999999999999</v>
      </c>
      <c r="F795" s="1" t="n">
        <v>0</v>
      </c>
      <c r="G795" s="1" t="inlineStr">
        <is>
          <t>Unit</t>
        </is>
      </c>
      <c r="H795" s="1" t="inlineStr">
        <is>
          <t>Spacers</t>
        </is>
      </c>
      <c r="I795" s="1" t="inlineStr">
        <is>
          <t>-</t>
        </is>
      </c>
      <c r="J795" t="inlineStr"/>
      <c r="K795" t="inlineStr"/>
      <c r="L795" t="n">
        <v>9.449999999999999</v>
      </c>
    </row>
    <row r="796">
      <c r="A796" s="1">
        <f>Hyperlink("https://www.wallsandfloors.co.uk/rubi-tools-1mm-spacers","Product")</f>
        <v/>
      </c>
      <c r="B796" s="1" t="inlineStr">
        <is>
          <t>9078</t>
        </is>
      </c>
      <c r="C796" s="1" t="inlineStr">
        <is>
          <t>1mm Spacers</t>
        </is>
      </c>
      <c r="D796" s="1" t="inlineStr">
        <is>
          <t>1mm - 1000pk</t>
        </is>
      </c>
      <c r="E796" s="1" t="n">
        <v>6.95</v>
      </c>
      <c r="F796" s="1" t="n">
        <v>0</v>
      </c>
      <c r="G796" s="1" t="inlineStr">
        <is>
          <t>Unit</t>
        </is>
      </c>
      <c r="H796" s="1" t="inlineStr">
        <is>
          <t>Spacers</t>
        </is>
      </c>
      <c r="I796" s="1" t="inlineStr">
        <is>
          <t>-</t>
        </is>
      </c>
      <c r="J796" t="n">
        <v>6.95</v>
      </c>
      <c r="K796" t="n">
        <v>6.95</v>
      </c>
      <c r="L796" t="n">
        <v>6.95</v>
      </c>
    </row>
    <row r="797">
      <c r="A797" s="1">
        <f>Hyperlink("https://www.wallsandfloors.co.uk/rubi-t-spacers-2mm","Product")</f>
        <v/>
      </c>
      <c r="B797" s="1" t="inlineStr">
        <is>
          <t>35339</t>
        </is>
      </c>
      <c r="C797" s="1" t="inlineStr">
        <is>
          <t>2mm T Spacers</t>
        </is>
      </c>
      <c r="D797" s="1" t="inlineStr">
        <is>
          <t>2mm - 1000pk</t>
        </is>
      </c>
      <c r="E797" s="1" t="n">
        <v>8.949999999999999</v>
      </c>
      <c r="F797" s="1" t="n">
        <v>0</v>
      </c>
      <c r="G797" s="1" t="inlineStr">
        <is>
          <t>Unit</t>
        </is>
      </c>
      <c r="H797" s="1" t="inlineStr">
        <is>
          <t>P.V.C.</t>
        </is>
      </c>
      <c r="I797" s="1" t="inlineStr">
        <is>
          <t>-</t>
        </is>
      </c>
      <c r="J797" t="n">
        <v>8.949999999999999</v>
      </c>
      <c r="K797" t="n">
        <v>8.949999999999999</v>
      </c>
      <c r="L797" t="n">
        <v>8.949999999999999</v>
      </c>
    </row>
    <row r="798">
      <c r="A798" s="1">
        <f>Hyperlink("https://www.wallsandfloors.co.uk/rubi-mini-kit-drygres-diamond-drill-bits-kit","Product")</f>
        <v/>
      </c>
      <c r="B798" s="1" t="inlineStr">
        <is>
          <t>34798</t>
        </is>
      </c>
      <c r="C798" s="1" t="inlineStr">
        <is>
          <t>Mini Drygres Diamond Drill Bits Kit</t>
        </is>
      </c>
      <c r="D798" s="1" t="n">
        <v>1</v>
      </c>
      <c r="E798" s="1" t="n">
        <v>77.55</v>
      </c>
      <c r="F798" s="1" t="n">
        <v>0</v>
      </c>
      <c r="G798" s="1" t="inlineStr">
        <is>
          <t>Unit</t>
        </is>
      </c>
      <c r="H798" s="1" t="inlineStr">
        <is>
          <t>Accessories</t>
        </is>
      </c>
      <c r="I798" s="1" t="inlineStr">
        <is>
          <t>-</t>
        </is>
      </c>
      <c r="J798" t="n">
        <v>77.55</v>
      </c>
      <c r="K798" t="n">
        <v>77.55</v>
      </c>
      <c r="L798" t="n">
        <v>77.55</v>
      </c>
    </row>
    <row r="799">
      <c r="A799" s="1">
        <f>Hyperlink("https://www.wallsandfloors.co.uk/rubi-cpc2-200mm-diamond-blade","Product")</f>
        <v/>
      </c>
      <c r="B799" s="1" t="inlineStr">
        <is>
          <t>27520</t>
        </is>
      </c>
      <c r="C799" s="1" t="inlineStr">
        <is>
          <t>CPC2 200mm Porcelain Tile Diamond Blade</t>
        </is>
      </c>
      <c r="D799" s="1" t="inlineStr">
        <is>
          <t>200mm</t>
        </is>
      </c>
      <c r="E799" s="1" t="n">
        <v>54.85</v>
      </c>
      <c r="F799" s="1" t="n">
        <v>0</v>
      </c>
      <c r="G799" s="1" t="inlineStr"/>
      <c r="H799" s="1" t="inlineStr">
        <is>
          <t>Accessories</t>
        </is>
      </c>
      <c r="I799" s="1" t="inlineStr">
        <is>
          <t>-</t>
        </is>
      </c>
      <c r="J799" t="n">
        <v>54.85</v>
      </c>
      <c r="K799" t="inlineStr"/>
      <c r="L799" t="n">
        <v>54.85</v>
      </c>
    </row>
    <row r="800">
      <c r="A800" s="1">
        <f>Hyperlink("https://www.wallsandfloors.co.uk/rubber-basket-espuerta-no-99-33-l","Product")</f>
        <v/>
      </c>
      <c r="B800" s="1" t="inlineStr">
        <is>
          <t>40423</t>
        </is>
      </c>
      <c r="C800" s="1" t="inlineStr">
        <is>
          <t>Rubber Basket (33 L.)</t>
        </is>
      </c>
      <c r="D800" s="1" t="inlineStr">
        <is>
          <t>33Ltr</t>
        </is>
      </c>
      <c r="E800" s="1" t="n">
        <v>11.79</v>
      </c>
      <c r="F800" s="1" t="n">
        <v>0</v>
      </c>
      <c r="G800" s="1" t="inlineStr">
        <is>
          <t>Unit</t>
        </is>
      </c>
      <c r="H800" s="1" t="inlineStr">
        <is>
          <t>Tools</t>
        </is>
      </c>
      <c r="I800" s="1" t="inlineStr">
        <is>
          <t>-</t>
        </is>
      </c>
      <c r="J800" t="n">
        <v>11.79</v>
      </c>
      <c r="K800" t="n">
        <v>11.79</v>
      </c>
      <c r="L800" t="n">
        <v>11.79</v>
      </c>
    </row>
    <row r="801">
      <c r="A801" s="1">
        <f>Hyperlink("https://www.wallsandfloors.co.uk/rosebery-statement-tiles-white-lane-tiles","Product")</f>
        <v/>
      </c>
      <c r="B801" s="1" t="inlineStr">
        <is>
          <t>35116</t>
        </is>
      </c>
      <c r="C801" s="1" t="inlineStr">
        <is>
          <t>White Lane Tiles</t>
        </is>
      </c>
      <c r="D801" s="1" t="inlineStr">
        <is>
          <t>200x200x6mm</t>
        </is>
      </c>
      <c r="E801" s="1" t="n">
        <v>29.95</v>
      </c>
      <c r="F801" s="1" t="n">
        <v>0</v>
      </c>
      <c r="G801" s="1" t="inlineStr">
        <is>
          <t>SQM</t>
        </is>
      </c>
      <c r="H801" s="1" t="inlineStr">
        <is>
          <t>Porcelain</t>
        </is>
      </c>
      <c r="I801" s="1" t="inlineStr">
        <is>
          <t>Matt</t>
        </is>
      </c>
      <c r="J801" t="n">
        <v>29.95</v>
      </c>
      <c r="K801" t="n">
        <v>29.95</v>
      </c>
      <c r="L801" t="n">
        <v>29.95</v>
      </c>
    </row>
    <row r="802">
      <c r="A802" s="1">
        <f>Hyperlink("https://www.wallsandfloors.co.uk/rosebery-statement-tiles-park-lane-tiles","Product")</f>
        <v/>
      </c>
      <c r="B802" s="1" t="inlineStr">
        <is>
          <t>15608</t>
        </is>
      </c>
      <c r="C802" s="1" t="inlineStr">
        <is>
          <t>Park Lane Tiles</t>
        </is>
      </c>
      <c r="D802" s="1" t="inlineStr">
        <is>
          <t>200x200x6mm</t>
        </is>
      </c>
      <c r="E802" s="1" t="n">
        <v>29.95</v>
      </c>
      <c r="F802" s="1" t="n">
        <v>0</v>
      </c>
      <c r="G802" s="1" t="inlineStr">
        <is>
          <t>SQM</t>
        </is>
      </c>
      <c r="H802" s="1" t="inlineStr">
        <is>
          <t>Porcelain</t>
        </is>
      </c>
      <c r="I802" s="1" t="inlineStr">
        <is>
          <t>Matt</t>
        </is>
      </c>
      <c r="J802" t="n">
        <v>29.95</v>
      </c>
      <c r="K802" t="inlineStr"/>
      <c r="L802" t="n">
        <v>29.95</v>
      </c>
    </row>
    <row r="803">
      <c r="A803" s="1">
        <f>Hyperlink("https://www.wallsandfloors.co.uk/rosebery-statement-tiles-may-fair-tiles","Product")</f>
        <v/>
      </c>
      <c r="B803" s="1" t="inlineStr">
        <is>
          <t>15609</t>
        </is>
      </c>
      <c r="C803" s="1" t="inlineStr">
        <is>
          <t>May Fair Tiles</t>
        </is>
      </c>
      <c r="D803" s="1" t="inlineStr">
        <is>
          <t>200x200x6mm</t>
        </is>
      </c>
      <c r="E803" s="1" t="n">
        <v>29.95</v>
      </c>
      <c r="F803" s="1" t="n">
        <v>0</v>
      </c>
      <c r="G803" s="1" t="inlineStr">
        <is>
          <t>SQM</t>
        </is>
      </c>
      <c r="H803" s="1" t="inlineStr">
        <is>
          <t>Porcelain</t>
        </is>
      </c>
      <c r="I803" s="1" t="inlineStr">
        <is>
          <t>Matt</t>
        </is>
      </c>
      <c r="J803" t="n">
        <v>29.95</v>
      </c>
      <c r="K803" t="n">
        <v>29.95</v>
      </c>
      <c r="L803" t="n">
        <v>29.95</v>
      </c>
    </row>
    <row r="804">
      <c r="A804" s="1">
        <f>Hyperlink("https://www.wallsandfloors.co.uk/rosebery-statement-tiles-harley-street-tiles","Product")</f>
        <v/>
      </c>
      <c r="B804" s="1" t="inlineStr">
        <is>
          <t>15610</t>
        </is>
      </c>
      <c r="C804" s="1" t="inlineStr">
        <is>
          <t>Harley Street Tiles</t>
        </is>
      </c>
      <c r="D804" s="1" t="inlineStr">
        <is>
          <t>200x200x6mm</t>
        </is>
      </c>
      <c r="E804" s="1" t="n">
        <v>29.95</v>
      </c>
      <c r="F804" s="1" t="n">
        <v>0</v>
      </c>
      <c r="G804" s="1" t="inlineStr">
        <is>
          <t>SQM</t>
        </is>
      </c>
      <c r="H804" s="1" t="inlineStr">
        <is>
          <t>Porcelain</t>
        </is>
      </c>
      <c r="I804" s="1" t="inlineStr">
        <is>
          <t>Matt</t>
        </is>
      </c>
      <c r="J804" t="n">
        <v>29.95</v>
      </c>
      <c r="K804" t="n">
        <v>29.95</v>
      </c>
      <c r="L804" t="n">
        <v>29.95</v>
      </c>
    </row>
    <row r="805">
      <c r="A805" s="1">
        <f>Hyperlink("https://www.wallsandfloors.co.uk/rubi-tools-3mm-t-spacers","Product")</f>
        <v/>
      </c>
      <c r="B805" s="1" t="inlineStr">
        <is>
          <t>9079</t>
        </is>
      </c>
      <c r="C805" s="1" t="inlineStr">
        <is>
          <t>3mm  T  Spacers</t>
        </is>
      </c>
      <c r="D805" s="1" t="inlineStr">
        <is>
          <t>3mm - 1000pk</t>
        </is>
      </c>
      <c r="E805" s="1" t="n">
        <v>13.75</v>
      </c>
      <c r="F805" s="1" t="n">
        <v>0</v>
      </c>
      <c r="G805" s="1" t="inlineStr">
        <is>
          <t>Unit</t>
        </is>
      </c>
      <c r="H805" s="1" t="inlineStr">
        <is>
          <t>Spacers</t>
        </is>
      </c>
      <c r="I805" s="1" t="inlineStr">
        <is>
          <t>-</t>
        </is>
      </c>
      <c r="J805" t="n">
        <v>13.75</v>
      </c>
      <c r="K805" t="n">
        <v>13.75</v>
      </c>
      <c r="L805" t="n">
        <v>13.75</v>
      </c>
    </row>
    <row r="806">
      <c r="A806" s="1">
        <f>Hyperlink("https://www.wallsandfloors.co.uk/rosebery-statement-tiles-grey-square-tiles","Product")</f>
        <v/>
      </c>
      <c r="B806" s="1" t="inlineStr">
        <is>
          <t>35115</t>
        </is>
      </c>
      <c r="C806" s="1" t="inlineStr">
        <is>
          <t>Grey Square Tiles</t>
        </is>
      </c>
      <c r="D806" s="1" t="inlineStr">
        <is>
          <t>200x200x6mm</t>
        </is>
      </c>
      <c r="E806" s="1" t="n">
        <v>29.95</v>
      </c>
      <c r="F806" s="1" t="n">
        <v>0</v>
      </c>
      <c r="G806" s="1" t="inlineStr">
        <is>
          <t>SQM</t>
        </is>
      </c>
      <c r="H806" s="1" t="inlineStr">
        <is>
          <t>Porcelain</t>
        </is>
      </c>
      <c r="I806" s="1" t="inlineStr">
        <is>
          <t>Matt</t>
        </is>
      </c>
      <c r="J806" t="n">
        <v>29.95</v>
      </c>
      <c r="K806" t="n">
        <v>29.95</v>
      </c>
      <c r="L806" t="n">
        <v>29.95</v>
      </c>
    </row>
    <row r="807">
      <c r="A807" s="1">
        <f>Hyperlink("https://www.wallsandfloors.co.uk/rosebery-statement-tiles-cavendish-square-tiles","Product")</f>
        <v/>
      </c>
      <c r="B807" s="1" t="inlineStr">
        <is>
          <t>15612</t>
        </is>
      </c>
      <c r="C807" s="1" t="inlineStr">
        <is>
          <t>Cavendish Square Tiles</t>
        </is>
      </c>
      <c r="D807" s="1" t="inlineStr">
        <is>
          <t>200x200x6mm</t>
        </is>
      </c>
      <c r="E807" s="1" t="n">
        <v>29.95</v>
      </c>
      <c r="F807" s="1" t="n">
        <v>0</v>
      </c>
      <c r="G807" s="1" t="inlineStr">
        <is>
          <t>SQM</t>
        </is>
      </c>
      <c r="H807" s="1" t="inlineStr">
        <is>
          <t>Porcelain</t>
        </is>
      </c>
      <c r="I807" s="1" t="inlineStr">
        <is>
          <t>Matt</t>
        </is>
      </c>
      <c r="J807" t="n">
        <v>29.95</v>
      </c>
      <c r="K807" t="n">
        <v>29.95</v>
      </c>
      <c r="L807" t="n">
        <v>29.95</v>
      </c>
    </row>
    <row r="808">
      <c r="A808" s="1">
        <f>Hyperlink("https://www.wallsandfloors.co.uk/rosebery-statement-tiles-belgrave-square-tiles","Product")</f>
        <v/>
      </c>
      <c r="B808" s="1" t="inlineStr">
        <is>
          <t>15611</t>
        </is>
      </c>
      <c r="C808" s="1" t="inlineStr">
        <is>
          <t>Belgrave Square Tiles</t>
        </is>
      </c>
      <c r="D808" s="1" t="inlineStr">
        <is>
          <t>200x200x6mm</t>
        </is>
      </c>
      <c r="E808" s="1" t="n">
        <v>29.95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Matt</t>
        </is>
      </c>
      <c r="J808" t="inlineStr"/>
      <c r="K808" t="n">
        <v>29.95</v>
      </c>
      <c r="L808" t="n">
        <v>29.95</v>
      </c>
    </row>
    <row r="809">
      <c r="A809" s="1">
        <f>Hyperlink("https://www.wallsandfloors.co.uk/riverine-natural-soft-stone-wall-tiles","Product")</f>
        <v/>
      </c>
      <c r="B809" s="1" t="inlineStr">
        <is>
          <t>25121</t>
        </is>
      </c>
      <c r="C809" s="1" t="inlineStr">
        <is>
          <t>Natural Soft Stone Wall Tiles</t>
        </is>
      </c>
      <c r="D809" s="1" t="inlineStr">
        <is>
          <t>300x200x9mm</t>
        </is>
      </c>
      <c r="E809" s="1" t="n">
        <v>25.95</v>
      </c>
      <c r="F809" s="1" t="n">
        <v>0</v>
      </c>
      <c r="G809" s="1" t="inlineStr">
        <is>
          <t>SQM</t>
        </is>
      </c>
      <c r="H809" s="1" t="inlineStr">
        <is>
          <t>Ceramic</t>
        </is>
      </c>
      <c r="I809" s="1" t="inlineStr">
        <is>
          <t>Matt</t>
        </is>
      </c>
      <c r="J809" t="n">
        <v>25.95</v>
      </c>
      <c r="K809" t="inlineStr"/>
      <c r="L809" t="n">
        <v>25.95</v>
      </c>
    </row>
    <row r="810">
      <c r="A810" s="1">
        <f>Hyperlink("https://www.wallsandfloors.co.uk/riverine-natural-soft-stone-tiles","Product")</f>
        <v/>
      </c>
      <c r="B810" s="1" t="inlineStr">
        <is>
          <t>28542</t>
        </is>
      </c>
      <c r="C810" s="1" t="inlineStr">
        <is>
          <t>Natural Soft Stone Tiles</t>
        </is>
      </c>
      <c r="D810" s="1" t="inlineStr">
        <is>
          <t>305x305x6mm</t>
        </is>
      </c>
      <c r="E810" s="1" t="n">
        <v>28.95</v>
      </c>
      <c r="F810" s="1" t="n">
        <v>0</v>
      </c>
      <c r="G810" s="1" t="inlineStr">
        <is>
          <t>SQM</t>
        </is>
      </c>
      <c r="H810" s="1" t="inlineStr">
        <is>
          <t>Porcelain</t>
        </is>
      </c>
      <c r="I810" s="1" t="inlineStr">
        <is>
          <t>Matt</t>
        </is>
      </c>
      <c r="J810" t="n">
        <v>28.95</v>
      </c>
      <c r="K810" t="n">
        <v>28.95</v>
      </c>
      <c r="L810" t="n">
        <v>28.95</v>
      </c>
    </row>
    <row r="811">
      <c r="A811" s="1">
        <f>Hyperlink("https://www.wallsandfloors.co.uk/riverine-grey-soft-stone-wall-tiles","Product")</f>
        <v/>
      </c>
      <c r="B811" s="1" t="inlineStr">
        <is>
          <t>25123</t>
        </is>
      </c>
      <c r="C811" s="1" t="inlineStr">
        <is>
          <t>Grey Soft Stone Wall Tiles</t>
        </is>
      </c>
      <c r="D811" s="1" t="inlineStr">
        <is>
          <t>300x200x9mm</t>
        </is>
      </c>
      <c r="E811" s="1" t="n">
        <v>25.95</v>
      </c>
      <c r="F811" s="1" t="n">
        <v>0</v>
      </c>
      <c r="G811" s="1" t="inlineStr">
        <is>
          <t>SQM</t>
        </is>
      </c>
      <c r="H811" s="1" t="inlineStr">
        <is>
          <t>Ceramic</t>
        </is>
      </c>
      <c r="I811" s="1" t="inlineStr">
        <is>
          <t>Matt</t>
        </is>
      </c>
      <c r="J811" t="inlineStr"/>
      <c r="K811" t="n">
        <v>25.95</v>
      </c>
      <c r="L811" t="n">
        <v>25.95</v>
      </c>
    </row>
    <row r="812">
      <c r="A812" s="1">
        <f>Hyperlink("https://www.wallsandfloors.co.uk/riverine-grey-soft-stone-tiles","Product")</f>
        <v/>
      </c>
      <c r="B812" s="1" t="inlineStr">
        <is>
          <t>28544</t>
        </is>
      </c>
      <c r="C812" s="1" t="inlineStr">
        <is>
          <t>Grey Soft Stone Tiles</t>
        </is>
      </c>
      <c r="D812" s="1" t="inlineStr">
        <is>
          <t>305x305x9mm</t>
        </is>
      </c>
      <c r="E812" s="1" t="n">
        <v>28.95</v>
      </c>
      <c r="F812" s="1" t="n">
        <v>0</v>
      </c>
      <c r="G812" s="1" t="inlineStr">
        <is>
          <t>SQM</t>
        </is>
      </c>
      <c r="H812" s="1" t="inlineStr">
        <is>
          <t>Ceramic</t>
        </is>
      </c>
      <c r="I812" s="1" t="inlineStr">
        <is>
          <t>Matt</t>
        </is>
      </c>
      <c r="J812" t="n">
        <v>28.95</v>
      </c>
      <c r="K812" t="inlineStr"/>
      <c r="L812" t="n">
        <v>28.95</v>
      </c>
    </row>
    <row r="813">
      <c r="A813" s="1">
        <f>Hyperlink("https://www.wallsandfloors.co.uk/riverine-cream-soft-stone-wall-tiles","Product")</f>
        <v/>
      </c>
      <c r="B813" s="1" t="inlineStr">
        <is>
          <t>25122</t>
        </is>
      </c>
      <c r="C813" s="1" t="inlineStr">
        <is>
          <t>Cream Soft Stone Wall Tiles</t>
        </is>
      </c>
      <c r="D813" s="1" t="inlineStr">
        <is>
          <t>300x200x9mm</t>
        </is>
      </c>
      <c r="E813" s="1" t="n">
        <v>25.95</v>
      </c>
      <c r="F813" s="1" t="n">
        <v>0</v>
      </c>
      <c r="G813" s="1" t="inlineStr">
        <is>
          <t>SQM</t>
        </is>
      </c>
      <c r="H813" s="1" t="inlineStr">
        <is>
          <t>Ceramic</t>
        </is>
      </c>
      <c r="I813" s="1" t="inlineStr">
        <is>
          <t>Matt</t>
        </is>
      </c>
      <c r="J813" t="n">
        <v>25.95</v>
      </c>
      <c r="K813" t="n">
        <v>25.95</v>
      </c>
      <c r="L813" t="n">
        <v>25.95</v>
      </c>
    </row>
    <row r="814">
      <c r="A814" s="1">
        <f>Hyperlink("https://www.wallsandfloors.co.uk/riverine-cream-soft-stone-tiles","Product")</f>
        <v/>
      </c>
      <c r="B814" s="1" t="inlineStr">
        <is>
          <t>28543</t>
        </is>
      </c>
      <c r="C814" s="1" t="inlineStr">
        <is>
          <t>Cream Soft Stone Tiles</t>
        </is>
      </c>
      <c r="D814" s="1" t="inlineStr">
        <is>
          <t>305x305x9mm</t>
        </is>
      </c>
      <c r="E814" s="1" t="n">
        <v>28.95</v>
      </c>
      <c r="F814" s="1" t="n">
        <v>0</v>
      </c>
      <c r="G814" s="1" t="inlineStr">
        <is>
          <t>SQM</t>
        </is>
      </c>
      <c r="H814" s="1" t="inlineStr">
        <is>
          <t>Ceramic</t>
        </is>
      </c>
      <c r="I814" s="1" t="inlineStr">
        <is>
          <t>Matt</t>
        </is>
      </c>
      <c r="J814" t="inlineStr"/>
      <c r="K814" t="inlineStr"/>
      <c r="L814" t="n">
        <v>28.95</v>
      </c>
    </row>
    <row r="815">
      <c r="A815" s="1">
        <f>Hyperlink("https://www.wallsandfloors.co.uk/riverine-beige-soft-stone-wall-tiles","Product")</f>
        <v/>
      </c>
      <c r="B815" s="1" t="inlineStr">
        <is>
          <t>25124</t>
        </is>
      </c>
      <c r="C815" s="1" t="inlineStr">
        <is>
          <t>Beige Soft Stone Wall Tiles</t>
        </is>
      </c>
      <c r="D815" s="1" t="inlineStr">
        <is>
          <t>300x200x9mm</t>
        </is>
      </c>
      <c r="E815" s="1" t="n">
        <v>25.95</v>
      </c>
      <c r="F815" s="1" t="n">
        <v>0</v>
      </c>
      <c r="G815" s="1" t="inlineStr">
        <is>
          <t>SQM</t>
        </is>
      </c>
      <c r="H815" s="1" t="inlineStr">
        <is>
          <t>Ceramic</t>
        </is>
      </c>
      <c r="I815" s="1" t="inlineStr">
        <is>
          <t>Matt</t>
        </is>
      </c>
      <c r="J815" t="n">
        <v>25.95</v>
      </c>
      <c r="K815" t="inlineStr"/>
      <c r="L815" t="n">
        <v>25.95</v>
      </c>
    </row>
    <row r="816">
      <c r="A816" s="1">
        <f>Hyperlink("https://www.wallsandfloors.co.uk/riverine-beige-soft-stone-tiles","Product")</f>
        <v/>
      </c>
      <c r="B816" s="1" t="inlineStr">
        <is>
          <t>28545</t>
        </is>
      </c>
      <c r="C816" s="1" t="inlineStr">
        <is>
          <t>Riverine Beige Soft Stone Tiles</t>
        </is>
      </c>
      <c r="D816" s="1" t="inlineStr">
        <is>
          <t>305x305x9mm</t>
        </is>
      </c>
      <c r="E816" s="1" t="n">
        <v>28.95</v>
      </c>
      <c r="F816" s="1" t="n">
        <v>0</v>
      </c>
      <c r="G816" s="1" t="inlineStr">
        <is>
          <t>SQM</t>
        </is>
      </c>
      <c r="H816" s="1" t="inlineStr">
        <is>
          <t>Ceramic</t>
        </is>
      </c>
      <c r="I816" s="1" t="inlineStr">
        <is>
          <t>Matt</t>
        </is>
      </c>
      <c r="J816" t="n">
        <v>28.95</v>
      </c>
      <c r="K816" t="n">
        <v>28.95</v>
      </c>
      <c r="L816" t="n">
        <v>28.95</v>
      </c>
    </row>
    <row r="817">
      <c r="A817" s="1">
        <f>Hyperlink("https://www.wallsandfloors.co.uk/rosebery-statement-tiles-charcoal-street-tiles","Product")</f>
        <v/>
      </c>
      <c r="B817" s="1" t="inlineStr">
        <is>
          <t>35114</t>
        </is>
      </c>
      <c r="C817" s="1" t="inlineStr">
        <is>
          <t>Charcoal Street Tiles</t>
        </is>
      </c>
      <c r="D817" s="1" t="inlineStr">
        <is>
          <t>200x200x6mm</t>
        </is>
      </c>
      <c r="E817" s="1" t="n">
        <v>29.95</v>
      </c>
      <c r="F817" s="1" t="n">
        <v>0</v>
      </c>
      <c r="G817" s="1" t="inlineStr">
        <is>
          <t>SQM</t>
        </is>
      </c>
      <c r="H817" s="1" t="inlineStr">
        <is>
          <t>Porcelain</t>
        </is>
      </c>
      <c r="I817" s="1" t="inlineStr">
        <is>
          <t>Matt</t>
        </is>
      </c>
      <c r="J817" t="inlineStr"/>
      <c r="K817" t="inlineStr"/>
      <c r="L817" t="n">
        <v>29.95</v>
      </c>
    </row>
    <row r="818">
      <c r="A818" s="1">
        <f>Hyperlink("https://www.wallsandfloors.co.uk/rubi-tools-rubi-air-knee-pads","Product")</f>
        <v/>
      </c>
      <c r="B818" s="1" t="inlineStr">
        <is>
          <t>9164</t>
        </is>
      </c>
      <c r="C818" s="1" t="inlineStr">
        <is>
          <t>Rubi Air Knee Pads</t>
        </is>
      </c>
      <c r="D818" s="1" t="inlineStr">
        <is>
          <t>1 Size</t>
        </is>
      </c>
      <c r="E818" s="1" t="n">
        <v>23.95</v>
      </c>
      <c r="F818" s="1" t="n">
        <v>0</v>
      </c>
      <c r="G818" s="1" t="inlineStr">
        <is>
          <t>Unit</t>
        </is>
      </c>
      <c r="H818" s="1" t="inlineStr">
        <is>
          <t>Safety Wear</t>
        </is>
      </c>
      <c r="I818" s="1" t="inlineStr">
        <is>
          <t>-</t>
        </is>
      </c>
      <c r="J818" t="n">
        <v>23.95</v>
      </c>
      <c r="K818" t="n">
        <v>23.95</v>
      </c>
      <c r="L818" t="n">
        <v>23.95</v>
      </c>
    </row>
    <row r="819">
      <c r="A819" s="1">
        <f>Hyperlink("https://www.wallsandfloors.co.uk/rubi-tools-wedges-5mm","Product")</f>
        <v/>
      </c>
      <c r="B819" s="1" t="inlineStr">
        <is>
          <t>9678</t>
        </is>
      </c>
      <c r="C819" s="1" t="inlineStr">
        <is>
          <t>Wedges 5mm</t>
        </is>
      </c>
      <c r="D819" s="1" t="inlineStr">
        <is>
          <t>5mm</t>
        </is>
      </c>
      <c r="E819" s="1" t="n">
        <v>7.25</v>
      </c>
      <c r="F819" s="1" t="n">
        <v>0</v>
      </c>
      <c r="G819" s="1" t="inlineStr">
        <is>
          <t>Pack</t>
        </is>
      </c>
      <c r="H819" s="1" t="inlineStr">
        <is>
          <t>Spacers</t>
        </is>
      </c>
      <c r="I819" s="1" t="inlineStr">
        <is>
          <t>-</t>
        </is>
      </c>
      <c r="J819" t="n">
        <v>7.25</v>
      </c>
      <c r="K819" t="inlineStr"/>
      <c r="L819" t="n">
        <v>7.25</v>
      </c>
    </row>
    <row r="820">
      <c r="A820" s="1">
        <f>Hyperlink("https://www.wallsandfloors.co.uk/rubiclean-pro-washboy","Product")</f>
        <v/>
      </c>
      <c r="B820" s="1" t="inlineStr">
        <is>
          <t>40395</t>
        </is>
      </c>
      <c r="C820" s="1" t="inlineStr">
        <is>
          <t>RUBICLEAN PRO Washboy</t>
        </is>
      </c>
      <c r="D820" s="1" t="n">
        <v>1</v>
      </c>
      <c r="E820" s="1" t="n">
        <v>31.45</v>
      </c>
      <c r="F820" s="1" t="n">
        <v>0</v>
      </c>
      <c r="G820" s="1" t="inlineStr">
        <is>
          <t>Unit</t>
        </is>
      </c>
      <c r="H820" s="1" t="inlineStr">
        <is>
          <t>Accessories</t>
        </is>
      </c>
      <c r="I820" s="1" t="inlineStr">
        <is>
          <t>-</t>
        </is>
      </c>
      <c r="J820" t="n">
        <v>31.45</v>
      </c>
      <c r="K820" t="n">
        <v>31.45</v>
      </c>
      <c r="L820" t="n">
        <v>31.45</v>
      </c>
    </row>
    <row r="821">
      <c r="A821" s="1">
        <f>Hyperlink("https://www.wallsandfloors.co.uk/rustic-metro-tiles-teal-gloss-tiles","Product")</f>
        <v/>
      </c>
      <c r="B821" s="1" t="inlineStr">
        <is>
          <t>12181</t>
        </is>
      </c>
      <c r="C821" s="1" t="inlineStr">
        <is>
          <t>Teal Rustic Metro Tiles</t>
        </is>
      </c>
      <c r="D821" s="1" t="inlineStr">
        <is>
          <t>150x75x7mm</t>
        </is>
      </c>
      <c r="E821" s="1" t="n">
        <v>20.95</v>
      </c>
      <c r="F821" s="1" t="n">
        <v>0</v>
      </c>
      <c r="G821" s="1" t="inlineStr">
        <is>
          <t>SQM</t>
        </is>
      </c>
      <c r="H821" s="1" t="inlineStr">
        <is>
          <t>Ceramic</t>
        </is>
      </c>
      <c r="I821" s="1" t="inlineStr">
        <is>
          <t>Gloss</t>
        </is>
      </c>
      <c r="J821" t="n">
        <v>20.95</v>
      </c>
      <c r="K821" t="n">
        <v>20.95</v>
      </c>
      <c r="L821" t="n">
        <v>20.95</v>
      </c>
    </row>
    <row r="822">
      <c r="A822" s="1">
        <f>Hyperlink("https://www.wallsandfloors.co.uk/rustic-metro-tiles-sage-gloss-tiles","Product")</f>
        <v/>
      </c>
      <c r="B822" s="1" t="inlineStr">
        <is>
          <t>12182</t>
        </is>
      </c>
      <c r="C822" s="1" t="inlineStr">
        <is>
          <t>Sage Green Rustic Metro Tiles</t>
        </is>
      </c>
      <c r="D822" s="1" t="inlineStr">
        <is>
          <t>150x75x7mm</t>
        </is>
      </c>
      <c r="E822" s="1" t="n">
        <v>20.95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Gloss</t>
        </is>
      </c>
      <c r="J822" t="n">
        <v>20.95</v>
      </c>
      <c r="K822" t="n">
        <v>20.95</v>
      </c>
      <c r="L822" t="n">
        <v>20.95</v>
      </c>
    </row>
    <row r="823">
      <c r="A823" s="1">
        <f>Hyperlink("https://www.wallsandfloors.co.uk/rustic-metro-tiles-grey-gloss-tiles","Product")</f>
        <v/>
      </c>
      <c r="B823" s="1" t="inlineStr">
        <is>
          <t>12178</t>
        </is>
      </c>
      <c r="C823" s="1" t="inlineStr">
        <is>
          <t>Grey Rustic Metro Tiles</t>
        </is>
      </c>
      <c r="D823" s="1" t="inlineStr">
        <is>
          <t>150x75x7mm</t>
        </is>
      </c>
      <c r="E823" s="1" t="n">
        <v>20.95</v>
      </c>
      <c r="F823" s="1" t="n">
        <v>0</v>
      </c>
      <c r="G823" s="1" t="inlineStr">
        <is>
          <t>SQM</t>
        </is>
      </c>
      <c r="H823" s="1" t="inlineStr">
        <is>
          <t>Ceramic</t>
        </is>
      </c>
      <c r="I823" s="1" t="inlineStr">
        <is>
          <t>Gloss</t>
        </is>
      </c>
      <c r="J823" t="n">
        <v>20.95</v>
      </c>
      <c r="K823" t="inlineStr"/>
      <c r="L823" t="n">
        <v>20.95</v>
      </c>
    </row>
    <row r="824">
      <c r="A824" s="1">
        <f>Hyperlink("https://www.wallsandfloors.co.uk/rustic-metro-tiles-graphite-grey-gloss-tiles","Product")</f>
        <v/>
      </c>
      <c r="B824" s="1" t="inlineStr">
        <is>
          <t>12179</t>
        </is>
      </c>
      <c r="C824" s="1" t="inlineStr">
        <is>
          <t>Graphite Grey Rustic Metro Tiles</t>
        </is>
      </c>
      <c r="D824" s="1" t="inlineStr">
        <is>
          <t>150x75x7mm</t>
        </is>
      </c>
      <c r="E824" s="1" t="n">
        <v>20.95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Gloss</t>
        </is>
      </c>
      <c r="J824" t="inlineStr"/>
      <c r="K824" t="n">
        <v>20.95</v>
      </c>
      <c r="L824" t="n">
        <v>20.95</v>
      </c>
    </row>
    <row r="825">
      <c r="A825" s="1">
        <f>Hyperlink("https://www.wallsandfloors.co.uk/rustic-metro-tiles-eton-gloss-tile","Product")</f>
        <v/>
      </c>
      <c r="B825" s="1" t="inlineStr">
        <is>
          <t>12896</t>
        </is>
      </c>
      <c r="C825" s="1" t="inlineStr">
        <is>
          <t>Eton Teal Rustic Metro Tiles</t>
        </is>
      </c>
      <c r="D825" s="1" t="inlineStr">
        <is>
          <t>150x75x7mm</t>
        </is>
      </c>
      <c r="E825" s="1" t="n">
        <v>20.95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20.95</v>
      </c>
      <c r="K825" t="n">
        <v>20.95</v>
      </c>
      <c r="L825" t="n">
        <v>20.95</v>
      </c>
    </row>
    <row r="826">
      <c r="A826" s="1">
        <f>Hyperlink("https://www.wallsandfloors.co.uk/rustic-metro-tiles-cream-gloss-tiles","Product")</f>
        <v/>
      </c>
      <c r="B826" s="1" t="inlineStr">
        <is>
          <t>12177</t>
        </is>
      </c>
      <c r="C826" s="1" t="inlineStr">
        <is>
          <t>Cream Rustic Metro Tiles</t>
        </is>
      </c>
      <c r="D826" s="1" t="inlineStr">
        <is>
          <t>150x75x7mm</t>
        </is>
      </c>
      <c r="E826" s="1" t="n">
        <v>20.95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n">
        <v>20.95</v>
      </c>
      <c r="K826" t="n">
        <v>20.95</v>
      </c>
      <c r="L826" t="n">
        <v>20.95</v>
      </c>
    </row>
    <row r="827">
      <c r="A827" s="1">
        <f>Hyperlink("https://www.wallsandfloors.co.uk/rustic-metro-tiles-chocolate-gloss-tiles","Product")</f>
        <v/>
      </c>
      <c r="B827" s="1" t="inlineStr">
        <is>
          <t>12176</t>
        </is>
      </c>
      <c r="C827" s="1" t="inlineStr">
        <is>
          <t>Chocolate Brown Rustic Metro Tiles</t>
        </is>
      </c>
      <c r="D827" s="1" t="inlineStr">
        <is>
          <t>150x75x7mm</t>
        </is>
      </c>
      <c r="E827" s="1" t="n">
        <v>20.95</v>
      </c>
      <c r="F827" s="1" t="n">
        <v>0</v>
      </c>
      <c r="G827" s="1" t="inlineStr">
        <is>
          <t>SQM</t>
        </is>
      </c>
      <c r="H827" s="1" t="inlineStr">
        <is>
          <t>Ceramic</t>
        </is>
      </c>
      <c r="I827" s="1" t="inlineStr">
        <is>
          <t>Gloss</t>
        </is>
      </c>
      <c r="J827" t="n">
        <v>20.95</v>
      </c>
      <c r="K827" t="inlineStr"/>
      <c r="L827" t="n">
        <v>20.95</v>
      </c>
    </row>
    <row r="828">
      <c r="A828" s="1">
        <f>Hyperlink("https://www.wallsandfloors.co.uk/memoir-encaustic-effect-tiles-arundel-scored-tiles","Product")</f>
        <v/>
      </c>
      <c r="B828" s="1" t="inlineStr">
        <is>
          <t>15383</t>
        </is>
      </c>
      <c r="C828" s="1" t="inlineStr">
        <is>
          <t>Memoir Encaustic Arundel Pattern Tiles</t>
        </is>
      </c>
      <c r="D828" s="1" t="inlineStr">
        <is>
          <t>450x450x10mm</t>
        </is>
      </c>
      <c r="E828" s="1" t="n">
        <v>20.95</v>
      </c>
      <c r="F828" s="1" t="n">
        <v>0</v>
      </c>
      <c r="G828" s="1" t="inlineStr">
        <is>
          <t>SQM</t>
        </is>
      </c>
      <c r="H828" s="1" t="inlineStr">
        <is>
          <t>Ceramic</t>
        </is>
      </c>
      <c r="I828" s="1" t="inlineStr">
        <is>
          <t>Matt</t>
        </is>
      </c>
      <c r="J828" t="n">
        <v>20.95</v>
      </c>
      <c r="K828" t="n">
        <v>20.95</v>
      </c>
      <c r="L828" t="n">
        <v>20.95</v>
      </c>
    </row>
    <row r="829">
      <c r="A829" s="1">
        <f>Hyperlink("https://www.wallsandfloors.co.uk/rustic-metro-tiles-almond-gloss-tiles","Product")</f>
        <v/>
      </c>
      <c r="B829" s="1" t="inlineStr">
        <is>
          <t>12172</t>
        </is>
      </c>
      <c r="C829" s="1" t="inlineStr">
        <is>
          <t>Almond Cream Rustic Metro Tiles</t>
        </is>
      </c>
      <c r="D829" s="1" t="inlineStr">
        <is>
          <t>150x75x7mm</t>
        </is>
      </c>
      <c r="E829" s="1" t="n">
        <v>20.95</v>
      </c>
      <c r="F829" s="1" t="n">
        <v>0</v>
      </c>
      <c r="G829" s="1" t="inlineStr">
        <is>
          <t>SQM</t>
        </is>
      </c>
      <c r="H829" s="1" t="inlineStr">
        <is>
          <t>Ceramic</t>
        </is>
      </c>
      <c r="I829" s="1" t="inlineStr">
        <is>
          <t>Gloss</t>
        </is>
      </c>
      <c r="J829" t="n">
        <v>20.95</v>
      </c>
      <c r="K829" t="n">
        <v>20.95</v>
      </c>
      <c r="L829" t="n">
        <v>20.95</v>
      </c>
    </row>
    <row r="830">
      <c r="A830" s="1">
        <f>Hyperlink("https://www.wallsandfloors.co.uk/rustic-metro-cedar-tile","Product")</f>
        <v/>
      </c>
      <c r="B830" s="1" t="inlineStr">
        <is>
          <t>12175</t>
        </is>
      </c>
      <c r="C830" s="1" t="inlineStr">
        <is>
          <t>Cedar Green Rustic Metro Tiles</t>
        </is>
      </c>
      <c r="D830" s="1" t="inlineStr">
        <is>
          <t>150x75x7mm</t>
        </is>
      </c>
      <c r="E830" s="1" t="n">
        <v>20.95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Gloss</t>
        </is>
      </c>
      <c r="J830" t="inlineStr"/>
      <c r="K830" t="n">
        <v>20.95</v>
      </c>
      <c r="L830" t="n">
        <v>20.95</v>
      </c>
    </row>
    <row r="831">
      <c r="A831" s="1">
        <f>Hyperlink("https://www.wallsandfloors.co.uk/rustic-metro-300x100-white-gloss-tiles","Product")</f>
        <v/>
      </c>
      <c r="B831" s="1" t="inlineStr">
        <is>
          <t>15085</t>
        </is>
      </c>
      <c r="C831" s="1" t="inlineStr">
        <is>
          <t>White Rustic Metro Tiles</t>
        </is>
      </c>
      <c r="D831" s="1" t="inlineStr">
        <is>
          <t>300x100x7mm</t>
        </is>
      </c>
      <c r="E831" s="1" t="n">
        <v>20.95</v>
      </c>
      <c r="F831" s="1" t="n">
        <v>0</v>
      </c>
      <c r="G831" s="1" t="inlineStr">
        <is>
          <t>SQM</t>
        </is>
      </c>
      <c r="H831" s="1" t="inlineStr">
        <is>
          <t>Ceramic</t>
        </is>
      </c>
      <c r="I831" s="1" t="inlineStr">
        <is>
          <t>Gloss</t>
        </is>
      </c>
      <c r="J831" t="n">
        <v>20.95</v>
      </c>
      <c r="K831" t="n">
        <v>20.95</v>
      </c>
      <c r="L831" t="n">
        <v>20.95</v>
      </c>
    </row>
    <row r="832">
      <c r="A832" s="1">
        <f>Hyperlink("https://www.wallsandfloors.co.uk/rustic-metro-300x100-teal-gloss-tiles","Product")</f>
        <v/>
      </c>
      <c r="B832" s="1" t="inlineStr">
        <is>
          <t>15104</t>
        </is>
      </c>
      <c r="C832" s="1" t="inlineStr">
        <is>
          <t>Teal Rustic Metro Tiles</t>
        </is>
      </c>
      <c r="D832" s="1" t="inlineStr">
        <is>
          <t>300x100x7mm</t>
        </is>
      </c>
      <c r="E832" s="1" t="n">
        <v>20.95</v>
      </c>
      <c r="F832" s="1" t="n">
        <v>0</v>
      </c>
      <c r="G832" s="1" t="inlineStr">
        <is>
          <t>SQM</t>
        </is>
      </c>
      <c r="H832" s="1" t="inlineStr">
        <is>
          <t>Ceramic</t>
        </is>
      </c>
      <c r="I832" s="1" t="inlineStr">
        <is>
          <t>Gloss</t>
        </is>
      </c>
      <c r="J832" t="n">
        <v>20.95</v>
      </c>
      <c r="K832" t="n">
        <v>20.95</v>
      </c>
      <c r="L832" t="n">
        <v>20.95</v>
      </c>
    </row>
    <row r="833">
      <c r="A833" s="1">
        <f>Hyperlink("https://www.wallsandfloors.co.uk/rustic-metro-300x100-sage-gloss-tiles","Product")</f>
        <v/>
      </c>
      <c r="B833" s="1" t="inlineStr">
        <is>
          <t>15106</t>
        </is>
      </c>
      <c r="C833" s="1" t="inlineStr">
        <is>
          <t>Sage Rustic Metro Tiles</t>
        </is>
      </c>
      <c r="D833" s="1" t="inlineStr">
        <is>
          <t>300x100x7mm</t>
        </is>
      </c>
      <c r="E833" s="1" t="n">
        <v>20.95</v>
      </c>
      <c r="F833" s="1" t="n">
        <v>0</v>
      </c>
      <c r="G833" s="1" t="inlineStr">
        <is>
          <t>SQM</t>
        </is>
      </c>
      <c r="H833" s="1" t="inlineStr">
        <is>
          <t>Ceramic</t>
        </is>
      </c>
      <c r="I833" s="1" t="inlineStr">
        <is>
          <t>Gloss</t>
        </is>
      </c>
      <c r="J833" t="n">
        <v>20.95</v>
      </c>
      <c r="K833" t="n">
        <v>20.95</v>
      </c>
      <c r="L833" t="n">
        <v>20.95</v>
      </c>
    </row>
    <row r="834">
      <c r="A834" s="1">
        <f>Hyperlink("https://www.wallsandfloors.co.uk/rustic-metro-300x100-grey-gloss-tiles","Product")</f>
        <v/>
      </c>
      <c r="B834" s="1" t="inlineStr">
        <is>
          <t>15094</t>
        </is>
      </c>
      <c r="C834" s="1" t="inlineStr">
        <is>
          <t>Grey Rustic Metro Tiles</t>
        </is>
      </c>
      <c r="D834" s="1" t="inlineStr">
        <is>
          <t>300x100x7mm</t>
        </is>
      </c>
      <c r="E834" s="1" t="n">
        <v>20.95</v>
      </c>
      <c r="F834" s="1" t="n">
        <v>0</v>
      </c>
      <c r="G834" s="1" t="inlineStr"/>
      <c r="H834" s="1" t="inlineStr">
        <is>
          <t>Ceramic</t>
        </is>
      </c>
      <c r="I834" s="1" t="inlineStr">
        <is>
          <t>Gloss</t>
        </is>
      </c>
      <c r="J834" t="n">
        <v>20.95</v>
      </c>
      <c r="K834" t="inlineStr"/>
      <c r="L834" t="n">
        <v>20.95</v>
      </c>
    </row>
    <row r="835">
      <c r="A835" s="1">
        <f>Hyperlink("https://www.wallsandfloors.co.uk/rustic-masonry-brick-effect-tiles-dove-white-painted-brick-effect-tiles","Product")</f>
        <v/>
      </c>
      <c r="B835" s="1" t="inlineStr">
        <is>
          <t>15209</t>
        </is>
      </c>
      <c r="C835" s="1" t="inlineStr">
        <is>
          <t>Rustic Masonry Dove White Brick Effect Tiles</t>
        </is>
      </c>
      <c r="D835" s="1" t="inlineStr">
        <is>
          <t>310x560x10mm</t>
        </is>
      </c>
      <c r="E835" s="1" t="n">
        <v>33.95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Matt</t>
        </is>
      </c>
      <c r="J835" t="n">
        <v>33.95</v>
      </c>
      <c r="K835" t="n">
        <v>33.95</v>
      </c>
      <c r="L835" t="n">
        <v>33.95</v>
      </c>
    </row>
    <row r="836">
      <c r="A836" s="1">
        <f>Hyperlink("https://www.wallsandfloors.co.uk/rustic-masonry-brick-effect-tiles-classic-red-brick-effect-tiles","Product")</f>
        <v/>
      </c>
      <c r="B836" s="1" t="inlineStr">
        <is>
          <t>15210</t>
        </is>
      </c>
      <c r="C836" s="1" t="inlineStr">
        <is>
          <t>Rustic Masonry Classic Red Brick Effect Tiles</t>
        </is>
      </c>
      <c r="D836" s="1" t="inlineStr">
        <is>
          <t>310x560x10mm</t>
        </is>
      </c>
      <c r="E836" s="1" t="n">
        <v>33.95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Matt</t>
        </is>
      </c>
      <c r="J836" t="inlineStr"/>
      <c r="K836" t="inlineStr"/>
      <c r="L836" t="n">
        <v>33.95</v>
      </c>
    </row>
    <row r="837">
      <c r="A837" s="1">
        <f>Hyperlink("https://www.wallsandfloors.co.uk/rustic-masonry-brick-effect-tiles-archaic-painted-brick-effect-tiles","Product")</f>
        <v/>
      </c>
      <c r="B837" s="1" t="inlineStr">
        <is>
          <t>15211</t>
        </is>
      </c>
      <c r="C837" s="1" t="inlineStr">
        <is>
          <t>Rustic Masonry Archaic Brick Effect Tiles</t>
        </is>
      </c>
      <c r="D837" s="1" t="inlineStr">
        <is>
          <t>310x560x10mm</t>
        </is>
      </c>
      <c r="E837" s="1" t="n">
        <v>33.95</v>
      </c>
      <c r="F837" s="1" t="n">
        <v>0</v>
      </c>
      <c r="G837" s="1" t="inlineStr">
        <is>
          <t>SQM</t>
        </is>
      </c>
      <c r="H837" s="1" t="inlineStr">
        <is>
          <t>Porcelain</t>
        </is>
      </c>
      <c r="I837" s="1" t="inlineStr">
        <is>
          <t>Matt</t>
        </is>
      </c>
      <c r="J837" t="inlineStr"/>
      <c r="K837" t="inlineStr"/>
      <c r="L837" t="n">
        <v>33.95</v>
      </c>
    </row>
    <row r="838">
      <c r="A838" s="1">
        <f>Hyperlink("https://www.wallsandfloors.co.uk/rural-stone-effect-tiles-rural-brown-tiles","Product")</f>
        <v/>
      </c>
      <c r="B838" s="1" t="inlineStr">
        <is>
          <t>15294</t>
        </is>
      </c>
      <c r="C838" s="1" t="inlineStr">
        <is>
          <t>Rural Brown Tiles</t>
        </is>
      </c>
      <c r="D838" s="1" t="inlineStr">
        <is>
          <t>200x100x6mm</t>
        </is>
      </c>
      <c r="E838" s="1" t="n">
        <v>37.95</v>
      </c>
      <c r="F838" s="1" t="n">
        <v>0</v>
      </c>
      <c r="G838" s="1" t="inlineStr"/>
      <c r="H838" s="1" t="inlineStr">
        <is>
          <t>Ceramic</t>
        </is>
      </c>
      <c r="I838" s="1" t="inlineStr">
        <is>
          <t>Matt</t>
        </is>
      </c>
      <c r="J838" t="n">
        <v>37.95</v>
      </c>
      <c r="K838" t="n">
        <v>37.95</v>
      </c>
      <c r="L838" t="n">
        <v>37.95</v>
      </c>
    </row>
    <row r="839">
      <c r="A839" s="1">
        <f>Hyperlink("https://www.wallsandfloors.co.uk/rural-stone-effect-tiles-pebble-grey-tiles","Product")</f>
        <v/>
      </c>
      <c r="B839" s="1" t="inlineStr">
        <is>
          <t>15296</t>
        </is>
      </c>
      <c r="C839" s="1" t="inlineStr">
        <is>
          <t>Pebble Grey Tiles</t>
        </is>
      </c>
      <c r="D839" s="1" t="inlineStr">
        <is>
          <t>200x100x6mm</t>
        </is>
      </c>
      <c r="E839" s="1" t="n">
        <v>37.95</v>
      </c>
      <c r="F839" s="1" t="n">
        <v>0</v>
      </c>
      <c r="G839" s="1" t="inlineStr">
        <is>
          <t>SQM</t>
        </is>
      </c>
      <c r="H839" s="1" t="inlineStr">
        <is>
          <t>Ceramic</t>
        </is>
      </c>
      <c r="I839" s="1" t="inlineStr">
        <is>
          <t>Matt</t>
        </is>
      </c>
      <c r="J839" t="n">
        <v>37.95</v>
      </c>
      <c r="K839" t="n">
        <v>37.95</v>
      </c>
      <c r="L839" t="n">
        <v>37.95</v>
      </c>
    </row>
    <row r="840">
      <c r="A840" s="1">
        <f>Hyperlink("https://www.wallsandfloors.co.uk/rural-stone-effect-tiles-natural-beige-tiles","Product")</f>
        <v/>
      </c>
      <c r="B840" s="1" t="inlineStr">
        <is>
          <t>15293</t>
        </is>
      </c>
      <c r="C840" s="1" t="inlineStr">
        <is>
          <t>Natural Beige Tiles</t>
        </is>
      </c>
      <c r="D840" s="1" t="inlineStr">
        <is>
          <t>200x100x6mm</t>
        </is>
      </c>
      <c r="E840" s="1" t="n">
        <v>37.95</v>
      </c>
      <c r="F840" s="1" t="n">
        <v>0</v>
      </c>
      <c r="G840" s="1" t="inlineStr"/>
      <c r="H840" s="1" t="inlineStr">
        <is>
          <t>Ceramic</t>
        </is>
      </c>
      <c r="I840" s="1" t="inlineStr">
        <is>
          <t>Matt</t>
        </is>
      </c>
      <c r="J840" t="n">
        <v>37.95</v>
      </c>
      <c r="K840" t="n">
        <v>37.95</v>
      </c>
      <c r="L840" t="n">
        <v>37.95</v>
      </c>
    </row>
    <row r="841">
      <c r="A841" s="1">
        <f>Hyperlink("https://www.wallsandfloors.co.uk/rural-stone-effect-tiles-chalk-white-tiles","Product")</f>
        <v/>
      </c>
      <c r="B841" s="1" t="inlineStr">
        <is>
          <t>15298</t>
        </is>
      </c>
      <c r="C841" s="1" t="inlineStr">
        <is>
          <t>Chalk White Tiles</t>
        </is>
      </c>
      <c r="D841" s="1" t="inlineStr">
        <is>
          <t>200x100x6mm</t>
        </is>
      </c>
      <c r="E841" s="1" t="n">
        <v>37.95</v>
      </c>
      <c r="F841" s="1" t="n">
        <v>0</v>
      </c>
      <c r="G841" s="1" t="inlineStr">
        <is>
          <t>SQM</t>
        </is>
      </c>
      <c r="H841" s="1" t="inlineStr">
        <is>
          <t>Ceramic</t>
        </is>
      </c>
      <c r="I841" s="1" t="inlineStr">
        <is>
          <t>Matt</t>
        </is>
      </c>
      <c r="J841" t="n">
        <v>37.95</v>
      </c>
      <c r="K841" t="n">
        <v>37.95</v>
      </c>
      <c r="L841" t="n">
        <v>37.95</v>
      </c>
    </row>
    <row r="842">
      <c r="A842" s="1">
        <f>Hyperlink("https://www.wallsandfloors.co.uk/rubimix-9bl-110v-mixer","Product")</f>
        <v/>
      </c>
      <c r="B842" s="1" t="inlineStr">
        <is>
          <t>27502</t>
        </is>
      </c>
      <c r="C842" s="1" t="inlineStr">
        <is>
          <t>RUBIMIX-9 N 110V Electric Mixer</t>
        </is>
      </c>
      <c r="D842" s="1" t="inlineStr">
        <is>
          <t>1 Size</t>
        </is>
      </c>
      <c r="E842" s="1" t="n">
        <v>158.95</v>
      </c>
      <c r="F842" s="1" t="n">
        <v>0</v>
      </c>
      <c r="G842" s="1" t="inlineStr">
        <is>
          <t>Unit</t>
        </is>
      </c>
      <c r="H842" s="1" t="inlineStr">
        <is>
          <t>Tools</t>
        </is>
      </c>
      <c r="I842" s="1" t="inlineStr">
        <is>
          <t>-</t>
        </is>
      </c>
      <c r="J842" t="n">
        <v>158.95</v>
      </c>
      <c r="K842" t="n">
        <v>158.95</v>
      </c>
      <c r="L842" t="n">
        <v>158.95</v>
      </c>
    </row>
    <row r="843">
      <c r="A843" s="1">
        <f>Hyperlink("https://www.wallsandfloors.co.uk/rubimix-9-bl-220v-50-60hz-uk-electric-mixer","Product")</f>
        <v/>
      </c>
      <c r="B843" s="1" t="inlineStr">
        <is>
          <t>27503</t>
        </is>
      </c>
      <c r="C843" s="1" t="inlineStr">
        <is>
          <t>RUBIMIX-9-BL Electric Mixer</t>
        </is>
      </c>
      <c r="D843" s="1" t="n">
        <v>1</v>
      </c>
      <c r="E843" s="1" t="n">
        <v>158.25</v>
      </c>
      <c r="F843" s="1" t="n">
        <v>0</v>
      </c>
      <c r="G843" s="1" t="inlineStr">
        <is>
          <t>Unit</t>
        </is>
      </c>
      <c r="H843" s="1" t="inlineStr">
        <is>
          <t>-</t>
        </is>
      </c>
      <c r="I843" s="1" t="inlineStr">
        <is>
          <t>-</t>
        </is>
      </c>
      <c r="J843" t="inlineStr"/>
      <c r="K843" t="n">
        <v>158.25</v>
      </c>
      <c r="L843" t="n">
        <v>158.25</v>
      </c>
    </row>
    <row r="844">
      <c r="A844" s="1">
        <f>Hyperlink("https://www.wallsandfloors.co.uk/ruvido-hexagon-tiles-eclipse-stone-tiles","Product")</f>
        <v/>
      </c>
      <c r="B844" s="1" t="inlineStr">
        <is>
          <t>14326</t>
        </is>
      </c>
      <c r="C844" s="1" t="inlineStr">
        <is>
          <t>Ruvido Eclipse Stone Hexagon Tiles</t>
        </is>
      </c>
      <c r="D844" s="1" t="inlineStr">
        <is>
          <t>450x450x9mm</t>
        </is>
      </c>
      <c r="E844" s="1" t="n">
        <v>30.95</v>
      </c>
      <c r="F844" s="1" t="n">
        <v>0</v>
      </c>
      <c r="G844" s="1" t="inlineStr">
        <is>
          <t>SQM</t>
        </is>
      </c>
      <c r="H844" s="1" t="inlineStr">
        <is>
          <t>Porcelain</t>
        </is>
      </c>
      <c r="I844" s="1" t="inlineStr">
        <is>
          <t>Matt</t>
        </is>
      </c>
      <c r="J844" t="n">
        <v>30.95</v>
      </c>
      <c r="K844" t="n">
        <v>30.95</v>
      </c>
      <c r="L844" t="n">
        <v>30.95</v>
      </c>
    </row>
    <row r="845">
      <c r="A845" s="1">
        <f>Hyperlink("https://www.wallsandfloors.co.uk/titanic-silver-grey-polished-60x30-tiles","Product")</f>
        <v/>
      </c>
      <c r="B845" s="1" t="inlineStr">
        <is>
          <t>39826</t>
        </is>
      </c>
      <c r="C845" s="1" t="inlineStr">
        <is>
          <t>Titanic Silver Grey Polished Tiles</t>
        </is>
      </c>
      <c r="D845" s="1" t="inlineStr">
        <is>
          <t>600x300x9.5mm</t>
        </is>
      </c>
      <c r="E845" s="1" t="n">
        <v>22.95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Polished</t>
        </is>
      </c>
      <c r="J845" t="inlineStr"/>
      <c r="K845" t="n">
        <v>22.95</v>
      </c>
      <c r="L845" t="n">
        <v>22.95</v>
      </c>
    </row>
    <row r="846">
      <c r="A846" s="1">
        <f>Hyperlink("https://www.wallsandfloors.co.uk/shower-white-15kg","Product")</f>
        <v/>
      </c>
      <c r="B846" s="1" t="inlineStr">
        <is>
          <t>33584</t>
        </is>
      </c>
      <c r="C846" s="1" t="inlineStr">
        <is>
          <t>Norcros Shower White Tile Adhesive 10ltr Per Unit</t>
        </is>
      </c>
      <c r="D846" s="1" t="inlineStr">
        <is>
          <t>15kg</t>
        </is>
      </c>
      <c r="E846" s="1" t="n">
        <v>14.95</v>
      </c>
      <c r="F846" s="1" t="n">
        <v>0</v>
      </c>
      <c r="G846" s="1" t="inlineStr">
        <is>
          <t>Unit</t>
        </is>
      </c>
      <c r="H846" s="1" t="inlineStr">
        <is>
          <t>Adhesive</t>
        </is>
      </c>
      <c r="I846" s="1" t="inlineStr">
        <is>
          <t>-</t>
        </is>
      </c>
      <c r="J846" t="n">
        <v>14.95</v>
      </c>
      <c r="K846" t="n">
        <v>14.95</v>
      </c>
      <c r="L846" t="n">
        <v>14.95</v>
      </c>
    </row>
    <row r="847">
      <c r="A847" s="1">
        <f>Hyperlink("https://www.wallsandfloors.co.uk/smoked-pewter-tiles","Product")</f>
        <v/>
      </c>
      <c r="B847" s="1" t="inlineStr">
        <is>
          <t>38981</t>
        </is>
      </c>
      <c r="C847" s="1" t="inlineStr">
        <is>
          <t>Nyans Smoked Pewter Grey Wood Effect Tiles</t>
        </is>
      </c>
      <c r="D847" s="1" t="inlineStr">
        <is>
          <t>593x98x9.5mm</t>
        </is>
      </c>
      <c r="E847" s="1" t="n">
        <v>40.95</v>
      </c>
      <c r="F847" s="1" t="n">
        <v>0</v>
      </c>
      <c r="G847" s="1" t="inlineStr">
        <is>
          <t>SQM</t>
        </is>
      </c>
      <c r="H847" s="1" t="inlineStr">
        <is>
          <t>Porcelain</t>
        </is>
      </c>
      <c r="I847" s="1" t="inlineStr">
        <is>
          <t>Matt</t>
        </is>
      </c>
      <c r="J847" t="inlineStr"/>
      <c r="K847" t="inlineStr"/>
      <c r="L847" t="n">
        <v>40.95</v>
      </c>
    </row>
    <row r="848">
      <c r="A848" s="1">
        <f>Hyperlink("https://www.wallsandfloors.co.uk/tartan-ashened-wood-tiles","Product")</f>
        <v/>
      </c>
      <c r="B848" s="1" t="inlineStr">
        <is>
          <t>44031</t>
        </is>
      </c>
      <c r="C848" s="1" t="inlineStr">
        <is>
          <t>Tartan Ashened Wood Hexagon Tiles</t>
        </is>
      </c>
      <c r="D848" s="1" t="inlineStr">
        <is>
          <t>333x280x9mm</t>
        </is>
      </c>
      <c r="E848" s="1" t="n">
        <v>35.95</v>
      </c>
      <c r="F848" s="1" t="n">
        <v>0</v>
      </c>
      <c r="G848" s="1" t="inlineStr">
        <is>
          <t>SQM</t>
        </is>
      </c>
      <c r="H848" s="1" t="inlineStr">
        <is>
          <t>Porcelain</t>
        </is>
      </c>
      <c r="I848" s="1" t="inlineStr">
        <is>
          <t>Matt</t>
        </is>
      </c>
      <c r="J848" t="n">
        <v>35.95</v>
      </c>
      <c r="K848" t="n">
        <v>35.95</v>
      </c>
      <c r="L848" t="n">
        <v>35.95</v>
      </c>
    </row>
    <row r="849">
      <c r="A849" s="1">
        <f>Hyperlink("https://www.wallsandfloors.co.uk/tarnished-grey-stone-effect-mosaic-tiles","Product")</f>
        <v/>
      </c>
      <c r="B849" s="1" t="inlineStr">
        <is>
          <t>40294</t>
        </is>
      </c>
      <c r="C849" s="1" t="inlineStr">
        <is>
          <t>Nantlle Valley Tarnished Grey Stone Effect Mosaic Tiles</t>
        </is>
      </c>
      <c r="D849" s="1" t="inlineStr">
        <is>
          <t>300x300x10.3mm</t>
        </is>
      </c>
      <c r="E849" s="1" t="n">
        <v>9.949999999999999</v>
      </c>
      <c r="F849" s="1" t="n">
        <v>0</v>
      </c>
      <c r="G849" s="1" t="inlineStr">
        <is>
          <t>Sheet</t>
        </is>
      </c>
      <c r="H849" s="1" t="inlineStr">
        <is>
          <t>Porcelain</t>
        </is>
      </c>
      <c r="I849" s="1" t="inlineStr">
        <is>
          <t>Matt</t>
        </is>
      </c>
      <c r="J849" t="n">
        <v>9.949999999999999</v>
      </c>
      <c r="K849" t="n">
        <v>9.949999999999999</v>
      </c>
      <c r="L849" t="n">
        <v>9.949999999999999</v>
      </c>
    </row>
    <row r="850">
      <c r="A850" s="1">
        <f>Hyperlink("https://www.wallsandfloors.co.uk/tangier-wall-tiles-white-gloss-antiqua-wall-tiles","Product")</f>
        <v/>
      </c>
      <c r="B850" s="1" t="inlineStr">
        <is>
          <t>13609</t>
        </is>
      </c>
      <c r="C850" s="1" t="inlineStr">
        <is>
          <t>Tangier White Gloss Antiqua Wall Tiles</t>
        </is>
      </c>
      <c r="D850" s="1" t="inlineStr">
        <is>
          <t>200x200x8mm</t>
        </is>
      </c>
      <c r="E850" s="1" t="n">
        <v>30.95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inlineStr"/>
      <c r="K850" t="n">
        <v>30.95</v>
      </c>
      <c r="L850" t="n">
        <v>30.95</v>
      </c>
    </row>
    <row r="851">
      <c r="A851" s="1">
        <f>Hyperlink("https://www.wallsandfloors.co.uk/tangier-wall-tiles-blue-gloss-antiqua-wall-tiles","Product")</f>
        <v/>
      </c>
      <c r="B851" s="1" t="inlineStr">
        <is>
          <t>13611</t>
        </is>
      </c>
      <c r="C851" s="1" t="inlineStr">
        <is>
          <t>Blue Gloss Antiqua Wall Tiles</t>
        </is>
      </c>
      <c r="D851" s="1" t="inlineStr">
        <is>
          <t>200x200x8mm</t>
        </is>
      </c>
      <c r="E851" s="1" t="n">
        <v>30.95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inlineStr"/>
      <c r="K851" t="n">
        <v>30.95</v>
      </c>
      <c r="L851" t="n">
        <v>30.95</v>
      </c>
    </row>
    <row r="852">
      <c r="A852" s="1">
        <f>Hyperlink("https://www.wallsandfloors.co.uk/tangier-wall-tiles-antiqua-decor-wall-tiles","Product")</f>
        <v/>
      </c>
      <c r="B852" s="1" t="inlineStr">
        <is>
          <t>13621</t>
        </is>
      </c>
      <c r="C852" s="1" t="inlineStr">
        <is>
          <t>Tangier Antiqua Decor Pattern Wall Tiles</t>
        </is>
      </c>
      <c r="D852" s="1" t="inlineStr">
        <is>
          <t>200x200x8mm</t>
        </is>
      </c>
      <c r="E852" s="1" t="n">
        <v>40.95</v>
      </c>
      <c r="F852" s="1" t="n">
        <v>0</v>
      </c>
      <c r="G852" s="1" t="inlineStr">
        <is>
          <t>SQM</t>
        </is>
      </c>
      <c r="H852" s="1" t="inlineStr">
        <is>
          <t>Ceramic</t>
        </is>
      </c>
      <c r="I852" s="1" t="inlineStr">
        <is>
          <t>Gloss</t>
        </is>
      </c>
      <c r="J852" t="n">
        <v>40.95</v>
      </c>
      <c r="K852" t="n">
        <v>40.95</v>
      </c>
      <c r="L852" t="n">
        <v>40.95</v>
      </c>
    </row>
    <row r="853">
      <c r="A853" s="1">
        <f>Hyperlink("https://www.wallsandfloors.co.uk/tangier-floor-tiles-white-matt-antiqua-floor-tiles","Product")</f>
        <v/>
      </c>
      <c r="B853" s="1" t="inlineStr">
        <is>
          <t>13608</t>
        </is>
      </c>
      <c r="C853" s="1" t="inlineStr">
        <is>
          <t>Tangier White Matt Antiqua Tiles</t>
        </is>
      </c>
      <c r="D853" s="1" t="inlineStr">
        <is>
          <t>200x200x9mm</t>
        </is>
      </c>
      <c r="E853" s="1" t="n">
        <v>30.95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Matt</t>
        </is>
      </c>
      <c r="J853" t="n">
        <v>30.95</v>
      </c>
      <c r="K853" t="inlineStr"/>
      <c r="L853" t="n">
        <v>30.95</v>
      </c>
    </row>
    <row r="854">
      <c r="A854" s="1">
        <f>Hyperlink("https://www.wallsandfloors.co.uk/tangier-floor-tiles-antiqua-decor-floor-tiles","Product")</f>
        <v/>
      </c>
      <c r="B854" s="1" t="inlineStr">
        <is>
          <t>13606</t>
        </is>
      </c>
      <c r="C854" s="1" t="inlineStr">
        <is>
          <t>Tangier Antiqua Decor Pattern Floor Tiles</t>
        </is>
      </c>
      <c r="D854" s="1" t="inlineStr">
        <is>
          <t>200x200x9mm</t>
        </is>
      </c>
      <c r="E854" s="1" t="n">
        <v>40.95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Matt</t>
        </is>
      </c>
      <c r="J854" t="n">
        <v>40.95</v>
      </c>
      <c r="K854" t="n">
        <v>40.95</v>
      </c>
      <c r="L854" t="n">
        <v>40.95</v>
      </c>
    </row>
    <row r="855">
      <c r="A855" s="1">
        <f>Hyperlink("https://www.wallsandfloors.co.uk/talasni-tiles-white-matt-tiles","Product")</f>
        <v/>
      </c>
      <c r="B855" s="1" t="inlineStr">
        <is>
          <t>14148</t>
        </is>
      </c>
      <c r="C855" s="1" t="inlineStr">
        <is>
          <t>White Matt Tiles</t>
        </is>
      </c>
      <c r="D855" s="1" t="inlineStr">
        <is>
          <t>750x250x8mm</t>
        </is>
      </c>
      <c r="E855" s="1" t="n">
        <v>20.95</v>
      </c>
      <c r="F855" s="1" t="n">
        <v>0</v>
      </c>
      <c r="G855" s="1" t="inlineStr">
        <is>
          <t>SQM</t>
        </is>
      </c>
      <c r="H855" s="1" t="inlineStr">
        <is>
          <t>Ceramic</t>
        </is>
      </c>
      <c r="I855" s="1" t="inlineStr">
        <is>
          <t>Matt</t>
        </is>
      </c>
      <c r="J855" t="n">
        <v>20.95</v>
      </c>
      <c r="K855" t="n">
        <v>20.95</v>
      </c>
      <c r="L855" t="n">
        <v>20.95</v>
      </c>
    </row>
    <row r="856">
      <c r="A856" s="1">
        <f>Hyperlink("https://www.wallsandfloors.co.uk/surfel-mink-concrete-tiles","Product")</f>
        <v/>
      </c>
      <c r="B856" s="1" t="inlineStr">
        <is>
          <t>39251</t>
        </is>
      </c>
      <c r="C856" s="1" t="inlineStr">
        <is>
          <t>Surfel Mink Concrete Tiles</t>
        </is>
      </c>
      <c r="D856" s="1" t="inlineStr">
        <is>
          <t>897x897x10.5mm</t>
        </is>
      </c>
      <c r="E856" s="1" t="n">
        <v>46.95</v>
      </c>
      <c r="F856" s="1" t="n">
        <v>0</v>
      </c>
      <c r="G856" s="1" t="inlineStr">
        <is>
          <t>SQM</t>
        </is>
      </c>
      <c r="H856" s="1" t="inlineStr">
        <is>
          <t>Porcelain</t>
        </is>
      </c>
      <c r="I856" s="1" t="inlineStr">
        <is>
          <t>Matt</t>
        </is>
      </c>
      <c r="J856" t="inlineStr"/>
      <c r="K856" t="n">
        <v>46.95</v>
      </c>
      <c r="L856" t="n">
        <v>46.95</v>
      </c>
    </row>
    <row r="857">
      <c r="A857" s="1">
        <f>Hyperlink("https://www.wallsandfloors.co.uk/surfel-bronze-tiles","Product")</f>
        <v/>
      </c>
      <c r="B857" s="1" t="inlineStr">
        <is>
          <t>39252</t>
        </is>
      </c>
      <c r="C857" s="1" t="inlineStr">
        <is>
          <t>Surfel Bronze Tiles</t>
        </is>
      </c>
      <c r="D857" s="1" t="inlineStr">
        <is>
          <t>890x890x10.5mm</t>
        </is>
      </c>
      <c r="E857" s="1" t="n">
        <v>47.95</v>
      </c>
      <c r="F857" s="1" t="n">
        <v>0</v>
      </c>
      <c r="G857" s="1" t="inlineStr">
        <is>
          <t>SQM</t>
        </is>
      </c>
      <c r="H857" s="1" t="inlineStr">
        <is>
          <t>Porcelain</t>
        </is>
      </c>
      <c r="I857" s="1" t="inlineStr">
        <is>
          <t>Matt</t>
        </is>
      </c>
      <c r="J857" t="n">
        <v>47.95</v>
      </c>
      <c r="K857" t="n">
        <v>47.95</v>
      </c>
      <c r="L857" t="n">
        <v>47.95</v>
      </c>
    </row>
    <row r="858">
      <c r="A858" s="1">
        <f>Hyperlink("https://www.wallsandfloors.co.uk/taurus-granit-tibet-tiles","Product")</f>
        <v/>
      </c>
      <c r="B858" s="1" t="inlineStr">
        <is>
          <t>37365</t>
        </is>
      </c>
      <c r="C858" s="1" t="inlineStr">
        <is>
          <t>Granito Taurus Granit Tibet Tiles</t>
        </is>
      </c>
      <c r="D858" s="1" t="inlineStr">
        <is>
          <t>598x298x10mm</t>
        </is>
      </c>
      <c r="E858" s="1" t="n">
        <v>15.45</v>
      </c>
      <c r="F858" s="1" t="n">
        <v>0</v>
      </c>
      <c r="G858" s="1" t="inlineStr">
        <is>
          <t>SQM</t>
        </is>
      </c>
      <c r="H858" s="1" t="inlineStr">
        <is>
          <t>Porcelain</t>
        </is>
      </c>
      <c r="I858" s="1" t="inlineStr">
        <is>
          <t>Matt</t>
        </is>
      </c>
      <c r="J858" t="n">
        <v>15.45</v>
      </c>
      <c r="K858" t="n">
        <v>15.45</v>
      </c>
      <c r="L858" t="n">
        <v>15.45</v>
      </c>
    </row>
    <row r="859">
      <c r="A859" s="1">
        <f>Hyperlink("https://www.wallsandfloors.co.uk/super-white-triangle-70x70x100mm-tiles","Product")</f>
        <v/>
      </c>
      <c r="B859" s="1" t="inlineStr">
        <is>
          <t>990207</t>
        </is>
      </c>
      <c r="C859" s="1" t="inlineStr">
        <is>
          <t>Super White Triangle 70x70x100mm Tiles</t>
        </is>
      </c>
      <c r="D859" s="1" t="inlineStr">
        <is>
          <t>70x70x100mm</t>
        </is>
      </c>
      <c r="E859" s="1" t="n">
        <v>3.38</v>
      </c>
      <c r="F859" s="1" t="n">
        <v>0</v>
      </c>
      <c r="G859" s="1" t="inlineStr">
        <is>
          <t>SQM</t>
        </is>
      </c>
      <c r="H859" s="1" t="inlineStr">
        <is>
          <t>Porcelain</t>
        </is>
      </c>
      <c r="I859" s="1" t="inlineStr">
        <is>
          <t>Matt</t>
        </is>
      </c>
      <c r="J859" t="inlineStr"/>
      <c r="K859" t="n">
        <v>3.38</v>
      </c>
      <c r="L859" t="n">
        <v>3.38</v>
      </c>
    </row>
    <row r="860">
      <c r="A860" s="1">
        <f>Hyperlink("https://www.wallsandfloors.co.uk/super-white-strip-150x50mm-tiles","Product")</f>
        <v/>
      </c>
      <c r="B860" s="1" t="inlineStr">
        <is>
          <t>990282</t>
        </is>
      </c>
      <c r="C860" s="1" t="inlineStr">
        <is>
          <t>Super White Strip Tiles</t>
        </is>
      </c>
      <c r="D860" s="1" t="inlineStr">
        <is>
          <t>150x50x9-10mm</t>
        </is>
      </c>
      <c r="E860" s="1" t="n">
        <v>3.2</v>
      </c>
      <c r="F860" s="1" t="n">
        <v>0</v>
      </c>
      <c r="G860" s="1" t="inlineStr">
        <is>
          <t>SQM</t>
        </is>
      </c>
      <c r="H860" s="1" t="inlineStr">
        <is>
          <t>Porcelain</t>
        </is>
      </c>
      <c r="I860" s="1" t="inlineStr">
        <is>
          <t>Matt</t>
        </is>
      </c>
      <c r="J860" t="n">
        <v>3.2</v>
      </c>
      <c r="K860" t="n">
        <v>3.2</v>
      </c>
      <c r="L860" t="n">
        <v>3.2</v>
      </c>
    </row>
    <row r="861">
      <c r="A861" s="1">
        <f>Hyperlink("https://www.wallsandfloors.co.uk/super-white-squares-50mm-tiles","Product")</f>
        <v/>
      </c>
      <c r="B861" s="1" t="inlineStr">
        <is>
          <t>990097</t>
        </is>
      </c>
      <c r="C861" s="1" t="inlineStr">
        <is>
          <t>Super White Squares 50mm Tiles</t>
        </is>
      </c>
      <c r="D861" s="1" t="inlineStr">
        <is>
          <t>50x50x9-10mm</t>
        </is>
      </c>
      <c r="E861" s="1" t="n">
        <v>0.67</v>
      </c>
      <c r="F861" s="1" t="n">
        <v>0</v>
      </c>
      <c r="G861" s="1" t="inlineStr">
        <is>
          <t>SQM</t>
        </is>
      </c>
      <c r="H861" s="1" t="inlineStr">
        <is>
          <t>Porcelain</t>
        </is>
      </c>
      <c r="I861" s="1" t="inlineStr">
        <is>
          <t>Matt</t>
        </is>
      </c>
      <c r="J861" t="n">
        <v>0.67</v>
      </c>
      <c r="K861" t="inlineStr"/>
      <c r="L861" t="n">
        <v>0.67</v>
      </c>
    </row>
    <row r="862">
      <c r="A862" s="1">
        <f>Hyperlink("https://www.wallsandfloors.co.uk/super-white-squares-35mm-tiles","Product")</f>
        <v/>
      </c>
      <c r="B862" s="1" t="inlineStr">
        <is>
          <t>990122</t>
        </is>
      </c>
      <c r="C862" s="1" t="inlineStr">
        <is>
          <t>Super White Squares 35mm Tiles</t>
        </is>
      </c>
      <c r="D862" s="1" t="inlineStr">
        <is>
          <t>35x35x9-10mm</t>
        </is>
      </c>
      <c r="E862" s="1" t="n">
        <v>0.52</v>
      </c>
      <c r="F862" s="1" t="n">
        <v>0</v>
      </c>
      <c r="G862" s="1" t="inlineStr">
        <is>
          <t>SQM</t>
        </is>
      </c>
      <c r="H862" s="1" t="inlineStr">
        <is>
          <t>Porcelain</t>
        </is>
      </c>
      <c r="I862" s="1" t="inlineStr">
        <is>
          <t>Matt</t>
        </is>
      </c>
      <c r="J862" t="n">
        <v>0.52</v>
      </c>
      <c r="K862" t="inlineStr"/>
      <c r="L862" t="n">
        <v>0.52</v>
      </c>
    </row>
    <row r="863">
      <c r="A863" s="1">
        <f>Hyperlink("https://www.wallsandfloors.co.uk/super-white-600x600-polished-tiles","Product")</f>
        <v/>
      </c>
      <c r="B863" s="1" t="inlineStr">
        <is>
          <t>44121</t>
        </is>
      </c>
      <c r="C863" s="1" t="inlineStr">
        <is>
          <t>White Polished Tiles</t>
        </is>
      </c>
      <c r="D863" s="1" t="inlineStr">
        <is>
          <t>600x600x8mm</t>
        </is>
      </c>
      <c r="E863" s="1" t="n">
        <v>24.95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Polished</t>
        </is>
      </c>
      <c r="J863" t="n">
        <v>24.95</v>
      </c>
      <c r="K863" t="inlineStr"/>
      <c r="L863" t="n">
        <v>24.95</v>
      </c>
    </row>
    <row r="864">
      <c r="A864" s="1">
        <f>Hyperlink("https://www.wallsandfloors.co.uk/super-white-300x600-polished-tiles","Product")</f>
        <v/>
      </c>
      <c r="B864" s="1" t="inlineStr">
        <is>
          <t>44103</t>
        </is>
      </c>
      <c r="C864" s="1" t="inlineStr">
        <is>
          <t>White Polished Tiles</t>
        </is>
      </c>
      <c r="D864" s="1" t="inlineStr">
        <is>
          <t>300x600x9mm</t>
        </is>
      </c>
      <c r="E864" s="1" t="n">
        <v>24.95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Polished</t>
        </is>
      </c>
      <c r="J864" t="inlineStr"/>
      <c r="K864" t="n">
        <v>24.95</v>
      </c>
      <c r="L864" t="n">
        <v>24.95</v>
      </c>
    </row>
    <row r="865">
      <c r="A865" s="1">
        <f>Hyperlink("https://www.wallsandfloors.co.uk/super-white-100x100x140mm-tiles","Product")</f>
        <v/>
      </c>
      <c r="B865" s="1" t="inlineStr">
        <is>
          <t>990232</t>
        </is>
      </c>
      <c r="C865" s="1" t="inlineStr">
        <is>
          <t>Super White Triangle Tiles</t>
        </is>
      </c>
      <c r="D865" s="1" t="inlineStr">
        <is>
          <t>100x100x1400mm</t>
        </is>
      </c>
      <c r="E865" s="1" t="n">
        <v>4.46</v>
      </c>
      <c r="F865" s="1" t="n">
        <v>0</v>
      </c>
      <c r="G865" s="1" t="inlineStr">
        <is>
          <t>SQM</t>
        </is>
      </c>
      <c r="H865" s="1" t="inlineStr">
        <is>
          <t>Porcelain</t>
        </is>
      </c>
      <c r="I865" s="1" t="inlineStr">
        <is>
          <t>Matt</t>
        </is>
      </c>
      <c r="J865" t="n">
        <v>4.46</v>
      </c>
      <c r="K865" t="n">
        <v>4.46</v>
      </c>
      <c r="L865" t="n">
        <v>4.46</v>
      </c>
    </row>
    <row r="866">
      <c r="A866" s="1">
        <f>Hyperlink("https://www.wallsandfloors.co.uk/super-flat-white-gloss","Product")</f>
        <v/>
      </c>
      <c r="B866" s="1" t="inlineStr">
        <is>
          <t>10640</t>
        </is>
      </c>
      <c r="C866" s="1" t="inlineStr">
        <is>
          <t>White Gloss Smooth Tiles</t>
        </is>
      </c>
      <c r="D866" s="1" t="inlineStr">
        <is>
          <t>400x250x8mm</t>
        </is>
      </c>
      <c r="E866" s="1" t="n">
        <v>17.95</v>
      </c>
      <c r="F866" s="1" t="n">
        <v>0</v>
      </c>
      <c r="G866" s="1" t="inlineStr">
        <is>
          <t>SQM</t>
        </is>
      </c>
      <c r="H866" s="1" t="inlineStr">
        <is>
          <t>Ceramic</t>
        </is>
      </c>
      <c r="I866" s="1" t="inlineStr">
        <is>
          <t>-</t>
        </is>
      </c>
      <c r="J866" t="n">
        <v>17.95</v>
      </c>
      <c r="K866" t="n">
        <v>17.95</v>
      </c>
      <c r="L866" t="n">
        <v>17.95</v>
      </c>
    </row>
    <row r="867">
      <c r="A867" s="1">
        <f>Hyperlink("https://www.wallsandfloors.co.uk/super-black-800x800-polished-tiles","Product")</f>
        <v/>
      </c>
      <c r="B867" s="1" t="inlineStr">
        <is>
          <t>44206</t>
        </is>
      </c>
      <c r="C867" s="1" t="inlineStr">
        <is>
          <t>Black Polished Floor Tiles</t>
        </is>
      </c>
      <c r="D867" s="1" t="inlineStr">
        <is>
          <t>800x800x8mm</t>
        </is>
      </c>
      <c r="E867" s="1" t="n">
        <v>29.95</v>
      </c>
      <c r="F867" s="1" t="n">
        <v>0</v>
      </c>
      <c r="G867" s="1" t="inlineStr">
        <is>
          <t>SQM</t>
        </is>
      </c>
      <c r="H867" s="1" t="inlineStr">
        <is>
          <t>Porcelain</t>
        </is>
      </c>
      <c r="I867" s="1" t="inlineStr">
        <is>
          <t>Polished</t>
        </is>
      </c>
      <c r="J867" t="n">
        <v>29.95</v>
      </c>
      <c r="K867" t="n">
        <v>29.95</v>
      </c>
      <c r="L867" t="n">
        <v>29.95</v>
      </c>
    </row>
    <row r="868">
      <c r="A868" s="1">
        <f>Hyperlink("https://www.wallsandfloors.co.uk/super-black-600x600-polished-tiles","Product")</f>
        <v/>
      </c>
      <c r="B868" s="1" t="inlineStr">
        <is>
          <t>44205</t>
        </is>
      </c>
      <c r="C868" s="1" t="inlineStr">
        <is>
          <t>Black Polished Tiles</t>
        </is>
      </c>
      <c r="D868" s="1" t="inlineStr">
        <is>
          <t>600x600x8mm</t>
        </is>
      </c>
      <c r="E868" s="1" t="n">
        <v>24.95</v>
      </c>
      <c r="F868" s="1" t="n">
        <v>0</v>
      </c>
      <c r="G868" s="1" t="inlineStr">
        <is>
          <t>SQM</t>
        </is>
      </c>
      <c r="H868" s="1" t="inlineStr">
        <is>
          <t>Porcelain</t>
        </is>
      </c>
      <c r="I868" s="1" t="inlineStr">
        <is>
          <t>Polished</t>
        </is>
      </c>
      <c r="J868" t="inlineStr"/>
      <c r="K868" t="inlineStr"/>
      <c r="L868" t="n">
        <v>24.95</v>
      </c>
    </row>
    <row r="869">
      <c r="A869" s="1">
        <f>Hyperlink("https://www.wallsandfloors.co.uk/super-black-300x600-polished-tiles","Product")</f>
        <v/>
      </c>
      <c r="B869" s="1" t="inlineStr">
        <is>
          <t>44122</t>
        </is>
      </c>
      <c r="C869" s="1" t="inlineStr">
        <is>
          <t>Black Polished Tiles</t>
        </is>
      </c>
      <c r="D869" s="1" t="inlineStr">
        <is>
          <t>300x600x8mm</t>
        </is>
      </c>
      <c r="E869" s="1" t="n">
        <v>24.95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Polished</t>
        </is>
      </c>
      <c r="J869" t="n">
        <v>24.95</v>
      </c>
      <c r="K869" t="inlineStr"/>
      <c r="L869" t="n">
        <v>24.95</v>
      </c>
    </row>
    <row r="870">
      <c r="A870" s="1">
        <f>Hyperlink("https://www.wallsandfloors.co.uk/super-white-triangle-50x50x70mm-tiles","Product")</f>
        <v/>
      </c>
      <c r="B870" s="1" t="inlineStr">
        <is>
          <t>990182</t>
        </is>
      </c>
      <c r="C870" s="1" t="inlineStr">
        <is>
          <t>Super White Triangle Tiles</t>
        </is>
      </c>
      <c r="D870" s="1" t="inlineStr">
        <is>
          <t>50x50x70mm</t>
        </is>
      </c>
      <c r="E870" s="1" t="n">
        <v>1.5</v>
      </c>
      <c r="F870" s="1" t="n">
        <v>0</v>
      </c>
      <c r="G870" s="1" t="inlineStr">
        <is>
          <t>SQM</t>
        </is>
      </c>
      <c r="H870" s="1" t="inlineStr">
        <is>
          <t>Porcelain</t>
        </is>
      </c>
      <c r="I870" s="1" t="inlineStr">
        <is>
          <t>Matt</t>
        </is>
      </c>
      <c r="J870" t="n">
        <v>1.5</v>
      </c>
      <c r="K870" t="n">
        <v>1.5</v>
      </c>
      <c r="L870" t="n">
        <v>1.5</v>
      </c>
    </row>
    <row r="871">
      <c r="A871" s="1">
        <f>Hyperlink("https://www.wallsandfloors.co.uk/tavla-matt-calico-tiles","Product")</f>
        <v/>
      </c>
      <c r="B871" s="1" t="inlineStr">
        <is>
          <t>39248</t>
        </is>
      </c>
      <c r="C871" s="1" t="inlineStr">
        <is>
          <t>Tavla Matt Calico Limestone Effect Tiles</t>
        </is>
      </c>
      <c r="D871" s="1" t="inlineStr">
        <is>
          <t>897x897x10.5mm</t>
        </is>
      </c>
      <c r="E871" s="1" t="n">
        <v>47.95</v>
      </c>
      <c r="F871" s="1" t="n">
        <v>0</v>
      </c>
      <c r="G871" s="1" t="inlineStr">
        <is>
          <t>SQM</t>
        </is>
      </c>
      <c r="H871" s="1" t="inlineStr">
        <is>
          <t>Porcelain</t>
        </is>
      </c>
      <c r="I871" s="1" t="inlineStr">
        <is>
          <t>Matt</t>
        </is>
      </c>
      <c r="J871" t="n">
        <v>47.95</v>
      </c>
      <c r="K871" t="n">
        <v>47.95</v>
      </c>
      <c r="L871" t="n">
        <v>47.95</v>
      </c>
    </row>
    <row r="872">
      <c r="A872" s="1">
        <f>Hyperlink("https://www.wallsandfloors.co.uk/tavla-matt-grey-tiles","Product")</f>
        <v/>
      </c>
      <c r="B872" s="1" t="inlineStr">
        <is>
          <t>39250</t>
        </is>
      </c>
      <c r="C872" s="1" t="inlineStr">
        <is>
          <t>Tavla Matt Grey Limestone Effect Tiles</t>
        </is>
      </c>
      <c r="D872" s="1" t="inlineStr">
        <is>
          <t>897x897x10.5mm</t>
        </is>
      </c>
      <c r="E872" s="1" t="n">
        <v>47.95</v>
      </c>
      <c r="F872" s="1" t="n">
        <v>0</v>
      </c>
      <c r="G872" s="1" t="inlineStr">
        <is>
          <t>SQM</t>
        </is>
      </c>
      <c r="H872" s="1" t="inlineStr">
        <is>
          <t>Porcelain</t>
        </is>
      </c>
      <c r="I872" s="1" t="inlineStr">
        <is>
          <t>Matt</t>
        </is>
      </c>
      <c r="J872" t="n">
        <v>47.95</v>
      </c>
      <c r="K872" t="n">
        <v>47.95</v>
      </c>
      <c r="L872" t="n">
        <v>47.95</v>
      </c>
    </row>
    <row r="873">
      <c r="A873" s="1">
        <f>Hyperlink("https://www.wallsandfloors.co.uk/tcr-4-1-2-115-porcelain-tile-diamond-blade","Product")</f>
        <v/>
      </c>
      <c r="B873" s="1" t="inlineStr">
        <is>
          <t>27527</t>
        </is>
      </c>
      <c r="C873" s="1" t="inlineStr">
        <is>
          <t>TCR 4 115 mm 1/2" Porcelain Tile Diamond Blade</t>
        </is>
      </c>
      <c r="D873" s="1" t="inlineStr">
        <is>
          <t>115mm</t>
        </is>
      </c>
      <c r="E873" s="1" t="n">
        <v>31.55</v>
      </c>
      <c r="F873" s="1" t="n">
        <v>0</v>
      </c>
      <c r="G873" s="1" t="inlineStr">
        <is>
          <t>Unit</t>
        </is>
      </c>
      <c r="H873" s="1" t="inlineStr">
        <is>
          <t>Accessories</t>
        </is>
      </c>
      <c r="I873" s="1" t="inlineStr">
        <is>
          <t>-</t>
        </is>
      </c>
      <c r="J873" t="n">
        <v>31.55</v>
      </c>
      <c r="K873" t="n">
        <v>31.55</v>
      </c>
      <c r="L873" t="n">
        <v>31.55</v>
      </c>
    </row>
    <row r="874">
      <c r="A874" s="1">
        <f>Hyperlink("https://www.wallsandfloors.co.uk/titanic-linear-pebble-grey-mosaic-tiles","Product")</f>
        <v/>
      </c>
      <c r="B874" s="1" t="inlineStr">
        <is>
          <t>39778</t>
        </is>
      </c>
      <c r="C874" s="1" t="inlineStr">
        <is>
          <t>Titanic Linear Pebble Grey Mosaic Tiles</t>
        </is>
      </c>
      <c r="D874" s="1" t="inlineStr">
        <is>
          <t>406x300x8mm</t>
        </is>
      </c>
      <c r="E874" s="1" t="n">
        <v>7.8</v>
      </c>
      <c r="F874" s="1" t="n">
        <v>0</v>
      </c>
      <c r="G874" s="1" t="inlineStr">
        <is>
          <t>Sheet</t>
        </is>
      </c>
      <c r="H874" s="1" t="inlineStr">
        <is>
          <t>Glass</t>
        </is>
      </c>
      <c r="I874" s="1" t="inlineStr">
        <is>
          <t>Mixed</t>
        </is>
      </c>
      <c r="J874" t="n">
        <v>7.8</v>
      </c>
      <c r="K874" t="n">
        <v>7.8</v>
      </c>
      <c r="L874" t="n">
        <v>7.8</v>
      </c>
    </row>
    <row r="875">
      <c r="A875" s="1">
        <f>Hyperlink("https://www.wallsandfloors.co.uk/titanic-linear-alabaster-white-tiles","Product")</f>
        <v/>
      </c>
      <c r="B875" s="1" t="inlineStr">
        <is>
          <t>39779</t>
        </is>
      </c>
      <c r="C875" s="1" t="inlineStr">
        <is>
          <t>Titanic Linear Alabaster White Tiles</t>
        </is>
      </c>
      <c r="D875" s="1" t="inlineStr">
        <is>
          <t>406x300x8mm</t>
        </is>
      </c>
      <c r="E875" s="1" t="n">
        <v>12.95</v>
      </c>
      <c r="F875" s="1" t="n">
        <v>0</v>
      </c>
      <c r="G875" s="1" t="inlineStr">
        <is>
          <t>Sheet</t>
        </is>
      </c>
      <c r="H875" s="1" t="inlineStr">
        <is>
          <t>Glass</t>
        </is>
      </c>
      <c r="I875" s="1" t="inlineStr">
        <is>
          <t>Mixed</t>
        </is>
      </c>
      <c r="J875" t="inlineStr"/>
      <c r="K875" t="n">
        <v>12.95</v>
      </c>
      <c r="L875" t="n">
        <v>12.95</v>
      </c>
    </row>
    <row r="876">
      <c r="A876" s="1">
        <f>Hyperlink("https://www.wallsandfloors.co.uk/titanic-graphite-polished-80x80-tiles","Product")</f>
        <v/>
      </c>
      <c r="B876" s="1" t="inlineStr">
        <is>
          <t>37208</t>
        </is>
      </c>
      <c r="C876" s="1" t="inlineStr">
        <is>
          <t>Titanic Graphite Polished Tiles</t>
        </is>
      </c>
      <c r="D876" s="1" t="inlineStr">
        <is>
          <t>800x800x10.8mm</t>
        </is>
      </c>
      <c r="E876" s="1" t="n">
        <v>29.95</v>
      </c>
      <c r="F876" s="1" t="n">
        <v>0</v>
      </c>
      <c r="G876" s="1" t="inlineStr">
        <is>
          <t>SQM</t>
        </is>
      </c>
      <c r="H876" s="1" t="inlineStr">
        <is>
          <t>Porcelain</t>
        </is>
      </c>
      <c r="I876" s="1" t="inlineStr">
        <is>
          <t>Polished</t>
        </is>
      </c>
      <c r="J876" t="n">
        <v>29.95</v>
      </c>
      <c r="K876" t="n">
        <v>29.95</v>
      </c>
      <c r="L876" t="n">
        <v>29.95</v>
      </c>
    </row>
    <row r="877">
      <c r="A877" s="1">
        <f>Hyperlink("https://www.wallsandfloors.co.uk/titanic-graphite-polished-80x40-tiles","Product")</f>
        <v/>
      </c>
      <c r="B877" s="1" t="inlineStr">
        <is>
          <t>37207</t>
        </is>
      </c>
      <c r="C877" s="1" t="inlineStr">
        <is>
          <t>Titanic Graphite Polished Tiles</t>
        </is>
      </c>
      <c r="D877" s="1" t="inlineStr">
        <is>
          <t>800x400x10.8mm</t>
        </is>
      </c>
      <c r="E877" s="1" t="n">
        <v>20.75</v>
      </c>
      <c r="F877" s="1" t="n">
        <v>0</v>
      </c>
      <c r="G877" s="1" t="inlineStr">
        <is>
          <t>SQM</t>
        </is>
      </c>
      <c r="H877" s="1" t="inlineStr">
        <is>
          <t>Porcelain</t>
        </is>
      </c>
      <c r="I877" s="1" t="inlineStr">
        <is>
          <t>Polished</t>
        </is>
      </c>
      <c r="J877" t="n">
        <v>20.75</v>
      </c>
      <c r="K877" t="n">
        <v>20.75</v>
      </c>
      <c r="L877" t="n">
        <v>20.75</v>
      </c>
    </row>
    <row r="878">
      <c r="A878" s="1">
        <f>Hyperlink("https://www.wallsandfloors.co.uk/titanic-coal-linear-desert-black-mosaic-tiles","Product")</f>
        <v/>
      </c>
      <c r="B878" s="1" t="inlineStr">
        <is>
          <t>39777</t>
        </is>
      </c>
      <c r="C878" s="1" t="inlineStr">
        <is>
          <t>Titanic Linear Desert Black Mosaic Tiles</t>
        </is>
      </c>
      <c r="D878" s="1" t="inlineStr">
        <is>
          <t>406x300x8mm</t>
        </is>
      </c>
      <c r="E878" s="1" t="n">
        <v>8</v>
      </c>
      <c r="F878" s="1" t="n">
        <v>0</v>
      </c>
      <c r="G878" s="1" t="inlineStr">
        <is>
          <t>Sheet</t>
        </is>
      </c>
      <c r="H878" s="1" t="inlineStr">
        <is>
          <t>Glass</t>
        </is>
      </c>
      <c r="I878" s="1" t="inlineStr">
        <is>
          <t>Mixed</t>
        </is>
      </c>
      <c r="J878" t="n">
        <v>8</v>
      </c>
      <c r="K878" t="n">
        <v>8</v>
      </c>
      <c r="L878" t="n">
        <v>8</v>
      </c>
    </row>
    <row r="879">
      <c r="A879" s="1">
        <f>Hyperlink("https://www.wallsandfloors.co.uk/titanic-chevron-pebble-grey-tiles","Product")</f>
        <v/>
      </c>
      <c r="B879" s="1" t="inlineStr">
        <is>
          <t>39774</t>
        </is>
      </c>
      <c r="C879" s="1" t="inlineStr">
        <is>
          <t>Titanic Chevron Pebble Grey Tiles</t>
        </is>
      </c>
      <c r="D879" s="1" t="inlineStr">
        <is>
          <t>315x298x8mm</t>
        </is>
      </c>
      <c r="E879" s="1" t="n">
        <v>8</v>
      </c>
      <c r="F879" s="1" t="n">
        <v>0</v>
      </c>
      <c r="G879" s="1" t="inlineStr">
        <is>
          <t>SQM</t>
        </is>
      </c>
      <c r="H879" s="1" t="inlineStr">
        <is>
          <t>Glass</t>
        </is>
      </c>
      <c r="I879" s="1" t="inlineStr">
        <is>
          <t>Mixed</t>
        </is>
      </c>
      <c r="J879" t="inlineStr"/>
      <c r="K879" t="n">
        <v>8</v>
      </c>
      <c r="L879" t="n">
        <v>8</v>
      </c>
    </row>
    <row r="880">
      <c r="A880" s="1">
        <f>Hyperlink("https://www.wallsandfloors.co.uk/titanic-chevron-alabaster-white-tiles","Product")</f>
        <v/>
      </c>
      <c r="B880" s="1" t="inlineStr">
        <is>
          <t>39775</t>
        </is>
      </c>
      <c r="C880" s="1" t="inlineStr">
        <is>
          <t>Titanic Chevron Alabaster White Tiles</t>
        </is>
      </c>
      <c r="D880" s="1" t="inlineStr">
        <is>
          <t>315x298x8mm</t>
        </is>
      </c>
      <c r="E880" s="1" t="n">
        <v>8</v>
      </c>
      <c r="F880" s="1" t="n">
        <v>0</v>
      </c>
      <c r="G880" s="1" t="inlineStr">
        <is>
          <t>SQM</t>
        </is>
      </c>
      <c r="H880" s="1" t="inlineStr">
        <is>
          <t>Glass</t>
        </is>
      </c>
      <c r="I880" s="1" t="inlineStr">
        <is>
          <t>Mixed</t>
        </is>
      </c>
      <c r="J880" t="n">
        <v>8</v>
      </c>
      <c r="K880" t="n">
        <v>8</v>
      </c>
      <c r="L880" t="n">
        <v>8</v>
      </c>
    </row>
    <row r="881">
      <c r="A881" s="1">
        <f>Hyperlink("https://www.wallsandfloors.co.uk/tints-rose-brick-tiles","Product")</f>
        <v/>
      </c>
      <c r="B881" s="1" t="inlineStr">
        <is>
          <t>37747</t>
        </is>
      </c>
      <c r="C881" s="1" t="inlineStr">
        <is>
          <t>Tints Rose Brick Tiles</t>
        </is>
      </c>
      <c r="D881" s="1" t="inlineStr">
        <is>
          <t>200x100x6mm</t>
        </is>
      </c>
      <c r="E881" s="1" t="n">
        <v>30.95</v>
      </c>
      <c r="F881" s="1" t="n">
        <v>0</v>
      </c>
      <c r="G881" s="1" t="inlineStr">
        <is>
          <t>SQM</t>
        </is>
      </c>
      <c r="H881" s="1" t="inlineStr">
        <is>
          <t>Ceramic</t>
        </is>
      </c>
      <c r="I881" s="1" t="inlineStr">
        <is>
          <t>Gloss</t>
        </is>
      </c>
      <c r="J881" t="n">
        <v>30.95</v>
      </c>
      <c r="K881" t="inlineStr"/>
      <c r="L881" t="n">
        <v>30.95</v>
      </c>
    </row>
    <row r="882">
      <c r="A882" s="1">
        <f>Hyperlink("https://www.wallsandfloors.co.uk/tints-calm-brick-tiles","Product")</f>
        <v/>
      </c>
      <c r="B882" s="1" t="inlineStr">
        <is>
          <t>37748</t>
        </is>
      </c>
      <c r="C882" s="1" t="inlineStr">
        <is>
          <t>Tints Calm Brick Tiles</t>
        </is>
      </c>
      <c r="D882" s="1" t="inlineStr">
        <is>
          <t>200x100x6mm</t>
        </is>
      </c>
      <c r="E882" s="1" t="n">
        <v>30.95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Gloss</t>
        </is>
      </c>
      <c r="J882" t="n">
        <v>30.95</v>
      </c>
      <c r="K882" t="n">
        <v>30.95</v>
      </c>
      <c r="L882" t="n">
        <v>30.95</v>
      </c>
    </row>
    <row r="883">
      <c r="A883" s="1">
        <f>Hyperlink("https://www.wallsandfloors.co.uk/tile-spacers-long-spacer-2mm-1000","Product")</f>
        <v/>
      </c>
      <c r="B883" s="1" t="inlineStr">
        <is>
          <t>27378</t>
        </is>
      </c>
      <c r="C883" s="1" t="inlineStr">
        <is>
          <t>Long Tile Spacers 2mm Long (1000)</t>
        </is>
      </c>
      <c r="D883" s="1" t="inlineStr">
        <is>
          <t>2mm</t>
        </is>
      </c>
      <c r="E883" s="1" t="n">
        <v>8.75</v>
      </c>
      <c r="F883" s="1" t="n">
        <v>0</v>
      </c>
      <c r="G883" s="1" t="inlineStr">
        <is>
          <t>Unit</t>
        </is>
      </c>
      <c r="H883" s="1" t="inlineStr">
        <is>
          <t>Accessories</t>
        </is>
      </c>
      <c r="I883" s="1" t="inlineStr">
        <is>
          <t>-</t>
        </is>
      </c>
      <c r="J883" t="n">
        <v>8.75</v>
      </c>
      <c r="K883" t="n">
        <v>8.75</v>
      </c>
      <c r="L883" t="n">
        <v>8.75</v>
      </c>
    </row>
    <row r="884">
      <c r="A884" s="1">
        <f>Hyperlink("https://www.wallsandfloors.co.uk/tile-spacers-4mm-1000","Product")</f>
        <v/>
      </c>
      <c r="B884" s="1" t="inlineStr">
        <is>
          <t>27380</t>
        </is>
      </c>
      <c r="C884" s="1" t="inlineStr">
        <is>
          <t>Rubi 4mm Tile Spacers</t>
        </is>
      </c>
      <c r="D884" s="1" t="inlineStr">
        <is>
          <t>4mm - 1000pk</t>
        </is>
      </c>
      <c r="E884" s="1" t="n">
        <v>13.45</v>
      </c>
      <c r="F884" s="1" t="n">
        <v>0</v>
      </c>
      <c r="G884" s="1" t="inlineStr">
        <is>
          <t>Unit</t>
        </is>
      </c>
      <c r="H884" s="1" t="inlineStr">
        <is>
          <t>P.V.C.</t>
        </is>
      </c>
      <c r="I884" s="1" t="inlineStr">
        <is>
          <t>-</t>
        </is>
      </c>
      <c r="J884" t="n">
        <v>13.45</v>
      </c>
      <c r="K884" t="inlineStr"/>
      <c r="L884" t="n">
        <v>13.45</v>
      </c>
    </row>
    <row r="885">
      <c r="A885" s="1">
        <f>Hyperlink("https://www.wallsandfloors.co.uk/tile-level-quick-set","Product")</f>
        <v/>
      </c>
      <c r="B885" s="1" t="inlineStr">
        <is>
          <t>36840</t>
        </is>
      </c>
      <c r="C885" s="1" t="inlineStr">
        <is>
          <t>Tile Level Quick Set</t>
        </is>
      </c>
      <c r="D885" s="1" t="inlineStr">
        <is>
          <t>1 Size</t>
        </is>
      </c>
      <c r="E885" s="1" t="n">
        <v>49.95</v>
      </c>
      <c r="F885" s="1" t="n">
        <v>0</v>
      </c>
      <c r="G885" s="1" t="inlineStr">
        <is>
          <t>Unit</t>
        </is>
      </c>
      <c r="H885" s="1" t="inlineStr">
        <is>
          <t>Tools</t>
        </is>
      </c>
      <c r="I885" s="1" t="inlineStr">
        <is>
          <t>-</t>
        </is>
      </c>
      <c r="J885" t="inlineStr"/>
      <c r="K885" t="inlineStr"/>
      <c r="L885" t="n">
        <v>49.95</v>
      </c>
    </row>
    <row r="886">
      <c r="A886" s="1">
        <f>Hyperlink("https://www.wallsandfloors.co.uk/tile-level-caps-b-100-u","Product")</f>
        <v/>
      </c>
      <c r="B886" s="1" t="inlineStr">
        <is>
          <t>40397</t>
        </is>
      </c>
      <c r="C886" s="1" t="inlineStr">
        <is>
          <t>Tile Level Caps (100)</t>
        </is>
      </c>
      <c r="D886" s="1" t="inlineStr">
        <is>
          <t>1.5mm</t>
        </is>
      </c>
      <c r="E886" s="1" t="n">
        <v>15.45</v>
      </c>
      <c r="F886" s="1" t="n">
        <v>0</v>
      </c>
      <c r="G886" s="1" t="inlineStr">
        <is>
          <t>Unit</t>
        </is>
      </c>
      <c r="H886" s="1" t="inlineStr">
        <is>
          <t>Accessories</t>
        </is>
      </c>
      <c r="I886" s="1" t="inlineStr">
        <is>
          <t>-</t>
        </is>
      </c>
      <c r="J886" t="n">
        <v>15.45</v>
      </c>
      <c r="K886" t="n">
        <v>15.45</v>
      </c>
      <c r="L886" t="n">
        <v>15.45</v>
      </c>
    </row>
    <row r="887">
      <c r="A887" s="1">
        <f>Hyperlink("https://www.wallsandfloors.co.uk/tile-level-b-100-u-strip","Product")</f>
        <v/>
      </c>
      <c r="B887" s="1" t="inlineStr">
        <is>
          <t>40398</t>
        </is>
      </c>
      <c r="C887" s="1" t="inlineStr">
        <is>
          <t>Tile Level Strip (100)</t>
        </is>
      </c>
      <c r="D887" s="1" t="inlineStr">
        <is>
          <t>16x3mm</t>
        </is>
      </c>
      <c r="E887" s="1" t="n">
        <v>16.95</v>
      </c>
      <c r="F887" s="1" t="n">
        <v>0</v>
      </c>
      <c r="G887" s="1" t="inlineStr">
        <is>
          <t>Unit</t>
        </is>
      </c>
      <c r="H887" s="1" t="inlineStr">
        <is>
          <t>Accessories</t>
        </is>
      </c>
      <c r="I887" s="1" t="inlineStr">
        <is>
          <t>-</t>
        </is>
      </c>
      <c r="J887" t="n">
        <v>16.95</v>
      </c>
      <c r="K887" t="n">
        <v>16.95</v>
      </c>
      <c r="L887" t="n">
        <v>16.95</v>
      </c>
    </row>
    <row r="888">
      <c r="A888" s="1">
        <f>Hyperlink("https://www.wallsandfloors.co.uk/thermonet-heating-system-200w-under-tile-heater-mat-200w-sqm-9-sqm","Product")</f>
        <v/>
      </c>
      <c r="B888" s="1" t="inlineStr">
        <is>
          <t>9310</t>
        </is>
      </c>
      <c r="C888" s="1" t="inlineStr">
        <is>
          <t>Under Tile Heater Mat 200W/sqm - 9 Sqm</t>
        </is>
      </c>
      <c r="D888" s="1" t="inlineStr">
        <is>
          <t>9.0 Sqm</t>
        </is>
      </c>
      <c r="E888" s="1" t="n">
        <v>634.5</v>
      </c>
      <c r="F888" s="1" t="n">
        <v>0</v>
      </c>
      <c r="G888" s="1" t="inlineStr">
        <is>
          <t>Units</t>
        </is>
      </c>
      <c r="H888" s="1" t="inlineStr">
        <is>
          <t>Accessories</t>
        </is>
      </c>
      <c r="I888" s="1" t="inlineStr">
        <is>
          <t>-</t>
        </is>
      </c>
      <c r="J888" t="n">
        <v>634.5</v>
      </c>
      <c r="K888" t="n">
        <v>634.5</v>
      </c>
      <c r="L888" t="n">
        <v>634.5</v>
      </c>
    </row>
    <row r="889">
      <c r="A889" s="1">
        <f>Hyperlink("https://www.wallsandfloors.co.uk/thermonet-heating-system-150w-under-tile-heater-mat-150w-sqm-4-95-sqm-9292","Product")</f>
        <v/>
      </c>
      <c r="B889" s="1" t="inlineStr">
        <is>
          <t>9292</t>
        </is>
      </c>
      <c r="C889" s="1" t="inlineStr">
        <is>
          <t>Under Tile Heater Mat 150W/sqm - 4.95 Sqm</t>
        </is>
      </c>
      <c r="D889" s="1" t="inlineStr">
        <is>
          <t>4.95 Sqm</t>
        </is>
      </c>
      <c r="E889" s="1" t="n">
        <v>330</v>
      </c>
      <c r="F889" s="1" t="n">
        <v>0</v>
      </c>
      <c r="G889" s="1" t="inlineStr">
        <is>
          <t>Units</t>
        </is>
      </c>
      <c r="H889" s="1" t="inlineStr">
        <is>
          <t>Accessories</t>
        </is>
      </c>
      <c r="I889" s="1" t="inlineStr">
        <is>
          <t>-</t>
        </is>
      </c>
      <c r="J889" t="n">
        <v>330</v>
      </c>
      <c r="K889" t="n">
        <v>330</v>
      </c>
      <c r="L889" t="n">
        <v>330</v>
      </c>
    </row>
    <row r="890">
      <c r="A890" s="1">
        <f>Hyperlink("https://www.wallsandfloors.co.uk/texxtile-lux-tiles","Product")</f>
        <v/>
      </c>
      <c r="B890" s="1" t="inlineStr">
        <is>
          <t>38599</t>
        </is>
      </c>
      <c r="C890" s="1" t="inlineStr">
        <is>
          <t>Texxtile Lux Tiles</t>
        </is>
      </c>
      <c r="D890" s="1" t="inlineStr">
        <is>
          <t>185x185x8mm</t>
        </is>
      </c>
      <c r="E890" s="1" t="n">
        <v>34.95</v>
      </c>
      <c r="F890" s="1" t="n">
        <v>0</v>
      </c>
      <c r="G890" s="1" t="inlineStr">
        <is>
          <t>SQM</t>
        </is>
      </c>
      <c r="H890" s="1" t="inlineStr">
        <is>
          <t>Porcelain</t>
        </is>
      </c>
      <c r="I890" s="1" t="inlineStr">
        <is>
          <t>Matt</t>
        </is>
      </c>
      <c r="J890" t="n">
        <v>34.95</v>
      </c>
      <c r="K890" t="n">
        <v>34.95</v>
      </c>
      <c r="L890" t="n">
        <v>34.95</v>
      </c>
    </row>
    <row r="891">
      <c r="A891" s="1">
        <f>Hyperlink("https://www.wallsandfloors.co.uk/texxtile-earl-tiles","Product")</f>
        <v/>
      </c>
      <c r="B891" s="1" t="inlineStr">
        <is>
          <t>38601</t>
        </is>
      </c>
      <c r="C891" s="1" t="inlineStr">
        <is>
          <t>Texxtile Earl Tiles</t>
        </is>
      </c>
      <c r="D891" s="1" t="inlineStr">
        <is>
          <t>185x185x8mm</t>
        </is>
      </c>
      <c r="E891" s="1" t="n">
        <v>34.95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Matt</t>
        </is>
      </c>
      <c r="J891" t="inlineStr"/>
      <c r="K891" t="inlineStr"/>
      <c r="L891" t="n">
        <v>34.95</v>
      </c>
    </row>
    <row r="892">
      <c r="A892" s="1">
        <f>Hyperlink("https://www.wallsandfloors.co.uk/texxtile-cotton-tiles","Product")</f>
        <v/>
      </c>
      <c r="B892" s="1" t="inlineStr">
        <is>
          <t>38602</t>
        </is>
      </c>
      <c r="C892" s="1" t="inlineStr">
        <is>
          <t>Texxtile Cotton Tiles</t>
        </is>
      </c>
      <c r="D892" s="1" t="inlineStr">
        <is>
          <t>185x185x8mm</t>
        </is>
      </c>
      <c r="E892" s="1" t="n">
        <v>34.95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Matt</t>
        </is>
      </c>
      <c r="J892" t="n">
        <v>34.95</v>
      </c>
      <c r="K892" t="n">
        <v>34.95</v>
      </c>
      <c r="L892" t="n">
        <v>34.95</v>
      </c>
    </row>
    <row r="893">
      <c r="A893" s="1">
        <f>Hyperlink("https://www.wallsandfloors.co.uk/texxtile-ashen-tiles","Product")</f>
        <v/>
      </c>
      <c r="B893" s="1" t="inlineStr">
        <is>
          <t>38600</t>
        </is>
      </c>
      <c r="C893" s="1" t="inlineStr">
        <is>
          <t>Texxtile Ashen Tiles</t>
        </is>
      </c>
      <c r="D893" s="1" t="inlineStr">
        <is>
          <t>185x185x8mm</t>
        </is>
      </c>
      <c r="E893" s="1" t="n">
        <v>34.95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Matt</t>
        </is>
      </c>
      <c r="J893" t="n">
        <v>34.95</v>
      </c>
      <c r="K893" t="n">
        <v>34.95</v>
      </c>
      <c r="L893" t="n">
        <v>34.95</v>
      </c>
    </row>
    <row r="894">
      <c r="A894" s="1">
        <f>Hyperlink("https://www.wallsandfloors.co.uk/tephra-viridian-herringbone-mix-mosaic-tiles","Product")</f>
        <v/>
      </c>
      <c r="B894" s="1" t="inlineStr">
        <is>
          <t>37465</t>
        </is>
      </c>
      <c r="C894" s="1" t="inlineStr">
        <is>
          <t>Tephra Viridian Herringbone Mix Mosaic Tiles</t>
        </is>
      </c>
      <c r="D894" s="1" t="inlineStr">
        <is>
          <t>312x309x8mm</t>
        </is>
      </c>
      <c r="E894" s="1" t="n">
        <v>6.4</v>
      </c>
      <c r="F894" s="1" t="n">
        <v>0</v>
      </c>
      <c r="G894" s="1" t="inlineStr">
        <is>
          <t>Sheet</t>
        </is>
      </c>
      <c r="H894" s="1" t="inlineStr">
        <is>
          <t>Basalt, Glass</t>
        </is>
      </c>
      <c r="I894" s="1" t="inlineStr">
        <is>
          <t>Satin</t>
        </is>
      </c>
      <c r="J894" t="n">
        <v>6.4</v>
      </c>
      <c r="K894" t="inlineStr"/>
      <c r="L894" t="n">
        <v>6.4</v>
      </c>
    </row>
    <row r="895">
      <c r="A895" s="1">
        <f>Hyperlink("https://www.wallsandfloors.co.uk/tephra-glaucous-linear-mosaic-tiles","Product")</f>
        <v/>
      </c>
      <c r="B895" s="1" t="inlineStr">
        <is>
          <t>37464</t>
        </is>
      </c>
      <c r="C895" s="1" t="inlineStr">
        <is>
          <t>Tephra Glaucous Linear Mosaic Tiles</t>
        </is>
      </c>
      <c r="D895" s="1" t="inlineStr">
        <is>
          <t>350x300x8mm</t>
        </is>
      </c>
      <c r="E895" s="1" t="n">
        <v>8.550000000000001</v>
      </c>
      <c r="F895" s="1" t="n">
        <v>0</v>
      </c>
      <c r="G895" s="1" t="inlineStr"/>
      <c r="H895" s="1" t="inlineStr">
        <is>
          <t>Basalt</t>
        </is>
      </c>
      <c r="I895" s="1" t="inlineStr">
        <is>
          <t>Satin</t>
        </is>
      </c>
      <c r="J895" t="inlineStr"/>
      <c r="K895" t="n">
        <v>8.550000000000001</v>
      </c>
      <c r="L895" t="n">
        <v>8.550000000000001</v>
      </c>
    </row>
    <row r="896">
      <c r="A896" s="1">
        <f>Hyperlink("https://www.wallsandfloors.co.uk/tephra-dusted-moon-herringbone-mix-mosaic-tiles","Product")</f>
        <v/>
      </c>
      <c r="B896" s="1" t="inlineStr">
        <is>
          <t>37467</t>
        </is>
      </c>
      <c r="C896" s="1" t="inlineStr">
        <is>
          <t>Tephra Dusted Moon Herringbone Mix Mosaic Tiles</t>
        </is>
      </c>
      <c r="D896" s="1" t="inlineStr">
        <is>
          <t>312x309x8mm</t>
        </is>
      </c>
      <c r="E896" s="1" t="n">
        <v>6.35</v>
      </c>
      <c r="F896" s="1" t="n">
        <v>0</v>
      </c>
      <c r="G896" s="1" t="inlineStr">
        <is>
          <t>Sheet</t>
        </is>
      </c>
      <c r="H896" s="1" t="inlineStr">
        <is>
          <t>Basalt, Glass</t>
        </is>
      </c>
      <c r="I896" s="1" t="inlineStr">
        <is>
          <t>Satin</t>
        </is>
      </c>
      <c r="J896" t="n">
        <v>6.35</v>
      </c>
      <c r="K896" t="n">
        <v>6.35</v>
      </c>
      <c r="L896" t="n">
        <v>6.35</v>
      </c>
    </row>
    <row r="897">
      <c r="A897" s="1">
        <f>Hyperlink("https://www.wallsandfloors.co.uk/suburban-stone-tiles-white-stone-matt-wall-tiles","Product")</f>
        <v/>
      </c>
      <c r="B897" s="1" t="inlineStr">
        <is>
          <t>14598</t>
        </is>
      </c>
      <c r="C897" s="1" t="inlineStr">
        <is>
          <t>White Stone Matt Wall Tiles</t>
        </is>
      </c>
      <c r="D897" s="1" t="inlineStr">
        <is>
          <t>360x275x9mm</t>
        </is>
      </c>
      <c r="E897" s="1" t="n">
        <v>23.95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Matt</t>
        </is>
      </c>
      <c r="J897" t="n">
        <v>23.95</v>
      </c>
      <c r="K897" t="n">
        <v>23.95</v>
      </c>
      <c r="L897" t="n">
        <v>23.95</v>
      </c>
    </row>
    <row r="898">
      <c r="A898" s="1">
        <f>Hyperlink("https://www.wallsandfloors.co.uk/siberian-stone-effect-tiles-gris-tile","Product")</f>
        <v/>
      </c>
      <c r="B898" s="1" t="inlineStr">
        <is>
          <t>12297</t>
        </is>
      </c>
      <c r="C898" s="1" t="inlineStr">
        <is>
          <t>Gris Tile</t>
        </is>
      </c>
      <c r="D898" s="1" t="inlineStr">
        <is>
          <t>625x320x9mm</t>
        </is>
      </c>
      <c r="E898" s="1" t="n">
        <v>29.95</v>
      </c>
      <c r="F898" s="1" t="n">
        <v>0</v>
      </c>
      <c r="G898" s="1" t="inlineStr">
        <is>
          <t>SQM</t>
        </is>
      </c>
      <c r="H898" s="1" t="inlineStr">
        <is>
          <t>Porcelain</t>
        </is>
      </c>
      <c r="I898" s="1" t="inlineStr">
        <is>
          <t>Matt</t>
        </is>
      </c>
      <c r="J898" t="n">
        <v>29.95</v>
      </c>
      <c r="K898" t="inlineStr"/>
      <c r="L898" t="n">
        <v>29.95</v>
      </c>
    </row>
    <row r="899">
      <c r="A899" s="1">
        <f>Hyperlink("https://www.wallsandfloors.co.uk/suburban-stone-tiles-soft-pebble-wall-tiles","Product")</f>
        <v/>
      </c>
      <c r="B899" s="1" t="inlineStr">
        <is>
          <t>14600</t>
        </is>
      </c>
      <c r="C899" s="1" t="inlineStr">
        <is>
          <t>Soft Pebble Wall Tiles</t>
        </is>
      </c>
      <c r="D899" s="1" t="inlineStr">
        <is>
          <t>360x275x9mm</t>
        </is>
      </c>
      <c r="E899" s="1" t="n">
        <v>23.95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Matt</t>
        </is>
      </c>
      <c r="J899" t="n">
        <v>23.95</v>
      </c>
      <c r="K899" t="n">
        <v>23.95</v>
      </c>
      <c r="L899" t="n">
        <v>23.95</v>
      </c>
    </row>
    <row r="900">
      <c r="A900" s="1">
        <f>Hyperlink("https://www.wallsandfloors.co.uk/suburban-stone-tiles-grey-stone-wall-tiles","Product")</f>
        <v/>
      </c>
      <c r="B900" s="1" t="inlineStr">
        <is>
          <t>14604</t>
        </is>
      </c>
      <c r="C900" s="1" t="inlineStr">
        <is>
          <t>Grey Stone Wall Tiles</t>
        </is>
      </c>
      <c r="D900" s="1" t="inlineStr">
        <is>
          <t>360x275x9mm</t>
        </is>
      </c>
      <c r="E900" s="1" t="n">
        <v>29.95</v>
      </c>
      <c r="F900" s="1" t="n">
        <v>0</v>
      </c>
      <c r="G900" s="1" t="inlineStr"/>
      <c r="H900" s="1" t="inlineStr">
        <is>
          <t>Ceramic</t>
        </is>
      </c>
      <c r="I900" s="1" t="inlineStr">
        <is>
          <t>Matt</t>
        </is>
      </c>
      <c r="J900" t="n">
        <v>29.95</v>
      </c>
      <c r="K900" t="n">
        <v>29.95</v>
      </c>
      <c r="L900" t="n">
        <v>29.95</v>
      </c>
    </row>
    <row r="901">
      <c r="A901" s="1">
        <f>Hyperlink("https://www.wallsandfloors.co.uk/stone-age-mosaico-chalky-tiles-58874","Product")</f>
        <v/>
      </c>
      <c r="B901" s="1" t="inlineStr">
        <is>
          <t>42088</t>
        </is>
      </c>
      <c r="C901" s="1" t="inlineStr">
        <is>
          <t>Stone Age Mosaico Chalky Tiles</t>
        </is>
      </c>
      <c r="D901" s="1" t="inlineStr">
        <is>
          <t>400x250x8.3mm</t>
        </is>
      </c>
      <c r="E901" s="1" t="n">
        <v>13.95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Matt</t>
        </is>
      </c>
      <c r="J901" t="n">
        <v>13.95</v>
      </c>
      <c r="K901" t="n">
        <v>13.95</v>
      </c>
      <c r="L901" t="n">
        <v>13.95</v>
      </c>
    </row>
    <row r="902">
      <c r="A902" s="1">
        <f>Hyperlink("https://www.wallsandfloors.co.uk/stesso-pepper-stone-mosaic-tiles","Product")</f>
        <v/>
      </c>
      <c r="B902" s="1" t="inlineStr">
        <is>
          <t>37256</t>
        </is>
      </c>
      <c r="C902" s="1" t="inlineStr">
        <is>
          <t>Stesso Pepper Stone Mosaic Tiles</t>
        </is>
      </c>
      <c r="D902" s="1" t="inlineStr">
        <is>
          <t>262x298x6mm</t>
        </is>
      </c>
      <c r="E902" s="1" t="n">
        <v>6.45</v>
      </c>
      <c r="F902" s="1" t="n">
        <v>0</v>
      </c>
      <c r="G902" s="1" t="inlineStr">
        <is>
          <t>Sheet</t>
        </is>
      </c>
      <c r="H902" s="1" t="inlineStr">
        <is>
          <t>Glass</t>
        </is>
      </c>
      <c r="I902" s="1" t="inlineStr">
        <is>
          <t>Matt</t>
        </is>
      </c>
      <c r="J902" t="inlineStr"/>
      <c r="K902" t="n">
        <v>6.45</v>
      </c>
      <c r="L902" t="n">
        <v>6.45</v>
      </c>
    </row>
    <row r="903">
      <c r="A903" s="1">
        <f>Hyperlink("https://www.wallsandfloors.co.uk/starline-riven-finish-tiles-light-grey-tiles","Product")</f>
        <v/>
      </c>
      <c r="B903" s="1" t="inlineStr">
        <is>
          <t>11050</t>
        </is>
      </c>
      <c r="C903" s="1" t="inlineStr">
        <is>
          <t>Starline Light Grey Anti Slip Floor Tiles</t>
        </is>
      </c>
      <c r="D903" s="1" t="inlineStr">
        <is>
          <t>300x300x6mm</t>
        </is>
      </c>
      <c r="E903" s="1" t="n">
        <v>15.95</v>
      </c>
      <c r="F903" s="1" t="n">
        <v>0</v>
      </c>
      <c r="G903" s="1" t="inlineStr">
        <is>
          <t>SQM</t>
        </is>
      </c>
      <c r="H903" s="1" t="inlineStr">
        <is>
          <t>Porcelain</t>
        </is>
      </c>
      <c r="I903" s="1" t="inlineStr">
        <is>
          <t>Matt</t>
        </is>
      </c>
      <c r="J903" t="n">
        <v>15.95</v>
      </c>
      <c r="K903" t="n">
        <v>15.95</v>
      </c>
      <c r="L903" t="n">
        <v>15.95</v>
      </c>
    </row>
    <row r="904">
      <c r="A904" s="1">
        <f>Hyperlink("https://www.wallsandfloors.co.uk/starline-riven-finish-tiles-dark-grey-tiles","Product")</f>
        <v/>
      </c>
      <c r="B904" s="1" t="inlineStr">
        <is>
          <t>11051</t>
        </is>
      </c>
      <c r="C904" s="1" t="inlineStr">
        <is>
          <t>Dark Grey Tiles</t>
        </is>
      </c>
      <c r="D904" s="1" t="inlineStr">
        <is>
          <t>300x300x6mm</t>
        </is>
      </c>
      <c r="E904" s="1" t="n">
        <v>15.95</v>
      </c>
      <c r="F904" s="1" t="n">
        <v>0</v>
      </c>
      <c r="G904" s="1" t="inlineStr">
        <is>
          <t>SQM</t>
        </is>
      </c>
      <c r="H904" s="1" t="inlineStr">
        <is>
          <t>Porcelain</t>
        </is>
      </c>
      <c r="I904" s="1" t="inlineStr">
        <is>
          <t>Matt</t>
        </is>
      </c>
      <c r="J904" t="n">
        <v>15.95</v>
      </c>
      <c r="K904" t="n">
        <v>15.95</v>
      </c>
      <c r="L904" t="n">
        <v>15.95</v>
      </c>
    </row>
    <row r="905">
      <c r="A905" s="1">
        <f>Hyperlink("https://www.wallsandfloors.co.uk/starline-riven-finish-tiles-anthracite-tiles","Product")</f>
        <v/>
      </c>
      <c r="B905" s="1" t="inlineStr">
        <is>
          <t>11048</t>
        </is>
      </c>
      <c r="C905" s="1" t="inlineStr">
        <is>
          <t>Anthracite Tiles</t>
        </is>
      </c>
      <c r="D905" s="1" t="inlineStr">
        <is>
          <t>300x300x6mm</t>
        </is>
      </c>
      <c r="E905" s="1" t="n">
        <v>15.95</v>
      </c>
      <c r="F905" s="1" t="n">
        <v>0</v>
      </c>
      <c r="G905" s="1" t="inlineStr">
        <is>
          <t>SQM</t>
        </is>
      </c>
      <c r="H905" s="1" t="inlineStr">
        <is>
          <t>Porcelain</t>
        </is>
      </c>
      <c r="I905" s="1" t="inlineStr">
        <is>
          <t>Matt</t>
        </is>
      </c>
      <c r="J905" t="inlineStr"/>
      <c r="K905" t="n">
        <v>15.95</v>
      </c>
      <c r="L905" t="n">
        <v>15.95</v>
      </c>
    </row>
    <row r="906">
      <c r="A906" s="1">
        <f>Hyperlink("https://www.wallsandfloors.co.uk/starline-natural-finish-tiles-dark-grey-tiles","Product")</f>
        <v/>
      </c>
      <c r="B906" s="1" t="inlineStr">
        <is>
          <t>11046</t>
        </is>
      </c>
      <c r="C906" s="1" t="inlineStr">
        <is>
          <t>Starline Natural Finish Dark Grey Tiles</t>
        </is>
      </c>
      <c r="D906" s="1" t="inlineStr">
        <is>
          <t>300x300x6mm</t>
        </is>
      </c>
      <c r="E906" s="1" t="n">
        <v>13.95</v>
      </c>
      <c r="F906" s="1" t="n">
        <v>0</v>
      </c>
      <c r="G906" s="1" t="inlineStr">
        <is>
          <t>SQM</t>
        </is>
      </c>
      <c r="H906" s="1" t="inlineStr">
        <is>
          <t>Porcelain</t>
        </is>
      </c>
      <c r="I906" s="1" t="inlineStr">
        <is>
          <t>Matt</t>
        </is>
      </c>
      <c r="J906" t="n">
        <v>13.95</v>
      </c>
      <c r="K906" t="n">
        <v>13.95</v>
      </c>
      <c r="L906" t="n">
        <v>13.95</v>
      </c>
    </row>
    <row r="907">
      <c r="A907" s="1">
        <f>Hyperlink("https://www.wallsandfloors.co.uk/starline-natural-finish-tiles-anthracite-tiles","Product")</f>
        <v/>
      </c>
      <c r="B907" s="1" t="inlineStr">
        <is>
          <t>11044</t>
        </is>
      </c>
      <c r="C907" s="1" t="inlineStr">
        <is>
          <t>Starline Anthracite Tiles</t>
        </is>
      </c>
      <c r="D907" s="1" t="inlineStr">
        <is>
          <t>300x300x6mm</t>
        </is>
      </c>
      <c r="E907" s="1" t="n">
        <v>13.95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n">
        <v>13.95</v>
      </c>
      <c r="K907" t="inlineStr"/>
      <c r="L907" t="n">
        <v>13.95</v>
      </c>
    </row>
    <row r="908">
      <c r="A908" s="1">
        <f>Hyperlink("https://www.wallsandfloors.co.uk/stainless-steel-square-edge-trims-stainless-steel-08mm","Product")</f>
        <v/>
      </c>
      <c r="B908" s="1" t="inlineStr">
        <is>
          <t>9548</t>
        </is>
      </c>
      <c r="C908" s="1" t="inlineStr">
        <is>
          <t>Square Edge 08mm Stainless Steel Tile Trim</t>
        </is>
      </c>
      <c r="D908" s="1" t="inlineStr">
        <is>
          <t>2.5m Length x 8mm Depth</t>
        </is>
      </c>
      <c r="E908" s="1" t="n">
        <v>16.95</v>
      </c>
      <c r="F908" s="1" t="n">
        <v>0</v>
      </c>
      <c r="G908" s="1" t="inlineStr">
        <is>
          <t>Unit</t>
        </is>
      </c>
      <c r="H908" s="1" t="inlineStr">
        <is>
          <t>Metal</t>
        </is>
      </c>
      <c r="I908" s="1" t="inlineStr">
        <is>
          <t>-</t>
        </is>
      </c>
      <c r="J908" t="inlineStr"/>
      <c r="K908" t="n">
        <v>16.95</v>
      </c>
      <c r="L908" t="n">
        <v>16.95</v>
      </c>
    </row>
    <row r="909">
      <c r="A909" s="1">
        <f>Hyperlink("https://www.wallsandfloors.co.uk/stainless-steel-mosaic-tiles-norton-brushed-mosaic-tiles","Product")</f>
        <v/>
      </c>
      <c r="B909" s="1" t="inlineStr">
        <is>
          <t>3926</t>
        </is>
      </c>
      <c r="C909" s="1" t="inlineStr">
        <is>
          <t>Stainless Steel Norton Brushed Mosaic Tiles</t>
        </is>
      </c>
      <c r="D909" s="1" t="inlineStr">
        <is>
          <t>305x305x8mm</t>
        </is>
      </c>
      <c r="E909" s="1" t="n">
        <v>7.75</v>
      </c>
      <c r="F909" s="1" t="n">
        <v>0</v>
      </c>
      <c r="G909" s="1" t="inlineStr">
        <is>
          <t>Sheet</t>
        </is>
      </c>
      <c r="H909" s="1" t="inlineStr">
        <is>
          <t>Metal</t>
        </is>
      </c>
      <c r="I909" s="1" t="inlineStr">
        <is>
          <t>Matt</t>
        </is>
      </c>
      <c r="J909" t="inlineStr"/>
      <c r="K909" t="inlineStr"/>
      <c r="L909" t="n">
        <v>7.75</v>
      </c>
    </row>
    <row r="910">
      <c r="A910" s="1">
        <f>Hyperlink("https://www.wallsandfloors.co.uk/sponge-float-pro-plus-plastic-handle","Product")</f>
        <v/>
      </c>
      <c r="B910" s="1" t="inlineStr">
        <is>
          <t>40393</t>
        </is>
      </c>
      <c r="C910" s="1" t="inlineStr">
        <is>
          <t>Sponge PRO PLUS Float with Plastic Handle</t>
        </is>
      </c>
      <c r="D910" s="1" t="n">
        <v>1</v>
      </c>
      <c r="E910" s="1" t="n">
        <v>7.84</v>
      </c>
      <c r="F910" s="1" t="n">
        <v>0</v>
      </c>
      <c r="G910" s="1" t="inlineStr">
        <is>
          <t>Unit</t>
        </is>
      </c>
      <c r="H910" s="1" t="inlineStr">
        <is>
          <t>Accessories</t>
        </is>
      </c>
      <c r="I910" s="1" t="inlineStr">
        <is>
          <t>-</t>
        </is>
      </c>
      <c r="J910" t="n">
        <v>7.84</v>
      </c>
      <c r="K910" t="inlineStr"/>
      <c r="L910" t="n">
        <v>7.84</v>
      </c>
    </row>
    <row r="911">
      <c r="A911" s="1">
        <f>Hyperlink("https://www.wallsandfloors.co.uk/stone-age-tiles-chalky-stone-45x45-floor-tiles","Product")</f>
        <v/>
      </c>
      <c r="B911" s="1" t="inlineStr">
        <is>
          <t>14310</t>
        </is>
      </c>
      <c r="C911" s="1" t="inlineStr">
        <is>
          <t>Stone Age Chalky Floor Tiles</t>
        </is>
      </c>
      <c r="D911" s="1" t="inlineStr">
        <is>
          <t>450x450x7mm</t>
        </is>
      </c>
      <c r="E911" s="1" t="n">
        <v>14.95</v>
      </c>
      <c r="F911" s="1" t="n">
        <v>0</v>
      </c>
      <c r="G911" s="1" t="inlineStr">
        <is>
          <t>SQM</t>
        </is>
      </c>
      <c r="H911" s="1" t="inlineStr">
        <is>
          <t>Ceramic</t>
        </is>
      </c>
      <c r="I911" s="1" t="inlineStr">
        <is>
          <t>Matt</t>
        </is>
      </c>
      <c r="J911" t="n">
        <v>14.95</v>
      </c>
      <c r="K911" t="n">
        <v>14.95</v>
      </c>
      <c r="L911" t="n">
        <v>14.95</v>
      </c>
    </row>
    <row r="912">
      <c r="A912" s="1">
        <f>Hyperlink("https://www.wallsandfloors.co.uk/spellbound-tiles-matt-white-200x100-tiles","Product")</f>
        <v/>
      </c>
      <c r="B912" s="1" t="inlineStr">
        <is>
          <t>14917</t>
        </is>
      </c>
      <c r="C912" s="1" t="inlineStr">
        <is>
          <t>Spellbound Matt White Tiles</t>
        </is>
      </c>
      <c r="D912" s="1" t="inlineStr">
        <is>
          <t>197x97x6mm</t>
        </is>
      </c>
      <c r="E912" s="1" t="n">
        <v>25.95</v>
      </c>
      <c r="F912" s="1" t="n">
        <v>0</v>
      </c>
      <c r="G912" s="1" t="inlineStr">
        <is>
          <t>SQM</t>
        </is>
      </c>
      <c r="H912" s="1" t="inlineStr">
        <is>
          <t>Ceramic</t>
        </is>
      </c>
      <c r="I912" s="1" t="inlineStr">
        <is>
          <t>Matt</t>
        </is>
      </c>
      <c r="J912" t="inlineStr"/>
      <c r="K912" t="n">
        <v>25.95</v>
      </c>
      <c r="L912" t="n">
        <v>25.95</v>
      </c>
    </row>
    <row r="913">
      <c r="A913" s="1">
        <f>Hyperlink("https://www.wallsandfloors.co.uk/spellbound-tiles-matt-black-100x100-tiles","Product")</f>
        <v/>
      </c>
      <c r="B913" s="1" t="inlineStr">
        <is>
          <t>14913</t>
        </is>
      </c>
      <c r="C913" s="1" t="inlineStr">
        <is>
          <t>Spellbound Matt Black Tiles</t>
        </is>
      </c>
      <c r="D913" s="1" t="inlineStr">
        <is>
          <t>97x97x6mm</t>
        </is>
      </c>
      <c r="E913" s="1" t="n">
        <v>25.95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Matt</t>
        </is>
      </c>
      <c r="J913" t="n">
        <v>25.95</v>
      </c>
      <c r="K913" t="n">
        <v>25.95</v>
      </c>
      <c r="L913" t="n">
        <v>25.95</v>
      </c>
    </row>
    <row r="914">
      <c r="A914" s="1">
        <f>Hyperlink("https://www.wallsandfloors.co.uk/speed-62-magnet-with-case","Product")</f>
        <v/>
      </c>
      <c r="B914" s="1" t="inlineStr">
        <is>
          <t>40385</t>
        </is>
      </c>
      <c r="C914" s="1" t="inlineStr">
        <is>
          <t>SPEED-62 Magnet Manual Tile Cutter With Case</t>
        </is>
      </c>
      <c r="D914" s="1" t="n">
        <v>1</v>
      </c>
      <c r="E914" s="1" t="n">
        <v>256.85</v>
      </c>
      <c r="F914" s="1" t="n">
        <v>0</v>
      </c>
      <c r="G914" s="1" t="inlineStr">
        <is>
          <t>Unit</t>
        </is>
      </c>
      <c r="H914" s="1" t="inlineStr">
        <is>
          <t>Accessories</t>
        </is>
      </c>
      <c r="I914" s="1" t="inlineStr">
        <is>
          <t>-</t>
        </is>
      </c>
      <c r="J914" t="n">
        <v>256.85</v>
      </c>
      <c r="K914" t="n">
        <v>256.85</v>
      </c>
      <c r="L914" t="n">
        <v>256.85</v>
      </c>
    </row>
    <row r="915">
      <c r="A915" s="1">
        <f>Hyperlink("https://www.wallsandfloors.co.uk/solemnity-stone-effect-tiles-feathered-charcoal-tiles","Product")</f>
        <v/>
      </c>
      <c r="B915" s="1" t="inlineStr">
        <is>
          <t>14868</t>
        </is>
      </c>
      <c r="C915" s="1" t="inlineStr">
        <is>
          <t>Solemnity Feathered Charcoal Tiles</t>
        </is>
      </c>
      <c r="D915" s="1" t="inlineStr">
        <is>
          <t>600x300x9mm</t>
        </is>
      </c>
      <c r="E915" s="1" t="n">
        <v>17.96</v>
      </c>
      <c r="F915" s="1" t="n">
        <v>0</v>
      </c>
      <c r="G915" s="1" t="inlineStr">
        <is>
          <t>SQM</t>
        </is>
      </c>
      <c r="H915" s="1" t="inlineStr">
        <is>
          <t>Porcelain</t>
        </is>
      </c>
      <c r="I915" s="1" t="inlineStr">
        <is>
          <t>Matt</t>
        </is>
      </c>
      <c r="J915" t="n">
        <v>17.96</v>
      </c>
      <c r="K915" t="n">
        <v>17.96</v>
      </c>
      <c r="L915" t="n">
        <v>17.96</v>
      </c>
    </row>
    <row r="916">
      <c r="A916" s="1">
        <f>Hyperlink("https://www.wallsandfloors.co.uk/solemnity-stone-effect-tiles-dusted-pebble-tiles","Product")</f>
        <v/>
      </c>
      <c r="B916" s="1" t="inlineStr">
        <is>
          <t>14870</t>
        </is>
      </c>
      <c r="C916" s="1" t="inlineStr">
        <is>
          <t>Dusted Pebble Tiles</t>
        </is>
      </c>
      <c r="D916" s="1" t="inlineStr">
        <is>
          <t>600x300x9mm</t>
        </is>
      </c>
      <c r="E916" s="1" t="n">
        <v>17.95</v>
      </c>
      <c r="F916" s="1" t="n">
        <v>0</v>
      </c>
      <c r="G916" s="1" t="inlineStr">
        <is>
          <t>SQM</t>
        </is>
      </c>
      <c r="H916" s="1" t="inlineStr">
        <is>
          <t>Porcelain</t>
        </is>
      </c>
      <c r="I916" s="1" t="inlineStr">
        <is>
          <t>Matt</t>
        </is>
      </c>
      <c r="J916" t="n">
        <v>17.95</v>
      </c>
      <c r="K916" t="n">
        <v>17.95</v>
      </c>
      <c r="L916" t="n">
        <v>17.95</v>
      </c>
    </row>
    <row r="917">
      <c r="A917" s="1">
        <f>Hyperlink("https://www.wallsandfloors.co.uk/soft-taupe-tiles","Product")</f>
        <v/>
      </c>
      <c r="B917" s="1" t="inlineStr">
        <is>
          <t>38985</t>
        </is>
      </c>
      <c r="C917" s="1" t="inlineStr">
        <is>
          <t>Nyans Soft Taupe Wood Effect Tiles</t>
        </is>
      </c>
      <c r="D917" s="1" t="inlineStr">
        <is>
          <t>593x98x9.5mm</t>
        </is>
      </c>
      <c r="E917" s="1" t="n">
        <v>40.95</v>
      </c>
      <c r="F917" s="1" t="n">
        <v>0</v>
      </c>
      <c r="G917" s="1" t="inlineStr">
        <is>
          <t>SQM</t>
        </is>
      </c>
      <c r="H917" s="1" t="inlineStr">
        <is>
          <t>Porcelain</t>
        </is>
      </c>
      <c r="I917" s="1" t="inlineStr">
        <is>
          <t>Matt</t>
        </is>
      </c>
      <c r="J917" t="n">
        <v>40.95</v>
      </c>
      <c r="K917" t="n">
        <v>40.95</v>
      </c>
      <c r="L917" t="n">
        <v>40.95</v>
      </c>
    </row>
    <row r="918">
      <c r="A918" s="1">
        <f>Hyperlink("https://www.wallsandfloors.co.uk/sobremsa-wood-plank-tiles-silver-birch-wood-effect-tiles","Product")</f>
        <v/>
      </c>
      <c r="B918" s="1" t="inlineStr">
        <is>
          <t>35050</t>
        </is>
      </c>
      <c r="C918" s="1" t="inlineStr">
        <is>
          <t>Sobremsa Silver Birch Wood Effect Tiles</t>
        </is>
      </c>
      <c r="D918" s="1" t="inlineStr">
        <is>
          <t>1200x233x9mm</t>
        </is>
      </c>
      <c r="E918" s="1" t="n">
        <v>27.95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Matt</t>
        </is>
      </c>
      <c r="J918" t="n">
        <v>27.95</v>
      </c>
      <c r="K918" t="n">
        <v>27.95</v>
      </c>
      <c r="L918" t="n">
        <v>27.95</v>
      </c>
    </row>
    <row r="919">
      <c r="A919" s="1">
        <f>Hyperlink("https://www.wallsandfloors.co.uk/sobremsa-wood-plank-tiles-seasoned-cherry-wood-effect-tiles","Product")</f>
        <v/>
      </c>
      <c r="B919" s="1" t="inlineStr">
        <is>
          <t>35051</t>
        </is>
      </c>
      <c r="C919" s="1" t="inlineStr">
        <is>
          <t>Sobremsa Seasoned Cherry Wood Effect Tile</t>
        </is>
      </c>
      <c r="D919" s="1" t="inlineStr">
        <is>
          <t>1200x233x9mm</t>
        </is>
      </c>
      <c r="E919" s="1" t="n">
        <v>27.95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27.95</v>
      </c>
      <c r="K919" t="n">
        <v>27.95</v>
      </c>
      <c r="L919" t="n">
        <v>27.95</v>
      </c>
    </row>
    <row r="920">
      <c r="A920" s="1">
        <f>Hyperlink("https://www.wallsandfloors.co.uk/sobremsa-wood-plank-tiles-rustic-walnut-wood-effect-tiles","Product")</f>
        <v/>
      </c>
      <c r="B920" s="1" t="inlineStr">
        <is>
          <t>35053</t>
        </is>
      </c>
      <c r="C920" s="1" t="inlineStr">
        <is>
          <t>Sobremsa Rustic Walnut Wood Effect Tiles</t>
        </is>
      </c>
      <c r="D920" s="1" t="inlineStr">
        <is>
          <t>1200x233x9mm</t>
        </is>
      </c>
      <c r="E920" s="1" t="n">
        <v>27.95</v>
      </c>
      <c r="F920" s="1" t="n">
        <v>0</v>
      </c>
      <c r="G920" s="1" t="inlineStr">
        <is>
          <t>SQM</t>
        </is>
      </c>
      <c r="H920" s="1" t="inlineStr">
        <is>
          <t>Porcelain</t>
        </is>
      </c>
      <c r="I920" s="1" t="inlineStr">
        <is>
          <t>Matt</t>
        </is>
      </c>
      <c r="J920" t="n">
        <v>27.95</v>
      </c>
      <c r="K920" t="n">
        <v>27.95</v>
      </c>
      <c r="L920" t="n">
        <v>27.95</v>
      </c>
    </row>
    <row r="921">
      <c r="A921" s="1">
        <f>Hyperlink("https://www.wallsandfloors.co.uk/sobremsa-wood-plank-tiles-aged-grey-oak-wood-effect-tiles","Product")</f>
        <v/>
      </c>
      <c r="B921" s="1" t="inlineStr">
        <is>
          <t>35052</t>
        </is>
      </c>
      <c r="C921" s="1" t="inlineStr">
        <is>
          <t>Sobremsa Aged Grey Oak Wood Effect Tiles</t>
        </is>
      </c>
      <c r="D921" s="1" t="inlineStr">
        <is>
          <t>1200x233x9mm</t>
        </is>
      </c>
      <c r="E921" s="1" t="n">
        <v>27.95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Matt</t>
        </is>
      </c>
      <c r="J921" t="n">
        <v>27.95</v>
      </c>
      <c r="K921" t="n">
        <v>27.95</v>
      </c>
      <c r="L921" t="n">
        <v>27.95</v>
      </c>
    </row>
    <row r="922">
      <c r="A922" s="1">
        <f>Hyperlink("https://www.wallsandfloors.co.uk/smooth-rubinet-sponge","Product")</f>
        <v/>
      </c>
      <c r="B922" s="1" t="inlineStr">
        <is>
          <t>27493</t>
        </is>
      </c>
      <c r="C922" s="1" t="inlineStr">
        <is>
          <t>Rubi Superpro Sponge</t>
        </is>
      </c>
      <c r="D922" s="1" t="inlineStr">
        <is>
          <t>200x130x70mm</t>
        </is>
      </c>
      <c r="E922" s="1" t="n">
        <v>2.25</v>
      </c>
      <c r="F922" s="1" t="n">
        <v>0</v>
      </c>
      <c r="G922" s="1" t="inlineStr">
        <is>
          <t>Unit</t>
        </is>
      </c>
      <c r="H922" s="1" t="inlineStr">
        <is>
          <t>Cleaning and Maintenance</t>
        </is>
      </c>
      <c r="I922" s="1" t="inlineStr">
        <is>
          <t>-</t>
        </is>
      </c>
      <c r="J922" t="n">
        <v>2.25</v>
      </c>
      <c r="K922" t="n">
        <v>2.25</v>
      </c>
      <c r="L922" t="n">
        <v>2.25</v>
      </c>
    </row>
    <row r="923">
      <c r="A923" s="1">
        <f>Hyperlink("https://www.wallsandfloors.co.uk/spellbound-tiles-matt-black-200x100-tiles","Product")</f>
        <v/>
      </c>
      <c r="B923" s="1" t="inlineStr">
        <is>
          <t>14914</t>
        </is>
      </c>
      <c r="C923" s="1" t="inlineStr">
        <is>
          <t>Spellbound Matt Black Brick Tiles</t>
        </is>
      </c>
      <c r="D923" s="1" t="inlineStr">
        <is>
          <t>197x97x6mm</t>
        </is>
      </c>
      <c r="E923" s="1" t="n">
        <v>25.95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Matt</t>
        </is>
      </c>
      <c r="J923" t="inlineStr"/>
      <c r="K923" t="n">
        <v>25.95</v>
      </c>
      <c r="L923" t="n">
        <v>25.95</v>
      </c>
    </row>
    <row r="924">
      <c r="A924" s="1">
        <f>Hyperlink("https://www.wallsandfloors.co.uk/stone-age-tiles-frozen-stone-40x25-wall-tiles","Product")</f>
        <v/>
      </c>
      <c r="B924" s="1" t="inlineStr">
        <is>
          <t>14304</t>
        </is>
      </c>
      <c r="C924" s="1" t="inlineStr">
        <is>
          <t>Stone Age Frozen Wall Tiles</t>
        </is>
      </c>
      <c r="D924" s="1" t="inlineStr">
        <is>
          <t>400x250x8.3mm</t>
        </is>
      </c>
      <c r="E924" s="1" t="n">
        <v>13.95</v>
      </c>
      <c r="F924" s="1" t="n">
        <v>0</v>
      </c>
      <c r="G924" s="1" t="inlineStr">
        <is>
          <t>SQM</t>
        </is>
      </c>
      <c r="H924" s="1" t="inlineStr">
        <is>
          <t>Ceramic</t>
        </is>
      </c>
      <c r="I924" s="1" t="inlineStr">
        <is>
          <t>Matt</t>
        </is>
      </c>
      <c r="J924" t="inlineStr"/>
      <c r="K924" t="n">
        <v>13.95</v>
      </c>
      <c r="L924" t="n">
        <v>13.95</v>
      </c>
    </row>
    <row r="925">
      <c r="A925" s="1">
        <f>Hyperlink("https://www.wallsandfloors.co.uk/stone-age-tiles-frozen-stone-45x45-floor-tiles","Product")</f>
        <v/>
      </c>
      <c r="B925" s="1" t="inlineStr">
        <is>
          <t>14308</t>
        </is>
      </c>
      <c r="C925" s="1" t="inlineStr">
        <is>
          <t>Stone Age Frozen Floor Tiles</t>
        </is>
      </c>
      <c r="D925" s="1" t="inlineStr">
        <is>
          <t>450x450x7mm</t>
        </is>
      </c>
      <c r="E925" s="1" t="n">
        <v>14.95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Matt</t>
        </is>
      </c>
      <c r="J925" t="n">
        <v>14.95</v>
      </c>
      <c r="K925" t="n">
        <v>14.95</v>
      </c>
      <c r="L925" t="n">
        <v>14.95</v>
      </c>
    </row>
    <row r="926">
      <c r="A926" s="1">
        <f>Hyperlink("https://www.wallsandfloors.co.uk/stone-age-tiles-natural-stone-45x45-floor-tiles","Product")</f>
        <v/>
      </c>
      <c r="B926" s="1" t="inlineStr">
        <is>
          <t>14309</t>
        </is>
      </c>
      <c r="C926" s="1" t="inlineStr">
        <is>
          <t>Stone Age Natural Floor Tiles</t>
        </is>
      </c>
      <c r="D926" s="1" t="inlineStr">
        <is>
          <t>450x450x7mm</t>
        </is>
      </c>
      <c r="E926" s="1" t="n">
        <v>14.95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n">
        <v>14.95</v>
      </c>
      <c r="K926" t="n">
        <v>14.95</v>
      </c>
      <c r="L926" t="n">
        <v>14.95</v>
      </c>
    </row>
    <row r="927">
      <c r="A927" s="1">
        <f>Hyperlink("https://www.wallsandfloors.co.uk/suburban-stone-tiles-grey-decor-360x275-wall-tiles","Product")</f>
        <v/>
      </c>
      <c r="B927" s="1" t="inlineStr">
        <is>
          <t>14601</t>
        </is>
      </c>
      <c r="C927" s="1" t="inlineStr">
        <is>
          <t>Grey Decor 360x275 Wall Tiles</t>
        </is>
      </c>
      <c r="D927" s="1" t="inlineStr">
        <is>
          <t>360x275x9mm</t>
        </is>
      </c>
      <c r="E927" s="1" t="n">
        <v>29.95</v>
      </c>
      <c r="F927" s="1" t="n">
        <v>0</v>
      </c>
      <c r="G927" s="1" t="inlineStr">
        <is>
          <t>SQM</t>
        </is>
      </c>
      <c r="H927" s="1" t="inlineStr">
        <is>
          <t>Ceramic</t>
        </is>
      </c>
      <c r="I927" s="1" t="inlineStr">
        <is>
          <t>Matt</t>
        </is>
      </c>
      <c r="J927" t="n">
        <v>29.95</v>
      </c>
      <c r="K927" t="n">
        <v>29.95</v>
      </c>
      <c r="L927" t="n">
        <v>29.95</v>
      </c>
    </row>
    <row r="928">
      <c r="A928" s="1">
        <f>Hyperlink("https://www.wallsandfloors.co.uk/suburban-stone-tiles-beige-decor-wall-tiles","Product")</f>
        <v/>
      </c>
      <c r="B928" s="1" t="inlineStr">
        <is>
          <t>14599</t>
        </is>
      </c>
      <c r="C928" s="1" t="inlineStr">
        <is>
          <t>Beige Decor Wall Tiles</t>
        </is>
      </c>
      <c r="D928" s="1" t="inlineStr">
        <is>
          <t>360x275x9mm</t>
        </is>
      </c>
      <c r="E928" s="1" t="n">
        <v>29.95</v>
      </c>
      <c r="F928" s="1" t="n">
        <v>0</v>
      </c>
      <c r="G928" s="1" t="inlineStr">
        <is>
          <t>SQM</t>
        </is>
      </c>
      <c r="H928" s="1" t="inlineStr">
        <is>
          <t>Ceramic</t>
        </is>
      </c>
      <c r="I928" s="1" t="inlineStr">
        <is>
          <t>Matt</t>
        </is>
      </c>
      <c r="J928" t="n">
        <v>29.95</v>
      </c>
      <c r="K928" t="n">
        <v>29.95</v>
      </c>
      <c r="L928" t="n">
        <v>29.95</v>
      </c>
    </row>
    <row r="929">
      <c r="A929" s="1">
        <f>Hyperlink("https://www.wallsandfloors.co.uk/stucco-umber-lattice-tiles","Product")</f>
        <v/>
      </c>
      <c r="B929" s="1" t="inlineStr">
        <is>
          <t>39059</t>
        </is>
      </c>
      <c r="C929" s="1" t="inlineStr">
        <is>
          <t>Stucco Umber Lattice Tiles</t>
        </is>
      </c>
      <c r="D929" s="1" t="inlineStr">
        <is>
          <t>500x200x10.5mm</t>
        </is>
      </c>
      <c r="E929" s="1" t="n">
        <v>9.949999999999999</v>
      </c>
      <c r="F929" s="1" t="n">
        <v>0</v>
      </c>
      <c r="G929" s="1" t="inlineStr">
        <is>
          <t>SQM</t>
        </is>
      </c>
      <c r="H929" s="1" t="inlineStr">
        <is>
          <t>Ceramic</t>
        </is>
      </c>
      <c r="I929" s="1" t="inlineStr">
        <is>
          <t>Matt</t>
        </is>
      </c>
      <c r="J929" t="n">
        <v>9.949999999999999</v>
      </c>
      <c r="K929" t="n">
        <v>9.949999999999999</v>
      </c>
      <c r="L929" t="n">
        <v>9.949999999999999</v>
      </c>
    </row>
    <row r="930">
      <c r="A930" s="1">
        <f>Hyperlink("https://www.wallsandfloors.co.uk/stucco-umber-45x45-tiles","Product")</f>
        <v/>
      </c>
      <c r="B930" s="1" t="inlineStr">
        <is>
          <t>39135</t>
        </is>
      </c>
      <c r="C930" s="1" t="inlineStr">
        <is>
          <t>Stucco Umber Tiles</t>
        </is>
      </c>
      <c r="D930" s="1" t="inlineStr">
        <is>
          <t>450x450x8.5mm</t>
        </is>
      </c>
      <c r="E930" s="1" t="n">
        <v>10.95</v>
      </c>
      <c r="F930" s="1" t="n">
        <v>0</v>
      </c>
      <c r="G930" s="1" t="inlineStr">
        <is>
          <t>SQM</t>
        </is>
      </c>
      <c r="H930" s="1" t="inlineStr">
        <is>
          <t>Ceramic</t>
        </is>
      </c>
      <c r="I930" s="1" t="inlineStr">
        <is>
          <t>Matt</t>
        </is>
      </c>
      <c r="J930" t="n">
        <v>10.95</v>
      </c>
      <c r="K930" t="n">
        <v>10.95</v>
      </c>
      <c r="L930" t="n">
        <v>10.95</v>
      </c>
    </row>
    <row r="931">
      <c r="A931" s="1">
        <f>Hyperlink("https://www.wallsandfloors.co.uk/stucco-chickpea-plaster-tiles","Product")</f>
        <v/>
      </c>
      <c r="B931" s="1" t="inlineStr">
        <is>
          <t>39060</t>
        </is>
      </c>
      <c r="C931" s="1" t="inlineStr">
        <is>
          <t>Stucco Chickpea Plaster Tiles</t>
        </is>
      </c>
      <c r="D931" s="1" t="inlineStr">
        <is>
          <t>500x200x9mm</t>
        </is>
      </c>
      <c r="E931" s="1" t="n">
        <v>9.949999999999999</v>
      </c>
      <c r="F931" s="1" t="n">
        <v>0</v>
      </c>
      <c r="G931" s="1" t="inlineStr">
        <is>
          <t>SQM</t>
        </is>
      </c>
      <c r="H931" s="1" t="inlineStr">
        <is>
          <t>Ceramic</t>
        </is>
      </c>
      <c r="I931" s="1" t="inlineStr">
        <is>
          <t>Matt</t>
        </is>
      </c>
      <c r="J931" t="n">
        <v>9.949999999999999</v>
      </c>
      <c r="K931" t="n">
        <v>9.949999999999999</v>
      </c>
      <c r="L931" t="n">
        <v>9.949999999999999</v>
      </c>
    </row>
    <row r="932">
      <c r="A932" s="1">
        <f>Hyperlink("https://www.wallsandfloors.co.uk/stucco-chickpea-plaster-45x45-tiles","Product")</f>
        <v/>
      </c>
      <c r="B932" s="1" t="inlineStr">
        <is>
          <t>39136</t>
        </is>
      </c>
      <c r="C932" s="1" t="inlineStr">
        <is>
          <t>Stucco Chickpea Plaster Tiles</t>
        </is>
      </c>
      <c r="D932" s="1" t="inlineStr">
        <is>
          <t>450x450x8.5mm</t>
        </is>
      </c>
      <c r="E932" s="1" t="n">
        <v>10.95</v>
      </c>
      <c r="F932" s="1" t="n">
        <v>0</v>
      </c>
      <c r="G932" s="1" t="inlineStr">
        <is>
          <t>SQM</t>
        </is>
      </c>
      <c r="H932" s="1" t="inlineStr">
        <is>
          <t>Ceramic</t>
        </is>
      </c>
      <c r="I932" s="1" t="inlineStr">
        <is>
          <t>Matt</t>
        </is>
      </c>
      <c r="J932" t="n">
        <v>10.95</v>
      </c>
      <c r="K932" t="n">
        <v>10.95</v>
      </c>
      <c r="L932" t="n">
        <v>10.95</v>
      </c>
    </row>
    <row r="933">
      <c r="A933" s="1">
        <f>Hyperlink("https://www.wallsandfloors.co.uk/stucco-chickpea-lattice-tiles","Product")</f>
        <v/>
      </c>
      <c r="B933" s="1" t="inlineStr">
        <is>
          <t>39061</t>
        </is>
      </c>
      <c r="C933" s="1" t="inlineStr">
        <is>
          <t>Stucco Chickpea Lattice Tiles</t>
        </is>
      </c>
      <c r="D933" s="1" t="inlineStr">
        <is>
          <t>500x200x10.5mm</t>
        </is>
      </c>
      <c r="E933" s="1" t="n">
        <v>9.949999999999999</v>
      </c>
      <c r="F933" s="1" t="n">
        <v>0</v>
      </c>
      <c r="G933" s="1" t="inlineStr"/>
      <c r="H933" s="1" t="inlineStr">
        <is>
          <t>Ceramic</t>
        </is>
      </c>
      <c r="I933" s="1" t="inlineStr">
        <is>
          <t>Matt</t>
        </is>
      </c>
      <c r="J933" t="n">
        <v>9.949999999999999</v>
      </c>
      <c r="K933" t="inlineStr"/>
      <c r="L933" t="n">
        <v>9.949999999999999</v>
      </c>
    </row>
    <row r="934">
      <c r="A934" s="1">
        <f>Hyperlink("https://www.wallsandfloors.co.uk/stucco-bone-plaster-tiles","Product")</f>
        <v/>
      </c>
      <c r="B934" s="1" t="inlineStr">
        <is>
          <t>39062</t>
        </is>
      </c>
      <c r="C934" s="1" t="inlineStr">
        <is>
          <t>Stucco Bone Plaster Tiles</t>
        </is>
      </c>
      <c r="D934" s="1" t="inlineStr">
        <is>
          <t>500x200x9mm</t>
        </is>
      </c>
      <c r="E934" s="1" t="n">
        <v>8.99</v>
      </c>
      <c r="F934" s="1" t="n">
        <v>0</v>
      </c>
      <c r="G934" s="1" t="inlineStr">
        <is>
          <t>SQM</t>
        </is>
      </c>
      <c r="H934" s="1" t="inlineStr">
        <is>
          <t>Ceramic</t>
        </is>
      </c>
      <c r="I934" s="1" t="inlineStr">
        <is>
          <t>Matt</t>
        </is>
      </c>
      <c r="J934" t="n">
        <v>8.99</v>
      </c>
      <c r="K934" t="inlineStr"/>
      <c r="L934" t="n">
        <v>8.99</v>
      </c>
    </row>
    <row r="935">
      <c r="A935" s="1">
        <f>Hyperlink("https://www.wallsandfloors.co.uk/stucco-bone-plaster-45x45-tiles","Product")</f>
        <v/>
      </c>
      <c r="B935" s="1" t="inlineStr">
        <is>
          <t>39137</t>
        </is>
      </c>
      <c r="C935" s="1" t="inlineStr">
        <is>
          <t>Stucco Bone Plaster Tiles</t>
        </is>
      </c>
      <c r="D935" s="1" t="inlineStr">
        <is>
          <t>450x450x8.5mm</t>
        </is>
      </c>
      <c r="E935" s="1" t="n">
        <v>10.95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Matt</t>
        </is>
      </c>
      <c r="J935" t="n">
        <v>10.95</v>
      </c>
      <c r="K935" t="n">
        <v>10.95</v>
      </c>
      <c r="L935" t="n">
        <v>10.95</v>
      </c>
    </row>
    <row r="936">
      <c r="A936" s="1">
        <f>Hyperlink("https://www.wallsandfloors.co.uk/stucco-bone-lattice-tiles","Product")</f>
        <v/>
      </c>
      <c r="B936" s="1" t="inlineStr">
        <is>
          <t>39063</t>
        </is>
      </c>
      <c r="C936" s="1" t="inlineStr">
        <is>
          <t>Stucco Bone Lattice Tiles</t>
        </is>
      </c>
      <c r="D936" s="1" t="inlineStr">
        <is>
          <t>500x200x10.5mm</t>
        </is>
      </c>
      <c r="E936" s="1" t="n">
        <v>9.949999999999999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Matt</t>
        </is>
      </c>
      <c r="J936" t="inlineStr"/>
      <c r="K936" t="n">
        <v>9.949999999999999</v>
      </c>
      <c r="L936" t="n">
        <v>9.949999999999999</v>
      </c>
    </row>
    <row r="937">
      <c r="A937" s="1">
        <f>Hyperlink("https://www.wallsandfloors.co.uk/stucco-arabica-plaster-tiles","Product")</f>
        <v/>
      </c>
      <c r="B937" s="1" t="inlineStr">
        <is>
          <t>39064</t>
        </is>
      </c>
      <c r="C937" s="1" t="inlineStr">
        <is>
          <t>Stucco Arabica Plaster Tiles</t>
        </is>
      </c>
      <c r="D937" s="1" t="inlineStr">
        <is>
          <t>500x200x9mm</t>
        </is>
      </c>
      <c r="E937" s="1" t="n">
        <v>9.949999999999999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Matt</t>
        </is>
      </c>
      <c r="J937" t="n">
        <v>9.949999999999999</v>
      </c>
      <c r="K937" t="n">
        <v>9.949999999999999</v>
      </c>
      <c r="L937" t="n">
        <v>9.949999999999999</v>
      </c>
    </row>
    <row r="938">
      <c r="A938" s="1">
        <f>Hyperlink("https://www.wallsandfloors.co.uk/stucco-arabica-lattice-tiles","Product")</f>
        <v/>
      </c>
      <c r="B938" s="1" t="inlineStr">
        <is>
          <t>39065</t>
        </is>
      </c>
      <c r="C938" s="1" t="inlineStr">
        <is>
          <t>Stucco Arabica Lattice Tiles</t>
        </is>
      </c>
      <c r="D938" s="1" t="inlineStr">
        <is>
          <t>500x200x10.5mm</t>
        </is>
      </c>
      <c r="E938" s="1" t="n">
        <v>9.949999999999999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Matt</t>
        </is>
      </c>
      <c r="J938" t="n">
        <v>9.949999999999999</v>
      </c>
      <c r="K938" t="n">
        <v>9.949999999999999</v>
      </c>
      <c r="L938" t="n">
        <v>9.949999999999999</v>
      </c>
    </row>
    <row r="939">
      <c r="A939" s="1">
        <f>Hyperlink("https://www.wallsandfloors.co.uk/stucco-arabica-45x45-tiles","Product")</f>
        <v/>
      </c>
      <c r="B939" s="1" t="inlineStr">
        <is>
          <t>39138</t>
        </is>
      </c>
      <c r="C939" s="1" t="inlineStr">
        <is>
          <t>Stucco Arabica Tiles</t>
        </is>
      </c>
      <c r="D939" s="1" t="inlineStr">
        <is>
          <t>450x450x8.5mm</t>
        </is>
      </c>
      <c r="E939" s="1" t="n">
        <v>10.95</v>
      </c>
      <c r="F939" s="1" t="n">
        <v>0</v>
      </c>
      <c r="G939" s="1" t="inlineStr">
        <is>
          <t>SQM</t>
        </is>
      </c>
      <c r="H939" s="1" t="inlineStr">
        <is>
          <t>Ceramic</t>
        </is>
      </c>
      <c r="I939" s="1" t="inlineStr">
        <is>
          <t>Matt</t>
        </is>
      </c>
      <c r="J939" t="inlineStr"/>
      <c r="K939" t="n">
        <v>10.95</v>
      </c>
      <c r="L939" t="n">
        <v>10.95</v>
      </c>
    </row>
    <row r="940">
      <c r="A940" s="1">
        <f>Hyperlink("https://www.wallsandfloors.co.uk/straight-edge-metal-trim-8mm-silver-45761","Product")</f>
        <v/>
      </c>
      <c r="B940" s="1" t="inlineStr">
        <is>
          <t>41049</t>
        </is>
      </c>
      <c r="C940" s="1" t="inlineStr">
        <is>
          <t>8mm Aluminium Straight Edge Silver Tile Trim</t>
        </is>
      </c>
      <c r="D940" s="1" t="inlineStr">
        <is>
          <t>2500mm Length x 8mm Depth</t>
        </is>
      </c>
      <c r="E940" s="1" t="n">
        <v>9.949999999999999</v>
      </c>
      <c r="F940" s="1" t="n">
        <v>0</v>
      </c>
      <c r="G940" s="1" t="inlineStr"/>
      <c r="H940" s="1" t="inlineStr">
        <is>
          <t>Metal</t>
        </is>
      </c>
      <c r="I940" s="1" t="inlineStr">
        <is>
          <t>Semi-Polished</t>
        </is>
      </c>
      <c r="J940" t="n">
        <v>9.949999999999999</v>
      </c>
      <c r="K940" t="n">
        <v>9.949999999999999</v>
      </c>
      <c r="L940" t="n">
        <v>9.949999999999999</v>
      </c>
    </row>
    <row r="941">
      <c r="A941" s="1">
        <f>Hyperlink("https://www.wallsandfloors.co.uk/straight-edge-metal-trim-8mm-brushed-effect","Product")</f>
        <v/>
      </c>
      <c r="B941" s="1" t="inlineStr">
        <is>
          <t>41048</t>
        </is>
      </c>
      <c r="C941" s="1" t="inlineStr">
        <is>
          <t>8mm Aluminium Straight Edge Brushed Effect Trim</t>
        </is>
      </c>
      <c r="D941" s="1" t="inlineStr">
        <is>
          <t>2500mm Length x 8mm Depth</t>
        </is>
      </c>
      <c r="E941" s="1" t="n">
        <v>9.949999999999999</v>
      </c>
      <c r="F941" s="1" t="n">
        <v>0</v>
      </c>
      <c r="G941" s="1" t="inlineStr">
        <is>
          <t>Unit</t>
        </is>
      </c>
      <c r="H941" s="1" t="inlineStr">
        <is>
          <t>Metal</t>
        </is>
      </c>
      <c r="I941" s="1" t="inlineStr">
        <is>
          <t>Matt</t>
        </is>
      </c>
      <c r="J941" t="n">
        <v>9.949999999999999</v>
      </c>
      <c r="K941" t="n">
        <v>9.949999999999999</v>
      </c>
      <c r="L941" t="n">
        <v>9.949999999999999</v>
      </c>
    </row>
    <row r="942">
      <c r="A942" s="1">
        <f>Hyperlink("https://www.wallsandfloors.co.uk/straight-edge-metal-trim-12-5mm-silver-45645","Product")</f>
        <v/>
      </c>
      <c r="B942" s="1" t="inlineStr">
        <is>
          <t>41047</t>
        </is>
      </c>
      <c r="C942" s="1" t="inlineStr">
        <is>
          <t>12.5mm Aluminium Straight Edge Silver Tile Trim</t>
        </is>
      </c>
      <c r="D942" s="1" t="inlineStr">
        <is>
          <t>2500mm Length x 12.5mm Depth</t>
        </is>
      </c>
      <c r="E942" s="1" t="n">
        <v>9.949999999999999</v>
      </c>
      <c r="F942" s="1" t="n">
        <v>0</v>
      </c>
      <c r="G942" s="1" t="inlineStr">
        <is>
          <t>Unit</t>
        </is>
      </c>
      <c r="H942" s="1" t="inlineStr">
        <is>
          <t>Metal</t>
        </is>
      </c>
      <c r="I942" s="1" t="inlineStr">
        <is>
          <t>Semi-Polished</t>
        </is>
      </c>
      <c r="J942" t="n">
        <v>9.949999999999999</v>
      </c>
      <c r="K942" t="inlineStr"/>
      <c r="L942" t="n">
        <v>9.949999999999999</v>
      </c>
    </row>
    <row r="943">
      <c r="A943" s="1">
        <f>Hyperlink("https://www.wallsandfloors.co.uk/straight-edge-metal-trim-10mm-silver-45762","Product")</f>
        <v/>
      </c>
      <c r="B943" s="1" t="inlineStr">
        <is>
          <t>41045</t>
        </is>
      </c>
      <c r="C943" s="1" t="inlineStr">
        <is>
          <t>10mm Aluminium Straight Edge Silver Tile Trim</t>
        </is>
      </c>
      <c r="D943" s="1" t="inlineStr">
        <is>
          <t>2500 Length x 10mm Depth</t>
        </is>
      </c>
      <c r="E943" s="1" t="n">
        <v>9.949999999999999</v>
      </c>
      <c r="F943" s="1" t="n">
        <v>0</v>
      </c>
      <c r="G943" s="1" t="inlineStr">
        <is>
          <t>Unit</t>
        </is>
      </c>
      <c r="H943" s="1" t="inlineStr">
        <is>
          <t>Metal</t>
        </is>
      </c>
      <c r="I943" s="1" t="inlineStr">
        <is>
          <t>Semi-Polished</t>
        </is>
      </c>
      <c r="J943" t="inlineStr"/>
      <c r="K943" t="n">
        <v>9.949999999999999</v>
      </c>
      <c r="L943" t="n">
        <v>9.949999999999999</v>
      </c>
    </row>
    <row r="944">
      <c r="A944" s="1">
        <f>Hyperlink("https://www.wallsandfloors.co.uk/straight-edge-metal-trim-10mm-brushed-effect","Product")</f>
        <v/>
      </c>
      <c r="B944" s="1" t="inlineStr">
        <is>
          <t>41044</t>
        </is>
      </c>
      <c r="C944" s="1" t="inlineStr">
        <is>
          <t>10mm Aluminium Straight Edge Brushed Effect Tile Trim</t>
        </is>
      </c>
      <c r="D944" s="1" t="inlineStr">
        <is>
          <t>2500mm Length x 10mm Depth</t>
        </is>
      </c>
      <c r="E944" s="1" t="n">
        <v>9.949999999999999</v>
      </c>
      <c r="F944" s="1" t="n">
        <v>0</v>
      </c>
      <c r="G944" s="1" t="inlineStr">
        <is>
          <t>Unit</t>
        </is>
      </c>
      <c r="H944" s="1" t="inlineStr">
        <is>
          <t>Metal</t>
        </is>
      </c>
      <c r="I944" s="1" t="inlineStr">
        <is>
          <t>Matt</t>
        </is>
      </c>
      <c r="J944" t="n">
        <v>9.949999999999999</v>
      </c>
      <c r="K944" t="n">
        <v>9.949999999999999</v>
      </c>
      <c r="L944" t="n">
        <v>9.949999999999999</v>
      </c>
    </row>
    <row r="945">
      <c r="A945" s="1">
        <f>Hyperlink("https://www.wallsandfloors.co.uk/stop-mould-flexible-wall-tile-grout-white-5kg","Product")</f>
        <v/>
      </c>
      <c r="B945" s="1" t="inlineStr">
        <is>
          <t>33558</t>
        </is>
      </c>
      <c r="C945" s="1" t="inlineStr">
        <is>
          <t>Stop Mould Flexible White Wall Tile Grout</t>
        </is>
      </c>
      <c r="D945" s="1" t="inlineStr">
        <is>
          <t>5kg</t>
        </is>
      </c>
      <c r="E945" s="1" t="n">
        <v>6.35</v>
      </c>
      <c r="F945" s="1" t="n">
        <v>0</v>
      </c>
      <c r="G945" s="1" t="inlineStr">
        <is>
          <t>Unit</t>
        </is>
      </c>
      <c r="H945" s="1" t="inlineStr">
        <is>
          <t>Grout</t>
        </is>
      </c>
      <c r="I945" s="1" t="inlineStr">
        <is>
          <t>-</t>
        </is>
      </c>
      <c r="J945" t="inlineStr"/>
      <c r="K945" t="n">
        <v>6.35</v>
      </c>
      <c r="L945" t="n">
        <v>6.35</v>
      </c>
    </row>
    <row r="946">
      <c r="A946" s="1">
        <f>Hyperlink("https://www.wallsandfloors.co.uk/stonemood-white-tiles","Product")</f>
        <v/>
      </c>
      <c r="B946" s="1" t="inlineStr">
        <is>
          <t>44339</t>
        </is>
      </c>
      <c r="C946" s="1" t="inlineStr">
        <is>
          <t>Stonemood White Tiles</t>
        </is>
      </c>
      <c r="D946" s="1" t="inlineStr">
        <is>
          <t>797x797x8mm</t>
        </is>
      </c>
      <c r="E946" s="1" t="n">
        <v>28.95</v>
      </c>
      <c r="F946" s="1" t="n">
        <v>0</v>
      </c>
      <c r="G946" s="1" t="inlineStr">
        <is>
          <t>SQM</t>
        </is>
      </c>
      <c r="H946" s="1" t="inlineStr">
        <is>
          <t>Porcelain</t>
        </is>
      </c>
      <c r="I946" s="1" t="inlineStr">
        <is>
          <t>Matt</t>
        </is>
      </c>
      <c r="J946" t="n">
        <v>28.95</v>
      </c>
      <c r="K946" t="n">
        <v>28.95</v>
      </c>
      <c r="L946" t="n">
        <v>28.95</v>
      </c>
    </row>
    <row r="947">
      <c r="A947" s="1">
        <f>Hyperlink("https://www.wallsandfloors.co.uk/stonemood-grey-tiles","Product")</f>
        <v/>
      </c>
      <c r="B947" s="1" t="inlineStr">
        <is>
          <t>44335</t>
        </is>
      </c>
      <c r="C947" s="1" t="inlineStr">
        <is>
          <t>Stonemood Grey Tiles</t>
        </is>
      </c>
      <c r="D947" s="1" t="inlineStr">
        <is>
          <t>797x797x8mm</t>
        </is>
      </c>
      <c r="E947" s="1" t="n">
        <v>28.95</v>
      </c>
      <c r="F947" s="1" t="n">
        <v>0</v>
      </c>
      <c r="G947" s="1" t="inlineStr">
        <is>
          <t>SQM</t>
        </is>
      </c>
      <c r="H947" s="1" t="inlineStr">
        <is>
          <t>Porcelain</t>
        </is>
      </c>
      <c r="I947" s="1" t="inlineStr">
        <is>
          <t>Matt</t>
        </is>
      </c>
      <c r="J947" t="n">
        <v>28.95</v>
      </c>
      <c r="K947" t="n">
        <v>28.95</v>
      </c>
      <c r="L947" t="n">
        <v>28.95</v>
      </c>
    </row>
    <row r="948">
      <c r="A948" s="1">
        <f>Hyperlink("https://www.wallsandfloors.co.uk/stone-polished-marble-mosaic-tiles-cream-flore-polished-tiles","Product")</f>
        <v/>
      </c>
      <c r="B948" s="1" t="inlineStr">
        <is>
          <t>10539</t>
        </is>
      </c>
      <c r="C948" s="1" t="inlineStr">
        <is>
          <t>Cream Flore Polished Tiles</t>
        </is>
      </c>
      <c r="D948" s="1" t="inlineStr">
        <is>
          <t>305x305x7mm</t>
        </is>
      </c>
      <c r="E948" s="1" t="n">
        <v>12.95</v>
      </c>
      <c r="F948" s="1" t="n">
        <v>0</v>
      </c>
      <c r="G948" s="1" t="inlineStr">
        <is>
          <t>Sheet</t>
        </is>
      </c>
      <c r="H948" s="1" t="inlineStr">
        <is>
          <t>Marble</t>
        </is>
      </c>
      <c r="I948" s="1" t="inlineStr">
        <is>
          <t>Polished</t>
        </is>
      </c>
      <c r="J948" t="n">
        <v>12.95</v>
      </c>
      <c r="K948" t="n">
        <v>12.95</v>
      </c>
      <c r="L948" t="n">
        <v>12.95</v>
      </c>
    </row>
    <row r="949">
      <c r="A949" s="1">
        <f>Hyperlink("https://www.wallsandfloors.co.uk/stone-polished-marble-mosaic-tiles-cream-flore-polished-square-tiles","Product")</f>
        <v/>
      </c>
      <c r="B949" s="1" t="inlineStr">
        <is>
          <t>10540</t>
        </is>
      </c>
      <c r="C949" s="1" t="inlineStr">
        <is>
          <t>Cream Flore Polished Square Tiles</t>
        </is>
      </c>
      <c r="D949" s="1" t="inlineStr">
        <is>
          <t>305x305x7mm</t>
        </is>
      </c>
      <c r="E949" s="1" t="n">
        <v>12.95</v>
      </c>
      <c r="F949" s="1" t="n">
        <v>0</v>
      </c>
      <c r="G949" s="1" t="inlineStr">
        <is>
          <t>Sheet</t>
        </is>
      </c>
      <c r="H949" s="1" t="inlineStr">
        <is>
          <t>Marble</t>
        </is>
      </c>
      <c r="I949" s="1" t="inlineStr">
        <is>
          <t>Polished</t>
        </is>
      </c>
      <c r="J949" t="n">
        <v>12.95</v>
      </c>
      <c r="K949" t="n">
        <v>12.95</v>
      </c>
      <c r="L949" t="n">
        <v>12.95</v>
      </c>
    </row>
    <row r="950">
      <c r="A950" s="1">
        <f>Hyperlink("https://www.wallsandfloors.co.uk/suburban-stone-tiles-natural-slate-wall-tiles","Product")</f>
        <v/>
      </c>
      <c r="B950" s="1" t="inlineStr">
        <is>
          <t>14603</t>
        </is>
      </c>
      <c r="C950" s="1" t="inlineStr">
        <is>
          <t>Natural Slate Wall Tiles</t>
        </is>
      </c>
      <c r="D950" s="1" t="inlineStr">
        <is>
          <t>360x275x9mm</t>
        </is>
      </c>
      <c r="E950" s="1" t="n">
        <v>23.95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n">
        <v>23.95</v>
      </c>
      <c r="K950" t="n">
        <v>23.95</v>
      </c>
      <c r="L950" t="n">
        <v>23.95</v>
      </c>
    </row>
    <row r="951">
      <c r="A951" s="1">
        <f>Hyperlink("https://www.wallsandfloors.co.uk/rustic-metro-tiles-avocado-gloss-tiles","Product")</f>
        <v/>
      </c>
      <c r="B951" s="1" t="inlineStr">
        <is>
          <t>12173</t>
        </is>
      </c>
      <c r="C951" s="1" t="inlineStr">
        <is>
          <t>Avocado Green Rustic Metro Tiles</t>
        </is>
      </c>
      <c r="D951" s="1" t="inlineStr">
        <is>
          <t>150x75x7mm</t>
        </is>
      </c>
      <c r="E951" s="1" t="n">
        <v>20.95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n">
        <v>20.95</v>
      </c>
      <c r="K951" t="n">
        <v>20.95</v>
      </c>
      <c r="L951" t="n">
        <v>20.95</v>
      </c>
    </row>
    <row r="952">
      <c r="A952" s="1">
        <f>Hyperlink("https://www.wallsandfloors.co.uk/marvel-plus-white-matt-tiles","Product")</f>
        <v/>
      </c>
      <c r="B952" s="1" t="inlineStr">
        <is>
          <t>39158</t>
        </is>
      </c>
      <c r="C952" s="1" t="inlineStr">
        <is>
          <t>Marvel Plus White Matt Tiles</t>
        </is>
      </c>
      <c r="D952" s="1" t="inlineStr">
        <is>
          <t>598x298x10mm</t>
        </is>
      </c>
      <c r="E952" s="1" t="n">
        <v>17.95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Matt</t>
        </is>
      </c>
      <c r="J952" t="n">
        <v>17.95</v>
      </c>
      <c r="K952" t="n">
        <v>17.95</v>
      </c>
      <c r="L952" t="n">
        <v>17.95</v>
      </c>
    </row>
    <row r="953">
      <c r="A953" s="1">
        <f>Hyperlink("https://www.wallsandfloors.co.uk/mediterranean-marble-effect-tiles-mid-cream-gloss-marble-effect-tiles","Product")</f>
        <v/>
      </c>
      <c r="B953" s="1" t="inlineStr">
        <is>
          <t>12830</t>
        </is>
      </c>
      <c r="C953" s="1" t="inlineStr">
        <is>
          <t>Mid Cream Gloss Marble Effect Tiles</t>
        </is>
      </c>
      <c r="D953" s="1" t="inlineStr">
        <is>
          <t>500x250x8mm</t>
        </is>
      </c>
      <c r="E953" s="1" t="n">
        <v>15.95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Gloss</t>
        </is>
      </c>
      <c r="J953" t="inlineStr"/>
      <c r="K953" t="inlineStr"/>
      <c r="L953" t="n">
        <v>15.95</v>
      </c>
    </row>
    <row r="954">
      <c r="A954" s="1">
        <f>Hyperlink("https://www.wallsandfloors.co.uk/chalkstone-ash-tiles","Product")</f>
        <v/>
      </c>
      <c r="B954" s="1" t="inlineStr">
        <is>
          <t>44094</t>
        </is>
      </c>
      <c r="C954" s="1" t="inlineStr">
        <is>
          <t>Chalkstone Ash Tiles</t>
        </is>
      </c>
      <c r="D954" s="1" t="inlineStr">
        <is>
          <t>560x310x10mm</t>
        </is>
      </c>
      <c r="E954" s="1" t="n">
        <v>25.95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Matt</t>
        </is>
      </c>
      <c r="J954" t="n">
        <v>25.95</v>
      </c>
      <c r="K954" t="inlineStr"/>
      <c r="L954" t="n">
        <v>25.95</v>
      </c>
    </row>
    <row r="955">
      <c r="A955" s="1">
        <f>Hyperlink("https://www.wallsandfloors.co.uk/cev-250-10-wet-cutting-diamond-blade","Product")</f>
        <v/>
      </c>
      <c r="B955" s="1" t="inlineStr">
        <is>
          <t>27518</t>
        </is>
      </c>
      <c r="C955" s="1" t="inlineStr">
        <is>
          <t>CEV 250mm 10 Wet Ceramic Tile Diamond Blade</t>
        </is>
      </c>
      <c r="D955" s="1" t="inlineStr">
        <is>
          <t>250mm</t>
        </is>
      </c>
      <c r="E955" s="1" t="n">
        <v>77.45</v>
      </c>
      <c r="F955" s="1" t="n">
        <v>0</v>
      </c>
      <c r="G955" s="1" t="inlineStr">
        <is>
          <t>Unit</t>
        </is>
      </c>
      <c r="H955" s="1" t="inlineStr">
        <is>
          <t>Accessories</t>
        </is>
      </c>
      <c r="I955" s="1" t="inlineStr">
        <is>
          <t>-</t>
        </is>
      </c>
      <c r="J955" t="n">
        <v>77.45</v>
      </c>
      <c r="K955" t="n">
        <v>77.45</v>
      </c>
      <c r="L955" t="n">
        <v>77.45</v>
      </c>
    </row>
    <row r="956">
      <c r="A956" s="1">
        <f>Hyperlink("https://www.wallsandfloors.co.uk/cev-180-pro-diamond-blade","Product")</f>
        <v/>
      </c>
      <c r="B956" s="1" t="inlineStr">
        <is>
          <t>40394</t>
        </is>
      </c>
      <c r="C956" s="1" t="inlineStr">
        <is>
          <t>CEV 180 Pro Ceramic Tiles Diamond Blade</t>
        </is>
      </c>
      <c r="D956" s="1" t="n">
        <v>1</v>
      </c>
      <c r="E956" s="1" t="n">
        <v>19.25</v>
      </c>
      <c r="F956" s="1" t="n">
        <v>0</v>
      </c>
      <c r="G956" s="1" t="inlineStr">
        <is>
          <t>Unit</t>
        </is>
      </c>
      <c r="H956" s="1" t="inlineStr">
        <is>
          <t>Accessories</t>
        </is>
      </c>
      <c r="I956" s="1" t="inlineStr">
        <is>
          <t>-</t>
        </is>
      </c>
      <c r="J956" t="n">
        <v>19.25</v>
      </c>
      <c r="K956" t="n">
        <v>19.25</v>
      </c>
      <c r="L956" t="n">
        <v>19.25</v>
      </c>
    </row>
    <row r="957">
      <c r="A957" s="1">
        <f>Hyperlink("https://www.wallsandfloors.co.uk/ceramic-mosaic-tiles-blue-anti-slip-tiles","Product")</f>
        <v/>
      </c>
      <c r="B957" s="1" t="inlineStr">
        <is>
          <t>127</t>
        </is>
      </c>
      <c r="C957" s="1" t="inlineStr">
        <is>
          <t>Ceramic Blue Anti Slip Mosaic Tiles</t>
        </is>
      </c>
      <c r="D957" s="1" t="inlineStr">
        <is>
          <t>295x295x5mm</t>
        </is>
      </c>
      <c r="E957" s="1" t="n">
        <v>5.95</v>
      </c>
      <c r="F957" s="1" t="n">
        <v>0</v>
      </c>
      <c r="G957" s="1" t="inlineStr">
        <is>
          <t>Sheet</t>
        </is>
      </c>
      <c r="H957" s="1" t="inlineStr">
        <is>
          <t>Ceramic</t>
        </is>
      </c>
      <c r="I957" s="1" t="inlineStr">
        <is>
          <t>Matt</t>
        </is>
      </c>
      <c r="J957" t="n">
        <v>5.95</v>
      </c>
      <c r="K957" t="inlineStr"/>
      <c r="L957" t="n">
        <v>5.95</v>
      </c>
    </row>
    <row r="958">
      <c r="A958" s="1">
        <f>Hyperlink("https://www.wallsandfloors.co.uk/cedarne-mink-tiles","Product")</f>
        <v/>
      </c>
      <c r="B958" s="1" t="inlineStr">
        <is>
          <t>36554</t>
        </is>
      </c>
      <c r="C958" s="1" t="inlineStr">
        <is>
          <t>Cedarne Mink Tiles</t>
        </is>
      </c>
      <c r="D958" s="1" t="inlineStr">
        <is>
          <t>600x200x9.2mm</t>
        </is>
      </c>
      <c r="E958" s="1" t="n">
        <v>9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Gloss</t>
        </is>
      </c>
      <c r="J958" t="n">
        <v>9</v>
      </c>
      <c r="K958" t="n">
        <v>9</v>
      </c>
      <c r="L958" t="n">
        <v>9</v>
      </c>
    </row>
    <row r="959">
      <c r="A959" s="1">
        <f>Hyperlink("https://www.wallsandfloors.co.uk/cava-victorian-unglazed-150x150-quarry-tiles-light-grey-tiles","Product")</f>
        <v/>
      </c>
      <c r="B959" s="1" t="inlineStr">
        <is>
          <t>15241</t>
        </is>
      </c>
      <c r="C959" s="1" t="inlineStr">
        <is>
          <t>Cava Victorian Light Grey Quarry Tiles</t>
        </is>
      </c>
      <c r="D959" s="1" t="inlineStr">
        <is>
          <t>150x150x8mm</t>
        </is>
      </c>
      <c r="E959" s="1" t="n">
        <v>39.95</v>
      </c>
      <c r="F959" s="1" t="n">
        <v>0</v>
      </c>
      <c r="G959" s="1" t="inlineStr">
        <is>
          <t>SQM</t>
        </is>
      </c>
      <c r="H959" s="1" t="inlineStr">
        <is>
          <t>Porcelain</t>
        </is>
      </c>
      <c r="I959" s="1" t="inlineStr">
        <is>
          <t>Matt</t>
        </is>
      </c>
      <c r="J959" t="n">
        <v>39.95</v>
      </c>
      <c r="K959" t="n">
        <v>39.95</v>
      </c>
      <c r="L959" t="n">
        <v>39.95</v>
      </c>
    </row>
    <row r="960">
      <c r="A960" s="1">
        <f>Hyperlink("https://www.wallsandfloors.co.uk/cava-victorian-unglazed-150x150-quarry-tiles-grey-quarry-tiles","Product")</f>
        <v/>
      </c>
      <c r="B960" s="1" t="inlineStr">
        <is>
          <t>13074</t>
        </is>
      </c>
      <c r="C960" s="1" t="inlineStr">
        <is>
          <t>Cava Victorian Grey Quarry Tiles</t>
        </is>
      </c>
      <c r="D960" s="1" t="inlineStr">
        <is>
          <t>150x150x8mm</t>
        </is>
      </c>
      <c r="E960" s="1" t="n">
        <v>39.95</v>
      </c>
      <c r="F960" s="1" t="n">
        <v>0</v>
      </c>
      <c r="G960" s="1" t="inlineStr"/>
      <c r="H960" s="1" t="inlineStr">
        <is>
          <t>Porcelain</t>
        </is>
      </c>
      <c r="I960" s="1" t="inlineStr">
        <is>
          <t>Matt</t>
        </is>
      </c>
      <c r="J960" t="n">
        <v>39.95</v>
      </c>
      <c r="K960" t="n">
        <v>39.95</v>
      </c>
      <c r="L960" t="n">
        <v>39.95</v>
      </c>
    </row>
    <row r="961">
      <c r="A961" s="1">
        <f>Hyperlink("https://www.wallsandfloors.co.uk/cava-victorian-unglazed-150x150-quarry-tiles-green-tiles","Product")</f>
        <v/>
      </c>
      <c r="B961" s="1" t="inlineStr">
        <is>
          <t>15506</t>
        </is>
      </c>
      <c r="C961" s="1" t="inlineStr">
        <is>
          <t>Cava Victorian Green Quarry Tiles</t>
        </is>
      </c>
      <c r="D961" s="1" t="inlineStr">
        <is>
          <t>150x150x8mm</t>
        </is>
      </c>
      <c r="E961" s="1" t="n">
        <v>40.95</v>
      </c>
      <c r="F961" s="1" t="n">
        <v>0</v>
      </c>
      <c r="G961" s="1" t="inlineStr">
        <is>
          <t>SQM</t>
        </is>
      </c>
      <c r="H961" s="1" t="inlineStr">
        <is>
          <t>Porcelain</t>
        </is>
      </c>
      <c r="I961" s="1" t="inlineStr">
        <is>
          <t>Matt</t>
        </is>
      </c>
      <c r="J961" t="n">
        <v>40.95</v>
      </c>
      <c r="K961" t="n">
        <v>40.95</v>
      </c>
      <c r="L961" t="n">
        <v>40.95</v>
      </c>
    </row>
    <row r="962">
      <c r="A962" s="1">
        <f>Hyperlink("https://www.wallsandfloors.co.uk/cava-victorian-unglazed-150x150-quarry-tiles-dark-grey-tiles","Product")</f>
        <v/>
      </c>
      <c r="B962" s="1" t="inlineStr">
        <is>
          <t>15240</t>
        </is>
      </c>
      <c r="C962" s="1" t="inlineStr">
        <is>
          <t>Cava Victorian Dark Grey Tiles</t>
        </is>
      </c>
      <c r="D962" s="1" t="inlineStr">
        <is>
          <t>150x150x8mm</t>
        </is>
      </c>
      <c r="E962" s="1" t="n">
        <v>39.95</v>
      </c>
      <c r="F962" s="1" t="n">
        <v>0</v>
      </c>
      <c r="G962" s="1" t="inlineStr">
        <is>
          <t>SQM</t>
        </is>
      </c>
      <c r="H962" s="1" t="inlineStr">
        <is>
          <t>Porcelain</t>
        </is>
      </c>
      <c r="I962" s="1" t="inlineStr">
        <is>
          <t>Matt</t>
        </is>
      </c>
      <c r="J962" t="n">
        <v>39.95</v>
      </c>
      <c r="K962" t="n">
        <v>39.95</v>
      </c>
      <c r="L962" t="n">
        <v>39.95</v>
      </c>
    </row>
    <row r="963">
      <c r="A963" s="1">
        <f>Hyperlink("https://www.wallsandfloors.co.uk/cava-victorian-unglazed-150x150-quarry-tiles-blue-quarry-tiles","Product")</f>
        <v/>
      </c>
      <c r="B963" s="1" t="inlineStr">
        <is>
          <t>15239</t>
        </is>
      </c>
      <c r="C963" s="1" t="inlineStr">
        <is>
          <t>Cava Victorian Blue Quarry Tiles</t>
        </is>
      </c>
      <c r="D963" s="1" t="inlineStr">
        <is>
          <t>150x150x8mm</t>
        </is>
      </c>
      <c r="E963" s="1" t="n">
        <v>49.95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n">
        <v>49.95</v>
      </c>
      <c r="K963" t="n">
        <v>49.95</v>
      </c>
      <c r="L963" t="n">
        <v>49.95</v>
      </c>
    </row>
    <row r="964">
      <c r="A964" s="1">
        <f>Hyperlink("https://www.wallsandfloors.co.uk/chalkstone-bone-tiles","Product")</f>
        <v/>
      </c>
      <c r="B964" s="1" t="inlineStr">
        <is>
          <t>44095</t>
        </is>
      </c>
      <c r="C964" s="1" t="inlineStr">
        <is>
          <t>Chalkstone Bone Tiles</t>
        </is>
      </c>
      <c r="D964" s="1" t="inlineStr">
        <is>
          <t>560x310x10mm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25.95</v>
      </c>
      <c r="K964" t="n">
        <v>25.95</v>
      </c>
      <c r="L964" t="n">
        <v>25.95</v>
      </c>
    </row>
    <row r="965">
      <c r="A965" s="1">
        <f>Hyperlink("https://www.wallsandfloors.co.uk/catalonia-matt-white-tiles-white-matt-smooth-tiles-2841","Product")</f>
        <v/>
      </c>
      <c r="B965" s="1" t="inlineStr">
        <is>
          <t>2841</t>
        </is>
      </c>
      <c r="C965" s="1" t="inlineStr">
        <is>
          <t>White Matt Smooth Tiles</t>
        </is>
      </c>
      <c r="D965" s="1" t="inlineStr">
        <is>
          <t>400x250x8mm</t>
        </is>
      </c>
      <c r="E965" s="1" t="n">
        <v>17.95</v>
      </c>
      <c r="F965" s="1" t="n">
        <v>0</v>
      </c>
      <c r="G965" s="1" t="inlineStr">
        <is>
          <t>SQM</t>
        </is>
      </c>
      <c r="H965" s="1" t="inlineStr">
        <is>
          <t>Ceramic</t>
        </is>
      </c>
      <c r="I965" s="1" t="inlineStr">
        <is>
          <t>Matt</t>
        </is>
      </c>
      <c r="J965" t="n">
        <v>17.95</v>
      </c>
      <c r="K965" t="n">
        <v>17.95</v>
      </c>
      <c r="L965" t="n">
        <v>17.95</v>
      </c>
    </row>
    <row r="966">
      <c r="A966" s="1">
        <f>Hyperlink("https://www.wallsandfloors.co.uk/catalonia-matt-white-tiles-smooth-white-matt-wall-25x20-tiles","Product")</f>
        <v/>
      </c>
      <c r="B966" s="1" t="inlineStr">
        <is>
          <t>11461</t>
        </is>
      </c>
      <c r="C966" s="1" t="inlineStr">
        <is>
          <t>Catalonia White Matt Wall Tiles</t>
        </is>
      </c>
      <c r="D966" s="1" t="inlineStr">
        <is>
          <t>250x200x7mm</t>
        </is>
      </c>
      <c r="E966" s="1" t="n">
        <v>13.95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Matt</t>
        </is>
      </c>
      <c r="J966" t="n">
        <v>13.95</v>
      </c>
      <c r="K966" t="inlineStr"/>
      <c r="L966" t="n">
        <v>13.95</v>
      </c>
    </row>
    <row r="967">
      <c r="A967" s="1">
        <f>Hyperlink("https://www.wallsandfloors.co.uk/catalonia-gloss-white-tiles-white-gloss-smooth-tiles-11938","Product")</f>
        <v/>
      </c>
      <c r="B967" s="1" t="inlineStr">
        <is>
          <t>11938</t>
        </is>
      </c>
      <c r="C967" s="1" t="inlineStr">
        <is>
          <t>Catalonia White Gloss Smooth Wall Tiles</t>
        </is>
      </c>
      <c r="D967" s="1" t="inlineStr">
        <is>
          <t>500x250x8mm</t>
        </is>
      </c>
      <c r="E967" s="1" t="n">
        <v>17.95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Gloss</t>
        </is>
      </c>
      <c r="J967" t="n">
        <v>17.95</v>
      </c>
      <c r="K967" t="n">
        <v>17.95</v>
      </c>
      <c r="L967" t="n">
        <v>17.95</v>
      </c>
    </row>
    <row r="968">
      <c r="A968" s="1">
        <f>Hyperlink("https://www.wallsandfloors.co.uk/casa-brick-slip-effect-tiles-rich-brick-slip-effect-tiles","Product")</f>
        <v/>
      </c>
      <c r="B968" s="1" t="inlineStr">
        <is>
          <t>14059</t>
        </is>
      </c>
      <c r="C968" s="1" t="inlineStr">
        <is>
          <t>Casa Rich Brick Slip Effect Tiles</t>
        </is>
      </c>
      <c r="D968" s="1" t="inlineStr">
        <is>
          <t>560x310x10mm</t>
        </is>
      </c>
      <c r="E968" s="1" t="n">
        <v>33.95</v>
      </c>
      <c r="F968" s="1" t="n">
        <v>0</v>
      </c>
      <c r="G968" s="1" t="inlineStr">
        <is>
          <t>SQM</t>
        </is>
      </c>
      <c r="H968" s="1" t="inlineStr">
        <is>
          <t>Porcelain</t>
        </is>
      </c>
      <c r="I968" s="1" t="inlineStr">
        <is>
          <t>Matt</t>
        </is>
      </c>
      <c r="J968" t="inlineStr"/>
      <c r="K968" t="inlineStr"/>
      <c r="L968" t="n">
        <v>33.95</v>
      </c>
    </row>
    <row r="969">
      <c r="A969" s="1">
        <f>Hyperlink("https://www.wallsandfloors.co.uk/casa-brick-slip-effect-tiles-grey-brick-slip-effect-tiles","Product")</f>
        <v/>
      </c>
      <c r="B969" s="1" t="inlineStr">
        <is>
          <t>14060</t>
        </is>
      </c>
      <c r="C969" s="1" t="inlineStr">
        <is>
          <t>Grey Brick Slip Effect Tiles</t>
        </is>
      </c>
      <c r="D969" s="1" t="inlineStr">
        <is>
          <t>560x310x10mm</t>
        </is>
      </c>
      <c r="E969" s="1" t="n">
        <v>33.95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n">
        <v>33.95</v>
      </c>
      <c r="K969" t="n">
        <v>33.95</v>
      </c>
      <c r="L969" t="n">
        <v>33.95</v>
      </c>
    </row>
    <row r="970">
      <c r="A970" s="1">
        <f>Hyperlink("https://www.wallsandfloors.co.uk/casa-brick-slip-effect-tiles-beige-brick-slip-effect-tiles","Product")</f>
        <v/>
      </c>
      <c r="B970" s="1" t="inlineStr">
        <is>
          <t>14056</t>
        </is>
      </c>
      <c r="C970" s="1" t="inlineStr">
        <is>
          <t>Beige Brick Slip Effect Tiles</t>
        </is>
      </c>
      <c r="D970" s="1" t="inlineStr">
        <is>
          <t>560x310x10mm</t>
        </is>
      </c>
      <c r="E970" s="1" t="n">
        <v>33.95</v>
      </c>
      <c r="F970" s="1" t="n">
        <v>0</v>
      </c>
      <c r="G970" s="1" t="inlineStr">
        <is>
          <t>SQM</t>
        </is>
      </c>
      <c r="H970" s="1" t="inlineStr">
        <is>
          <t>Porcelain</t>
        </is>
      </c>
      <c r="I970" s="1" t="inlineStr">
        <is>
          <t>Matt</t>
        </is>
      </c>
      <c r="J970" t="inlineStr"/>
      <c r="K970" t="n">
        <v>33.95</v>
      </c>
      <c r="L970" t="n">
        <v>33.95</v>
      </c>
    </row>
    <row r="971">
      <c r="A971" s="1">
        <f>Hyperlink("https://www.wallsandfloors.co.uk/cappucino-marble-tiles-natural-marble-tiles-8189","Product")</f>
        <v/>
      </c>
      <c r="B971" s="1" t="inlineStr">
        <is>
          <t>8189</t>
        </is>
      </c>
      <c r="C971" s="1" t="inlineStr">
        <is>
          <t>Cappuccino Natural Marble Tiles</t>
        </is>
      </c>
      <c r="D971" s="1" t="inlineStr">
        <is>
          <t>600x400x12mm</t>
        </is>
      </c>
      <c r="E971" s="1" t="n">
        <v>39.95</v>
      </c>
      <c r="F971" s="1" t="n">
        <v>0</v>
      </c>
      <c r="G971" s="1" t="inlineStr">
        <is>
          <t>SQM</t>
        </is>
      </c>
      <c r="H971" s="1" t="inlineStr">
        <is>
          <t>Marble</t>
        </is>
      </c>
      <c r="I971" s="1" t="inlineStr">
        <is>
          <t>Polished</t>
        </is>
      </c>
      <c r="J971" t="n">
        <v>39.95</v>
      </c>
      <c r="K971" t="inlineStr"/>
      <c r="L971" t="n">
        <v>39.95</v>
      </c>
    </row>
    <row r="972">
      <c r="A972" s="1">
        <f>Hyperlink("https://www.wallsandfloors.co.uk/candy-pink-tiles","Product")</f>
        <v/>
      </c>
      <c r="B972" s="1" t="inlineStr">
        <is>
          <t>38984</t>
        </is>
      </c>
      <c r="C972" s="1" t="inlineStr">
        <is>
          <t>Nyans Candy Pink Wood Effect Tiles</t>
        </is>
      </c>
      <c r="D972" s="1" t="inlineStr">
        <is>
          <t>593x98x9.5mm</t>
        </is>
      </c>
      <c r="E972" s="1" t="n">
        <v>40.95</v>
      </c>
      <c r="F972" s="1" t="n">
        <v>0</v>
      </c>
      <c r="G972" s="1" t="inlineStr">
        <is>
          <t>SQM</t>
        </is>
      </c>
      <c r="H972" s="1" t="inlineStr">
        <is>
          <t>Porcelain</t>
        </is>
      </c>
      <c r="I972" s="1" t="inlineStr">
        <is>
          <t>Matt</t>
        </is>
      </c>
      <c r="J972" t="n">
        <v>40.95</v>
      </c>
      <c r="K972" t="n">
        <v>40.95</v>
      </c>
      <c r="L972" t="n">
        <v>40.95</v>
      </c>
    </row>
    <row r="973">
      <c r="A973" s="1">
        <f>Hyperlink("https://www.wallsandfloors.co.uk/calcario-stone-2-0-slab-tiles","Product")</f>
        <v/>
      </c>
      <c r="B973" s="1" t="inlineStr">
        <is>
          <t>40260</t>
        </is>
      </c>
      <c r="C973" s="1" t="inlineStr">
        <is>
          <t>Calcario Stone Porcelain Paving Slabs</t>
        </is>
      </c>
      <c r="D973" s="1" t="inlineStr">
        <is>
          <t>598x598x20mm</t>
        </is>
      </c>
      <c r="E973" s="1" t="n">
        <v>36.95</v>
      </c>
      <c r="F973" s="1" t="n">
        <v>0</v>
      </c>
      <c r="G973" s="1" t="inlineStr">
        <is>
          <t>SQM</t>
        </is>
      </c>
      <c r="H973" s="1" t="inlineStr">
        <is>
          <t>Porcelain</t>
        </is>
      </c>
      <c r="I973" s="1" t="inlineStr">
        <is>
          <t>Matt</t>
        </is>
      </c>
      <c r="J973" t="n">
        <v>36.95</v>
      </c>
      <c r="K973" t="n">
        <v>36.95</v>
      </c>
      <c r="L973" t="n">
        <v>36.95</v>
      </c>
    </row>
    <row r="974">
      <c r="A974" s="1">
        <f>Hyperlink("https://www.wallsandfloors.co.uk/calcario-grey-2-slab-tiles","Product")</f>
        <v/>
      </c>
      <c r="B974" s="1" t="inlineStr">
        <is>
          <t>40262</t>
        </is>
      </c>
      <c r="C974" s="1" t="inlineStr">
        <is>
          <t>Calcario Grey Porcelain Paving Slabs</t>
        </is>
      </c>
      <c r="D974" s="1" t="inlineStr">
        <is>
          <t>598x598x20mm</t>
        </is>
      </c>
      <c r="E974" s="1" t="n">
        <v>30.95</v>
      </c>
      <c r="F974" s="1" t="n">
        <v>0</v>
      </c>
      <c r="G974" s="1" t="inlineStr">
        <is>
          <t>SQM</t>
        </is>
      </c>
      <c r="H974" s="1" t="inlineStr">
        <is>
          <t>Porcelain</t>
        </is>
      </c>
      <c r="I974" s="1" t="inlineStr">
        <is>
          <t>Matt</t>
        </is>
      </c>
      <c r="J974" t="inlineStr"/>
      <c r="K974" t="n">
        <v>30.95</v>
      </c>
      <c r="L974" t="n">
        <v>30.95</v>
      </c>
    </row>
    <row r="975">
      <c r="A975" s="1">
        <f>Hyperlink("https://www.wallsandfloors.co.uk/calcario-graphite-2-slab-tiles","Product")</f>
        <v/>
      </c>
      <c r="B975" s="1" t="inlineStr">
        <is>
          <t>40261</t>
        </is>
      </c>
      <c r="C975" s="1" t="inlineStr">
        <is>
          <t>Calcario Graphite Porcelain Paving Slabs</t>
        </is>
      </c>
      <c r="D975" s="1" t="inlineStr">
        <is>
          <t>598x598x20mm</t>
        </is>
      </c>
      <c r="E975" s="1" t="n">
        <v>36.95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36.95</v>
      </c>
      <c r="L975" t="n">
        <v>36.95</v>
      </c>
    </row>
    <row r="976">
      <c r="A976" s="1">
        <f>Hyperlink("https://www.wallsandfloors.co.uk/catalonia-matt-white-tiles-white-matt-smooth-tiles-11939","Product")</f>
        <v/>
      </c>
      <c r="B976" s="1" t="inlineStr">
        <is>
          <t>11939</t>
        </is>
      </c>
      <c r="C976" s="1" t="inlineStr">
        <is>
          <t>Catalonia White Matt Smooth Tiles</t>
        </is>
      </c>
      <c r="D976" s="1" t="inlineStr">
        <is>
          <t>500x250x8mm</t>
        </is>
      </c>
      <c r="E976" s="1" t="n">
        <v>17.95</v>
      </c>
      <c r="F976" s="1" t="n">
        <v>0</v>
      </c>
      <c r="G976" s="1" t="inlineStr">
        <is>
          <t>SQM</t>
        </is>
      </c>
      <c r="H976" s="1" t="inlineStr">
        <is>
          <t>Ceramic</t>
        </is>
      </c>
      <c r="I976" s="1" t="inlineStr">
        <is>
          <t>Matt</t>
        </is>
      </c>
      <c r="J976" t="inlineStr"/>
      <c r="K976" t="n">
        <v>17.95</v>
      </c>
      <c r="L976" t="n">
        <v>17.95</v>
      </c>
    </row>
    <row r="977">
      <c r="A977" s="1">
        <f>Hyperlink("https://www.wallsandfloors.co.uk/chalkstone-honeycomb-ash-tiles","Product")</f>
        <v/>
      </c>
      <c r="B977" s="1" t="inlineStr">
        <is>
          <t>44212</t>
        </is>
      </c>
      <c r="C977" s="1" t="inlineStr">
        <is>
          <t>Chalkstone Honeycomb Ash Tiles</t>
        </is>
      </c>
      <c r="D977" s="1" t="inlineStr">
        <is>
          <t>510x265x10mm</t>
        </is>
      </c>
      <c r="E977" s="1" t="n">
        <v>28.95</v>
      </c>
      <c r="F977" s="1" t="n">
        <v>0</v>
      </c>
      <c r="G977" s="1" t="inlineStr">
        <is>
          <t>SQM</t>
        </is>
      </c>
      <c r="H977" s="1" t="inlineStr">
        <is>
          <t>Porcelain</t>
        </is>
      </c>
      <c r="I977" s="1" t="inlineStr">
        <is>
          <t>Matt</t>
        </is>
      </c>
      <c r="J977" t="n">
        <v>28.95</v>
      </c>
      <c r="K977" t="n">
        <v>28.95</v>
      </c>
      <c r="L977" t="n">
        <v>28.95</v>
      </c>
    </row>
    <row r="978">
      <c r="A978" s="1">
        <f>Hyperlink("https://www.wallsandfloors.co.uk/chelsea-border-tiles-chelsea-blue-plano-150x30-border-tiles","Product")</f>
        <v/>
      </c>
      <c r="B978" s="1" t="inlineStr">
        <is>
          <t>14217</t>
        </is>
      </c>
      <c r="C978" s="1" t="inlineStr">
        <is>
          <t>Chelsea Blue Plano Border Tiles</t>
        </is>
      </c>
      <c r="D978" s="1" t="inlineStr">
        <is>
          <t>150x30x6mm</t>
        </is>
      </c>
      <c r="E978" s="1" t="n">
        <v>2.95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Gloss</t>
        </is>
      </c>
      <c r="J978" t="n">
        <v>2.95</v>
      </c>
      <c r="K978" t="n">
        <v>2.95</v>
      </c>
      <c r="L978" t="n">
        <v>2.95</v>
      </c>
    </row>
    <row r="979">
      <c r="A979" s="1">
        <f>Hyperlink("https://www.wallsandfloors.co.uk/chelsea-border-tiles-chelsea-blue-twine-strip-150x25-border-tiles","Product")</f>
        <v/>
      </c>
      <c r="B979" s="1" t="inlineStr">
        <is>
          <t>13864</t>
        </is>
      </c>
      <c r="C979" s="1" t="inlineStr">
        <is>
          <t>Chelsea Blue Twine Strip Border Tiles</t>
        </is>
      </c>
      <c r="D979" s="1" t="inlineStr">
        <is>
          <t>150x25x6mm</t>
        </is>
      </c>
      <c r="E979" s="1" t="n">
        <v>2.95</v>
      </c>
      <c r="F979" s="1" t="n">
        <v>0</v>
      </c>
      <c r="G979" s="1" t="inlineStr">
        <is>
          <t>SQM</t>
        </is>
      </c>
      <c r="H979" s="1" t="inlineStr">
        <is>
          <t>Ceramic</t>
        </is>
      </c>
      <c r="I979" s="1" t="inlineStr">
        <is>
          <t>Gloss</t>
        </is>
      </c>
      <c r="J979" t="n">
        <v>2.95</v>
      </c>
      <c r="K979" t="n">
        <v>2.95</v>
      </c>
      <c r="L979" t="n">
        <v>2.95</v>
      </c>
    </row>
    <row r="980">
      <c r="A980" s="1">
        <f>Hyperlink("https://www.wallsandfloors.co.uk/coast-tiles-pebble-shore-60x30-tiles","Product")</f>
        <v/>
      </c>
      <c r="B980" s="1" t="inlineStr">
        <is>
          <t>14319</t>
        </is>
      </c>
      <c r="C980" s="1" t="inlineStr">
        <is>
          <t>Coast Pebble Shore Stone Effect Tiles</t>
        </is>
      </c>
      <c r="D980" s="1" t="inlineStr">
        <is>
          <t>613x303x7mm</t>
        </is>
      </c>
      <c r="E980" s="1" t="n">
        <v>17.95</v>
      </c>
      <c r="F980" s="1" t="n">
        <v>0</v>
      </c>
      <c r="G980" s="1" t="inlineStr">
        <is>
          <t>SQM</t>
        </is>
      </c>
      <c r="H980" s="1" t="inlineStr">
        <is>
          <t>-</t>
        </is>
      </c>
      <c r="I980" s="1" t="inlineStr">
        <is>
          <t>Matt</t>
        </is>
      </c>
      <c r="J980" t="n">
        <v>17.95</v>
      </c>
      <c r="K980" t="n">
        <v>17.95</v>
      </c>
      <c r="L980" t="n">
        <v>17.95</v>
      </c>
    </row>
    <row r="981">
      <c r="A981" s="1">
        <f>Hyperlink("https://www.wallsandfloors.co.uk/classic-carrara-marble-effect-tiles","Product")</f>
        <v/>
      </c>
      <c r="B981" s="1" t="inlineStr">
        <is>
          <t>38426</t>
        </is>
      </c>
      <c r="C981" s="1" t="inlineStr">
        <is>
          <t>Classic Carrara Marble Effect Tiles</t>
        </is>
      </c>
      <c r="D981" s="1" t="inlineStr">
        <is>
          <t>600x300x10mm</t>
        </is>
      </c>
      <c r="E981" s="1" t="n">
        <v>39.95</v>
      </c>
      <c r="F981" s="1" t="n">
        <v>0</v>
      </c>
      <c r="G981" s="1" t="inlineStr">
        <is>
          <t>SQM</t>
        </is>
      </c>
      <c r="H981" s="1" t="inlineStr">
        <is>
          <t>Ceramic</t>
        </is>
      </c>
      <c r="I981" s="1" t="inlineStr">
        <is>
          <t>Satin</t>
        </is>
      </c>
      <c r="J981" t="n">
        <v>39.95</v>
      </c>
      <c r="K981" t="inlineStr"/>
      <c r="L981" t="n">
        <v>39.95</v>
      </c>
    </row>
    <row r="982">
      <c r="A982" s="1">
        <f>Hyperlink("https://www.wallsandfloors.co.uk/city-touchstone-floor-tiles-soft-pebble-matt-tiles","Product")</f>
        <v/>
      </c>
      <c r="B982" s="1" t="inlineStr">
        <is>
          <t>4788</t>
        </is>
      </c>
      <c r="C982" s="1" t="inlineStr">
        <is>
          <t>City Touchstone Soft Pebble Matt Tiles</t>
        </is>
      </c>
      <c r="D982" s="1" t="inlineStr">
        <is>
          <t>450x450x9.8mm</t>
        </is>
      </c>
      <c r="E982" s="1" t="n">
        <v>20.75</v>
      </c>
      <c r="F982" s="1" t="n">
        <v>0</v>
      </c>
      <c r="G982" s="1" t="inlineStr">
        <is>
          <t>SQM</t>
        </is>
      </c>
      <c r="H982" s="1" t="inlineStr">
        <is>
          <t>Porcelain</t>
        </is>
      </c>
      <c r="I982" s="1" t="inlineStr">
        <is>
          <t>Matt</t>
        </is>
      </c>
      <c r="J982" t="n">
        <v>20.75</v>
      </c>
      <c r="K982" t="n">
        <v>20.75</v>
      </c>
      <c r="L982" t="n">
        <v>20.75</v>
      </c>
    </row>
    <row r="983">
      <c r="A983" s="1">
        <f>Hyperlink("https://www.wallsandfloors.co.uk/circus-mosaic-tiles-tarrot-tiles","Product")</f>
        <v/>
      </c>
      <c r="B983" s="1" t="inlineStr">
        <is>
          <t>13244</t>
        </is>
      </c>
      <c r="C983" s="1" t="inlineStr">
        <is>
          <t>Tarrot Tiles</t>
        </is>
      </c>
      <c r="D983" s="1" t="inlineStr">
        <is>
          <t>300x300x8mm</t>
        </is>
      </c>
      <c r="E983" s="1" t="n">
        <v>9.949999999999999</v>
      </c>
      <c r="F983" s="1" t="n">
        <v>0</v>
      </c>
      <c r="G983" s="1" t="inlineStr">
        <is>
          <t>SQM</t>
        </is>
      </c>
      <c r="H983" s="1" t="inlineStr">
        <is>
          <t>Glass</t>
        </is>
      </c>
      <c r="I983" s="1" t="inlineStr">
        <is>
          <t>Mixed</t>
        </is>
      </c>
      <c r="J983" t="n">
        <v>9.949999999999999</v>
      </c>
      <c r="K983" t="n">
        <v>9.949999999999999</v>
      </c>
      <c r="L983" t="n">
        <v>9.949999999999999</v>
      </c>
    </row>
    <row r="984">
      <c r="A984" s="1">
        <f>Hyperlink("https://www.wallsandfloors.co.uk/churchill-snow-mosaic-tiles","Product")</f>
        <v/>
      </c>
      <c r="B984" s="1" t="inlineStr">
        <is>
          <t>41058</t>
        </is>
      </c>
      <c r="C984" s="1" t="inlineStr">
        <is>
          <t>Churchill Snow Mosaic Tiles</t>
        </is>
      </c>
      <c r="D984" s="1" t="inlineStr">
        <is>
          <t>291x291x6mm</t>
        </is>
      </c>
      <c r="E984" s="1" t="n">
        <v>5.95</v>
      </c>
      <c r="F984" s="1" t="n">
        <v>0</v>
      </c>
      <c r="G984" s="1" t="inlineStr">
        <is>
          <t>Sheet</t>
        </is>
      </c>
      <c r="H984" s="1" t="inlineStr">
        <is>
          <t>Porcelain</t>
        </is>
      </c>
      <c r="I984" s="1" t="inlineStr">
        <is>
          <t>Matt</t>
        </is>
      </c>
      <c r="J984" t="n">
        <v>5.95</v>
      </c>
      <c r="K984" t="n">
        <v>5.95</v>
      </c>
      <c r="L984" t="n">
        <v>5.95</v>
      </c>
    </row>
    <row r="985">
      <c r="A985" s="1">
        <f>Hyperlink("https://www.wallsandfloors.co.uk/churchill-midnight-mosaic-tiles","Product")</f>
        <v/>
      </c>
      <c r="B985" s="1" t="inlineStr">
        <is>
          <t>41050</t>
        </is>
      </c>
      <c r="C985" s="1" t="inlineStr">
        <is>
          <t>Churchill Midnight Mosaic Tiles</t>
        </is>
      </c>
      <c r="D985" s="1" t="inlineStr">
        <is>
          <t>291x291x6mm</t>
        </is>
      </c>
      <c r="E985" s="1" t="n">
        <v>5.95</v>
      </c>
      <c r="F985" s="1" t="n">
        <v>0</v>
      </c>
      <c r="G985" s="1" t="inlineStr">
        <is>
          <t>Sheet</t>
        </is>
      </c>
      <c r="H985" s="1" t="inlineStr">
        <is>
          <t>Porcelain</t>
        </is>
      </c>
      <c r="I985" s="1" t="inlineStr">
        <is>
          <t>Matt</t>
        </is>
      </c>
      <c r="J985" t="n">
        <v>5.95</v>
      </c>
      <c r="K985" t="n">
        <v>5.95</v>
      </c>
      <c r="L985" t="n">
        <v>5.95</v>
      </c>
    </row>
    <row r="986">
      <c r="A986" s="1">
        <f>Hyperlink("https://www.wallsandfloors.co.uk/churchill-crimson-mosaic-tiles","Product")</f>
        <v/>
      </c>
      <c r="B986" s="1" t="inlineStr">
        <is>
          <t>41054</t>
        </is>
      </c>
      <c r="C986" s="1" t="inlineStr">
        <is>
          <t>Churchill Crimson Mosaic Tiles</t>
        </is>
      </c>
      <c r="D986" s="1" t="inlineStr">
        <is>
          <t>291x291x6mm</t>
        </is>
      </c>
      <c r="E986" s="1" t="n">
        <v>5.95</v>
      </c>
      <c r="F986" s="1" t="n">
        <v>0</v>
      </c>
      <c r="G986" s="1" t="inlineStr">
        <is>
          <t>Sheet</t>
        </is>
      </c>
      <c r="H986" s="1" t="inlineStr">
        <is>
          <t>Porcelain</t>
        </is>
      </c>
      <c r="I986" s="1" t="inlineStr">
        <is>
          <t>Matt</t>
        </is>
      </c>
      <c r="J986" t="n">
        <v>5.95</v>
      </c>
      <c r="K986" t="inlineStr"/>
      <c r="L986" t="n">
        <v>5.95</v>
      </c>
    </row>
    <row r="987">
      <c r="A987" s="1">
        <f>Hyperlink("https://www.wallsandfloors.co.uk/churchill-crimson-midnight-corner-tiles","Product")</f>
        <v/>
      </c>
      <c r="B987" s="1" t="inlineStr">
        <is>
          <t>41053</t>
        </is>
      </c>
      <c r="C987" s="1" t="inlineStr">
        <is>
          <t>Churchill Crimson &amp; Midnight Corner Tiles</t>
        </is>
      </c>
      <c r="D987" s="1" t="inlineStr">
        <is>
          <t>280x168x6mm</t>
        </is>
      </c>
      <c r="E987" s="1" t="n">
        <v>11.95</v>
      </c>
      <c r="F987" s="1" t="n">
        <v>0</v>
      </c>
      <c r="G987" s="1" t="inlineStr">
        <is>
          <t>Sheet</t>
        </is>
      </c>
      <c r="H987" s="1" t="inlineStr">
        <is>
          <t>Porcelain</t>
        </is>
      </c>
      <c r="I987" s="1" t="inlineStr">
        <is>
          <t>Matt</t>
        </is>
      </c>
      <c r="J987" t="n">
        <v>11.95</v>
      </c>
      <c r="K987" t="inlineStr"/>
      <c r="L987" t="n">
        <v>11.95</v>
      </c>
    </row>
    <row r="988">
      <c r="A988" s="1">
        <f>Hyperlink("https://www.wallsandfloors.co.uk/churchill-crimson-midnight-chequer-mosaic-tiles","Product")</f>
        <v/>
      </c>
      <c r="B988" s="1" t="inlineStr">
        <is>
          <t>41052</t>
        </is>
      </c>
      <c r="C988" s="1" t="inlineStr">
        <is>
          <t>Churchill Crimson &amp; Midnight Chequer Mosaic Tiles</t>
        </is>
      </c>
      <c r="D988" s="1" t="inlineStr">
        <is>
          <t>291x291x6mm</t>
        </is>
      </c>
      <c r="E988" s="1" t="n">
        <v>5.95</v>
      </c>
      <c r="F988" s="1" t="n">
        <v>0</v>
      </c>
      <c r="G988" s="1" t="inlineStr">
        <is>
          <t>Sheet</t>
        </is>
      </c>
      <c r="H988" s="1" t="inlineStr">
        <is>
          <t>Porcelain</t>
        </is>
      </c>
      <c r="I988" s="1" t="inlineStr">
        <is>
          <t>-</t>
        </is>
      </c>
      <c r="J988" t="n">
        <v>5.95</v>
      </c>
      <c r="K988" t="n">
        <v>5.95</v>
      </c>
      <c r="L988" t="n">
        <v>5.95</v>
      </c>
    </row>
    <row r="989">
      <c r="A989" s="1">
        <f>Hyperlink("https://www.wallsandfloors.co.uk/churchill-crimson-midnight-border-tiles","Product")</f>
        <v/>
      </c>
      <c r="B989" s="1" t="inlineStr">
        <is>
          <t>41051</t>
        </is>
      </c>
      <c r="C989" s="1" t="inlineStr">
        <is>
          <t>Churchill Crimson &amp; Midnight Border Tiles</t>
        </is>
      </c>
      <c r="D989" s="1" t="inlineStr">
        <is>
          <t>264x118x6mm</t>
        </is>
      </c>
      <c r="E989" s="1" t="n">
        <v>9.949999999999999</v>
      </c>
      <c r="F989" s="1" t="n">
        <v>0</v>
      </c>
      <c r="G989" s="1" t="inlineStr">
        <is>
          <t>Sheet</t>
        </is>
      </c>
      <c r="H989" s="1" t="inlineStr">
        <is>
          <t>Porcelain</t>
        </is>
      </c>
      <c r="I989" s="1" t="inlineStr">
        <is>
          <t>Matt</t>
        </is>
      </c>
      <c r="J989" t="inlineStr"/>
      <c r="K989" t="n">
        <v>9.949999999999999</v>
      </c>
      <c r="L989" t="n">
        <v>9.949999999999999</v>
      </c>
    </row>
    <row r="990">
      <c r="A990" s="1">
        <f>Hyperlink("https://www.wallsandfloors.co.uk/chroma-pop-tiles-grey-tiles","Product")</f>
        <v/>
      </c>
      <c r="B990" s="1" t="inlineStr">
        <is>
          <t>15626</t>
        </is>
      </c>
      <c r="C990" s="1" t="inlineStr">
        <is>
          <t>Chroma Grey Anti Slip Floor Tiles</t>
        </is>
      </c>
      <c r="D990" s="1" t="inlineStr">
        <is>
          <t>338x338x7mm</t>
        </is>
      </c>
      <c r="E990" s="1" t="n">
        <v>18.95</v>
      </c>
      <c r="F990" s="1" t="n">
        <v>0</v>
      </c>
      <c r="G990" s="1" t="inlineStr">
        <is>
          <t>SQM</t>
        </is>
      </c>
      <c r="H990" s="1" t="inlineStr">
        <is>
          <t>Ceramic</t>
        </is>
      </c>
      <c r="I990" s="1" t="inlineStr">
        <is>
          <t>Matt</t>
        </is>
      </c>
      <c r="J990" t="inlineStr"/>
      <c r="K990" t="n">
        <v>18.95</v>
      </c>
      <c r="L990" t="n">
        <v>18.95</v>
      </c>
    </row>
    <row r="991">
      <c r="A991" s="1">
        <f>Hyperlink("https://www.wallsandfloors.co.uk/chimera-tiles-perla-wall-tiles","Product")</f>
        <v/>
      </c>
      <c r="B991" s="1" t="inlineStr">
        <is>
          <t>12400</t>
        </is>
      </c>
      <c r="C991" s="1" t="inlineStr">
        <is>
          <t>Chimera Perla Grey Stone Effect Wall Tiles</t>
        </is>
      </c>
      <c r="D991" s="1" t="inlineStr">
        <is>
          <t>450x316x8mm</t>
        </is>
      </c>
      <c r="E991" s="1" t="n">
        <v>19.95</v>
      </c>
      <c r="F991" s="1" t="n">
        <v>0</v>
      </c>
      <c r="G991" s="1" t="inlineStr">
        <is>
          <t>SQM</t>
        </is>
      </c>
      <c r="H991" s="1" t="inlineStr">
        <is>
          <t>Ceramic</t>
        </is>
      </c>
      <c r="I991" s="1" t="inlineStr">
        <is>
          <t>Matt</t>
        </is>
      </c>
      <c r="J991" t="n">
        <v>19.95</v>
      </c>
      <c r="K991" t="n">
        <v>19.95</v>
      </c>
      <c r="L991" t="n">
        <v>19.95</v>
      </c>
    </row>
    <row r="992">
      <c r="A992" s="1">
        <f>Hyperlink("https://www.wallsandfloors.co.uk/chimera-tiles-perla-floor-tiles","Product")</f>
        <v/>
      </c>
      <c r="B992" s="1" t="inlineStr">
        <is>
          <t>12401</t>
        </is>
      </c>
      <c r="C992" s="1" t="inlineStr">
        <is>
          <t>Chimera Perla Grey Stone Effect Floor Tiles</t>
        </is>
      </c>
      <c r="D992" s="1" t="inlineStr">
        <is>
          <t>450x450x9mm</t>
        </is>
      </c>
      <c r="E992" s="1" t="n">
        <v>19.95</v>
      </c>
      <c r="F992" s="1" t="n">
        <v>0</v>
      </c>
      <c r="G992" s="1" t="inlineStr">
        <is>
          <t>SQM</t>
        </is>
      </c>
      <c r="H992" s="1" t="inlineStr">
        <is>
          <t>Ceramic</t>
        </is>
      </c>
      <c r="I992" s="1" t="inlineStr">
        <is>
          <t>Matt</t>
        </is>
      </c>
      <c r="J992" t="inlineStr"/>
      <c r="K992" t="n">
        <v>19.95</v>
      </c>
      <c r="L992" t="n">
        <v>19.95</v>
      </c>
    </row>
    <row r="993">
      <c r="A993" s="1">
        <f>Hyperlink("https://www.wallsandfloors.co.uk/chimera-tiles-marengo-wall-tiles","Product")</f>
        <v/>
      </c>
      <c r="B993" s="1" t="inlineStr">
        <is>
          <t>12396</t>
        </is>
      </c>
      <c r="C993" s="1" t="inlineStr">
        <is>
          <t>Chimera Marengo Grey Wall Tiles</t>
        </is>
      </c>
      <c r="D993" s="1" t="inlineStr">
        <is>
          <t>450x316x8mm</t>
        </is>
      </c>
      <c r="E993" s="1" t="n">
        <v>19.95</v>
      </c>
      <c r="F993" s="1" t="n">
        <v>0</v>
      </c>
      <c r="G993" s="1" t="inlineStr">
        <is>
          <t>SQM</t>
        </is>
      </c>
      <c r="H993" s="1" t="inlineStr">
        <is>
          <t>Ceramic</t>
        </is>
      </c>
      <c r="I993" s="1" t="inlineStr">
        <is>
          <t>Matt</t>
        </is>
      </c>
      <c r="J993" t="inlineStr"/>
      <c r="K993" t="inlineStr"/>
      <c r="L993" t="n">
        <v>19.95</v>
      </c>
    </row>
    <row r="994">
      <c r="A994" s="1">
        <f>Hyperlink("https://www.wallsandfloors.co.uk/chimera-tiles-marengo-floor-tiles","Product")</f>
        <v/>
      </c>
      <c r="B994" s="1" t="inlineStr">
        <is>
          <t>12397</t>
        </is>
      </c>
      <c r="C994" s="1" t="inlineStr">
        <is>
          <t>Chimera Marengo Grey Stone Effect Floor Tiles</t>
        </is>
      </c>
      <c r="D994" s="1" t="inlineStr">
        <is>
          <t>450x450x9mm</t>
        </is>
      </c>
      <c r="E994" s="1" t="n">
        <v>19.95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Matt</t>
        </is>
      </c>
      <c r="J994" t="n">
        <v>19.95</v>
      </c>
      <c r="K994" t="n">
        <v>19.95</v>
      </c>
      <c r="L994" t="n">
        <v>19.95</v>
      </c>
    </row>
    <row r="995">
      <c r="A995" s="1">
        <f>Hyperlink("https://www.wallsandfloors.co.uk/cheviot-silver-tiles","Product")</f>
        <v/>
      </c>
      <c r="B995" s="1" t="inlineStr">
        <is>
          <t>43058</t>
        </is>
      </c>
      <c r="C995" s="1" t="inlineStr">
        <is>
          <t>Cheviot Silver Textured Wall Tiles</t>
        </is>
      </c>
      <c r="D995" s="1" t="inlineStr">
        <is>
          <t>600x330x10mm</t>
        </is>
      </c>
      <c r="E995" s="1" t="n">
        <v>29.95</v>
      </c>
      <c r="F995" s="1" t="n">
        <v>0</v>
      </c>
      <c r="G995" s="1" t="inlineStr">
        <is>
          <t>SQM</t>
        </is>
      </c>
      <c r="H995" s="1" t="inlineStr">
        <is>
          <t>Ceramic</t>
        </is>
      </c>
      <c r="I995" s="1" t="inlineStr">
        <is>
          <t>Gloss</t>
        </is>
      </c>
      <c r="J995" t="n">
        <v>29.95</v>
      </c>
      <c r="K995" t="n">
        <v>29.95</v>
      </c>
      <c r="L995" t="n">
        <v>29.95</v>
      </c>
    </row>
    <row r="996">
      <c r="A996" s="1">
        <f>Hyperlink("https://www.wallsandfloors.co.uk/cheviot-chalk-tiles","Product")</f>
        <v/>
      </c>
      <c r="B996" s="1" t="inlineStr">
        <is>
          <t>42605</t>
        </is>
      </c>
      <c r="C996" s="1" t="inlineStr">
        <is>
          <t>Cheviot Chalk Textured Wall Tiles</t>
        </is>
      </c>
      <c r="D996" s="1" t="inlineStr">
        <is>
          <t>600x330x10mm</t>
        </is>
      </c>
      <c r="E996" s="1" t="n">
        <v>27.95</v>
      </c>
      <c r="F996" s="1" t="n">
        <v>0</v>
      </c>
      <c r="G996" s="1" t="inlineStr">
        <is>
          <t>SQM</t>
        </is>
      </c>
      <c r="H996" s="1" t="inlineStr">
        <is>
          <t>Ceramic</t>
        </is>
      </c>
      <c r="I996" s="1" t="inlineStr">
        <is>
          <t>Gloss</t>
        </is>
      </c>
      <c r="J996" t="inlineStr"/>
      <c r="K996" t="n">
        <v>27.95</v>
      </c>
      <c r="L996" t="n">
        <v>27.95</v>
      </c>
    </row>
    <row r="997">
      <c r="A997" s="1">
        <f>Hyperlink("https://www.wallsandfloors.co.uk/chess-tiles-black-tiles","Product")</f>
        <v/>
      </c>
      <c r="B997" s="1" t="inlineStr">
        <is>
          <t>4809</t>
        </is>
      </c>
      <c r="C997" s="1" t="inlineStr">
        <is>
          <t>Chess Matt Black Tiles</t>
        </is>
      </c>
      <c r="D997" s="1" t="inlineStr">
        <is>
          <t>300x300x5mm</t>
        </is>
      </c>
      <c r="E997" s="1" t="n">
        <v>29.95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Matt</t>
        </is>
      </c>
      <c r="J997" t="n">
        <v>29.95</v>
      </c>
      <c r="K997" t="n">
        <v>29.95</v>
      </c>
      <c r="L997" t="n">
        <v>29.95</v>
      </c>
    </row>
    <row r="998">
      <c r="A998" s="1">
        <f>Hyperlink("https://www.wallsandfloors.co.uk/cherish-tiles-french-bistre-gloss-tiles","Product")</f>
        <v/>
      </c>
      <c r="B998" s="1" t="inlineStr">
        <is>
          <t>13787</t>
        </is>
      </c>
      <c r="C998" s="1" t="inlineStr">
        <is>
          <t>French Bistre Gloss Tiles</t>
        </is>
      </c>
      <c r="D998" s="1" t="inlineStr">
        <is>
          <t>500x250x8mm</t>
        </is>
      </c>
      <c r="E998" s="1" t="n">
        <v>10.95</v>
      </c>
      <c r="F998" s="1" t="n">
        <v>0</v>
      </c>
      <c r="G998" s="1" t="inlineStr">
        <is>
          <t>SQM</t>
        </is>
      </c>
      <c r="H998" s="1" t="inlineStr">
        <is>
          <t>Ceramic</t>
        </is>
      </c>
      <c r="I998" s="1" t="inlineStr">
        <is>
          <t>Gloss</t>
        </is>
      </c>
      <c r="J998" t="n">
        <v>10.95</v>
      </c>
      <c r="K998" t="n">
        <v>10.95</v>
      </c>
      <c r="L998" t="n">
        <v>10.95</v>
      </c>
    </row>
    <row r="999">
      <c r="A999" s="1">
        <f>Hyperlink("https://www.wallsandfloors.co.uk/chelsea-border-tiles-chelsea-white-skirting-angle-tiles","Product")</f>
        <v/>
      </c>
      <c r="B999" s="1" t="inlineStr">
        <is>
          <t>13879</t>
        </is>
      </c>
      <c r="C999" s="1" t="inlineStr">
        <is>
          <t>Chelsea White Skirting Angle Tiles</t>
        </is>
      </c>
      <c r="D999" s="1" t="inlineStr">
        <is>
          <t>100x50x6mm</t>
        </is>
      </c>
      <c r="E999" s="1" t="n">
        <v>12.95</v>
      </c>
      <c r="F999" s="1" t="n">
        <v>0</v>
      </c>
      <c r="G999" s="1" t="inlineStr">
        <is>
          <t>SQM</t>
        </is>
      </c>
      <c r="H999" s="1" t="inlineStr">
        <is>
          <t>Ceramic</t>
        </is>
      </c>
      <c r="I999" s="1" t="inlineStr">
        <is>
          <t>Gloss</t>
        </is>
      </c>
      <c r="J999" t="n">
        <v>12.95</v>
      </c>
      <c r="K999" t="n">
        <v>12.95</v>
      </c>
      <c r="L999" t="n">
        <v>12.95</v>
      </c>
    </row>
    <row r="1000">
      <c r="A1000" s="1">
        <f>Hyperlink("https://www.wallsandfloors.co.uk/chelsea-border-tiles-chelsea-white-cornisa-150x150-tiles","Product")</f>
        <v/>
      </c>
      <c r="B1000" s="1" t="inlineStr">
        <is>
          <t>13868</t>
        </is>
      </c>
      <c r="C1000" s="1" t="inlineStr">
        <is>
          <t>Chelsea White Cornisa Border Tiles</t>
        </is>
      </c>
      <c r="D1000" s="1" t="inlineStr">
        <is>
          <t>150x150x6mm</t>
        </is>
      </c>
      <c r="E1000" s="1" t="n">
        <v>7.95</v>
      </c>
      <c r="F1000" s="1" t="n">
        <v>0</v>
      </c>
      <c r="G1000" s="1" t="inlineStr">
        <is>
          <t>SQM</t>
        </is>
      </c>
      <c r="H1000" s="1" t="inlineStr">
        <is>
          <t>Ceramic</t>
        </is>
      </c>
      <c r="I1000" s="1" t="inlineStr">
        <is>
          <t>Gloss</t>
        </is>
      </c>
      <c r="J1000" t="n">
        <v>7.95</v>
      </c>
      <c r="K1000" t="inlineStr"/>
      <c r="L1000" t="n">
        <v>7.95</v>
      </c>
    </row>
    <row r="1001">
      <c r="A1001" s="1">
        <f>Hyperlink("https://www.wallsandfloors.co.uk/chelsea-border-tiles-chelsea-green-plano-150x30-border-tiles","Product")</f>
        <v/>
      </c>
      <c r="B1001" s="1" t="inlineStr">
        <is>
          <t>14220</t>
        </is>
      </c>
      <c r="C1001" s="1" t="inlineStr">
        <is>
          <t>Chelsea Green Plano Border Tiles</t>
        </is>
      </c>
      <c r="D1001" s="1" t="inlineStr">
        <is>
          <t>150x30x6mm</t>
        </is>
      </c>
      <c r="E1001" s="1" t="n">
        <v>2.95</v>
      </c>
      <c r="F1001" s="1" t="n">
        <v>0</v>
      </c>
      <c r="G1001" s="1" t="inlineStr">
        <is>
          <t>SQM</t>
        </is>
      </c>
      <c r="H1001" s="1" t="inlineStr">
        <is>
          <t>Ceramic</t>
        </is>
      </c>
      <c r="I1001" s="1" t="inlineStr">
        <is>
          <t>Gloss</t>
        </is>
      </c>
      <c r="J1001" t="n">
        <v>2.95</v>
      </c>
      <c r="K1001" t="n">
        <v>2.95</v>
      </c>
      <c r="L1001" t="n">
        <v>2.95</v>
      </c>
    </row>
    <row r="1002">
      <c r="A1002" s="1">
        <f>Hyperlink("https://www.wallsandfloors.co.uk/chelsea-border-tiles-chelsea-green-pencil-strip-150x15-border-tiles","Product")</f>
        <v/>
      </c>
      <c r="B1002" s="1" t="inlineStr">
        <is>
          <t>13863</t>
        </is>
      </c>
      <c r="C1002" s="1" t="inlineStr">
        <is>
          <t>Chelsea Green Pencil Strip Border Tiles</t>
        </is>
      </c>
      <c r="D1002" s="1" t="inlineStr">
        <is>
          <t>150x15x6mm</t>
        </is>
      </c>
      <c r="E1002" s="1" t="n">
        <v>2.25</v>
      </c>
      <c r="F1002" s="1" t="n">
        <v>0</v>
      </c>
      <c r="G1002" s="1" t="inlineStr">
        <is>
          <t>SQM</t>
        </is>
      </c>
      <c r="H1002" s="1" t="inlineStr">
        <is>
          <t>Ceramic</t>
        </is>
      </c>
      <c r="I1002" s="1" t="inlineStr">
        <is>
          <t>Gloss</t>
        </is>
      </c>
      <c r="J1002" t="n">
        <v>2.25</v>
      </c>
      <c r="K1002" t="n">
        <v>2.25</v>
      </c>
      <c r="L1002" t="n">
        <v>2.25</v>
      </c>
    </row>
    <row r="1003">
      <c r="A1003" s="1">
        <f>Hyperlink("https://www.wallsandfloors.co.uk/calcario-anthracite-2-slab-tiles","Product")</f>
        <v/>
      </c>
      <c r="B1003" s="1" t="inlineStr">
        <is>
          <t>40259</t>
        </is>
      </c>
      <c r="C1003" s="1" t="inlineStr">
        <is>
          <t>Calcario Anthracite Porcelain Paving Slabs</t>
        </is>
      </c>
      <c r="D1003" s="1" t="inlineStr">
        <is>
          <t>598x598x20mm</t>
        </is>
      </c>
      <c r="E1003" s="1" t="n">
        <v>36.95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36.95</v>
      </c>
      <c r="K1003" t="n">
        <v>36.95</v>
      </c>
      <c r="L1003" t="n">
        <v>36.95</v>
      </c>
    </row>
    <row r="1004">
      <c r="A1004" s="1">
        <f>Hyperlink("https://www.wallsandfloors.co.uk/cable-with-plug-230-50-uk","Product")</f>
        <v/>
      </c>
      <c r="B1004" s="1" t="inlineStr">
        <is>
          <t>27582</t>
        </is>
      </c>
      <c r="C1004" s="1" t="inlineStr">
        <is>
          <t>Cable With Plug 240v</t>
        </is>
      </c>
      <c r="D1004" s="1" t="inlineStr">
        <is>
          <t>1 Size</t>
        </is>
      </c>
      <c r="E1004" s="1" t="n">
        <v>58.95</v>
      </c>
      <c r="F1004" s="1" t="n">
        <v>0</v>
      </c>
      <c r="G1004" s="1" t="inlineStr">
        <is>
          <t>Unit</t>
        </is>
      </c>
      <c r="H1004" s="1" t="inlineStr">
        <is>
          <t>-</t>
        </is>
      </c>
      <c r="I1004" s="1" t="inlineStr">
        <is>
          <t>-</t>
        </is>
      </c>
      <c r="J1004" t="n">
        <v>58.95</v>
      </c>
      <c r="K1004" t="n">
        <v>58.95</v>
      </c>
      <c r="L1004" t="n">
        <v>58.95</v>
      </c>
    </row>
    <row r="1005">
      <c r="A1005" s="1">
        <f>Hyperlink("https://www.wallsandfloors.co.uk/cable-with-plug-110-50-uk-for-dw-nl","Product")</f>
        <v/>
      </c>
      <c r="B1005" s="1" t="inlineStr">
        <is>
          <t>27581</t>
        </is>
      </c>
      <c r="C1005" s="1" t="inlineStr">
        <is>
          <t>Cable With Plug 110V</t>
        </is>
      </c>
      <c r="D1005" s="1" t="inlineStr">
        <is>
          <t>1 Size</t>
        </is>
      </c>
      <c r="E1005" s="1" t="n">
        <v>59.75</v>
      </c>
      <c r="F1005" s="1" t="n">
        <v>0</v>
      </c>
      <c r="G1005" s="1" t="inlineStr">
        <is>
          <t>Unit</t>
        </is>
      </c>
      <c r="H1005" s="1" t="inlineStr">
        <is>
          <t>Tools</t>
        </is>
      </c>
      <c r="I1005" s="1" t="inlineStr">
        <is>
          <t>-</t>
        </is>
      </c>
      <c r="J1005" t="n">
        <v>59.75</v>
      </c>
      <c r="K1005" t="n">
        <v>59.75</v>
      </c>
      <c r="L1005" t="n">
        <v>59.75</v>
      </c>
    </row>
    <row r="1006">
      <c r="A1006" s="1">
        <f>Hyperlink("https://www.wallsandfloors.co.uk/burnt-orange-gloss-tiles","Product")</f>
        <v/>
      </c>
      <c r="B1006" s="1" t="inlineStr">
        <is>
          <t>13681</t>
        </is>
      </c>
      <c r="C1006" s="1" t="inlineStr">
        <is>
          <t>Marvel Gloss Burnt Orange Wall Tiles</t>
        </is>
      </c>
      <c r="D1006" s="1" t="inlineStr">
        <is>
          <t>148x148x6mm</t>
        </is>
      </c>
      <c r="E1006" s="1" t="n">
        <v>23.95</v>
      </c>
      <c r="F1006" s="1" t="n">
        <v>0</v>
      </c>
      <c r="G1006" s="1" t="inlineStr">
        <is>
          <t>SQM</t>
        </is>
      </c>
      <c r="H1006" s="1" t="inlineStr">
        <is>
          <t>Ceramic</t>
        </is>
      </c>
      <c r="I1006" s="1" t="inlineStr">
        <is>
          <t>Gloss</t>
        </is>
      </c>
      <c r="J1006" t="n">
        <v>23.95</v>
      </c>
      <c r="K1006" t="n">
        <v>23.95</v>
      </c>
      <c r="L1006" t="n">
        <v>23.95</v>
      </c>
    </row>
    <row r="1007">
      <c r="A1007" s="1">
        <f>Hyperlink("https://www.wallsandfloors.co.uk/boutique-brick-250-azure-handcrafted-metro-tiles","Product")</f>
        <v/>
      </c>
      <c r="B1007" s="1" t="inlineStr">
        <is>
          <t>34255</t>
        </is>
      </c>
      <c r="C1007" s="1" t="inlineStr">
        <is>
          <t>Azure Handcrafted Metro Tiles</t>
        </is>
      </c>
      <c r="D1007" s="1" t="inlineStr">
        <is>
          <t>250x50x7mm</t>
        </is>
      </c>
      <c r="E1007" s="1" t="n">
        <v>37.95</v>
      </c>
      <c r="F1007" s="1" t="n">
        <v>0</v>
      </c>
      <c r="G1007" s="1" t="inlineStr"/>
      <c r="H1007" s="1" t="inlineStr">
        <is>
          <t>Ceramic</t>
        </is>
      </c>
      <c r="I1007" s="1" t="inlineStr">
        <is>
          <t>Gloss</t>
        </is>
      </c>
      <c r="J1007" t="n">
        <v>37.95</v>
      </c>
      <c r="K1007" t="n">
        <v>37.95</v>
      </c>
      <c r="L1007" t="n">
        <v>37.95</v>
      </c>
    </row>
    <row r="1008">
      <c r="A1008" s="1">
        <f>Hyperlink("https://www.wallsandfloors.co.uk/boutique-brick-150-hazelnut-handcrafted-metro-tiles-34590","Product")</f>
        <v/>
      </c>
      <c r="B1008" s="1" t="inlineStr">
        <is>
          <t>34260</t>
        </is>
      </c>
      <c r="C1008" s="1" t="inlineStr">
        <is>
          <t>Hazelnut Handcrafted Metro Tiles</t>
        </is>
      </c>
      <c r="D1008" s="1" t="inlineStr">
        <is>
          <t>150x75x10mm</t>
        </is>
      </c>
      <c r="E1008" s="1" t="n">
        <v>19.95</v>
      </c>
      <c r="F1008" s="1" t="n">
        <v>0</v>
      </c>
      <c r="G1008" s="1" t="inlineStr">
        <is>
          <t>SQM</t>
        </is>
      </c>
      <c r="H1008" s="1" t="inlineStr">
        <is>
          <t>Ceramic</t>
        </is>
      </c>
      <c r="I1008" s="1" t="inlineStr">
        <is>
          <t>Gloss</t>
        </is>
      </c>
      <c r="J1008" t="n">
        <v>19.95</v>
      </c>
      <c r="K1008" t="inlineStr"/>
      <c r="L1008" t="n">
        <v>19.95</v>
      </c>
    </row>
    <row r="1009">
      <c r="A1009" s="1">
        <f>Hyperlink("https://www.wallsandfloors.co.uk/bourgeois-mottlestone-tahitian-vanilla-stone-60x60-polished-tiles","Product")</f>
        <v/>
      </c>
      <c r="B1009" s="1" t="inlineStr">
        <is>
          <t>33476</t>
        </is>
      </c>
      <c r="C1009" s="1" t="inlineStr">
        <is>
          <t>Tahitian Vanilla Stone Polished Tiles</t>
        </is>
      </c>
      <c r="D1009" s="1" t="inlineStr">
        <is>
          <t>600x600x9mm</t>
        </is>
      </c>
      <c r="E1009" s="1" t="n">
        <v>19.95</v>
      </c>
      <c r="F1009" s="1" t="n">
        <v>0</v>
      </c>
      <c r="G1009" s="1" t="inlineStr">
        <is>
          <t>SQM</t>
        </is>
      </c>
      <c r="H1009" s="1" t="inlineStr">
        <is>
          <t>Porcelain</t>
        </is>
      </c>
      <c r="I1009" s="1" t="inlineStr">
        <is>
          <t>Polished</t>
        </is>
      </c>
      <c r="J1009" t="n">
        <v>19.95</v>
      </c>
      <c r="K1009" t="n">
        <v>19.95</v>
      </c>
      <c r="L1009" t="n">
        <v>19.95</v>
      </c>
    </row>
    <row r="1010">
      <c r="A1010" s="1">
        <f>Hyperlink("https://www.wallsandfloors.co.uk/bourgeois-mottlestone-tahitian-vanilla-60x30-matt-tiles","Product")</f>
        <v/>
      </c>
      <c r="B1010" s="1" t="inlineStr">
        <is>
          <t>33471</t>
        </is>
      </c>
      <c r="C1010" s="1" t="inlineStr">
        <is>
          <t>Tahitian Vanilla Stone 60x30 Matt Tiles</t>
        </is>
      </c>
      <c r="D1010" s="1" t="inlineStr">
        <is>
          <t>600x300x9mm</t>
        </is>
      </c>
      <c r="E1010" s="1" t="n">
        <v>24.6</v>
      </c>
      <c r="F1010" s="1" t="n">
        <v>0</v>
      </c>
      <c r="G1010" s="1" t="inlineStr">
        <is>
          <t>SQM</t>
        </is>
      </c>
      <c r="H1010" s="1" t="inlineStr">
        <is>
          <t>Porcelain</t>
        </is>
      </c>
      <c r="I1010" s="1" t="inlineStr">
        <is>
          <t>Polished</t>
        </is>
      </c>
      <c r="J1010" t="inlineStr"/>
      <c r="K1010" t="n">
        <v>24.6</v>
      </c>
      <c r="L1010" t="n">
        <v>24.6</v>
      </c>
    </row>
    <row r="1011">
      <c r="A1011" s="1">
        <f>Hyperlink("https://www.wallsandfloors.co.uk/bourgeois-mottlestone-masala-grey-stone-60x60-polished-tiles","Product")</f>
        <v/>
      </c>
      <c r="B1011" s="1" t="inlineStr">
        <is>
          <t>33463</t>
        </is>
      </c>
      <c r="C1011" s="1" t="inlineStr">
        <is>
          <t>Masala Grey Stone Polished Tiles</t>
        </is>
      </c>
      <c r="D1011" s="1" t="inlineStr">
        <is>
          <t>600x600x10mm</t>
        </is>
      </c>
      <c r="E1011" s="1" t="n">
        <v>19.95</v>
      </c>
      <c r="F1011" s="1" t="n">
        <v>0</v>
      </c>
      <c r="G1011" s="1" t="inlineStr">
        <is>
          <t>SQM</t>
        </is>
      </c>
      <c r="H1011" s="1" t="inlineStr">
        <is>
          <t>Porcelain</t>
        </is>
      </c>
      <c r="I1011" s="1" t="inlineStr">
        <is>
          <t>Polished</t>
        </is>
      </c>
      <c r="J1011" t="inlineStr"/>
      <c r="K1011" t="n">
        <v>19.95</v>
      </c>
      <c r="L1011" t="n">
        <v>19.95</v>
      </c>
    </row>
    <row r="1012">
      <c r="A1012" s="1">
        <f>Hyperlink("https://www.wallsandfloors.co.uk/bourgeois-mottlestone-masala-grey-stone-60x30-polished-tiles","Product")</f>
        <v/>
      </c>
      <c r="B1012" s="1" t="inlineStr">
        <is>
          <t>33460</t>
        </is>
      </c>
      <c r="C1012" s="1" t="inlineStr">
        <is>
          <t>Bourgeois Grey Stone Polished Tiles</t>
        </is>
      </c>
      <c r="D1012" s="1" t="inlineStr">
        <is>
          <t>600x300x9.75mm</t>
        </is>
      </c>
      <c r="E1012" s="1" t="n">
        <v>24.55</v>
      </c>
      <c r="F1012" s="1" t="n">
        <v>0</v>
      </c>
      <c r="G1012" s="1" t="inlineStr">
        <is>
          <t>SQM</t>
        </is>
      </c>
      <c r="H1012" s="1" t="inlineStr">
        <is>
          <t>Porcelain</t>
        </is>
      </c>
      <c r="I1012" s="1" t="inlineStr">
        <is>
          <t>Polished</t>
        </is>
      </c>
      <c r="J1012" t="n">
        <v>24.55</v>
      </c>
      <c r="K1012" t="n">
        <v>24.55</v>
      </c>
      <c r="L1012" t="n">
        <v>24.55</v>
      </c>
    </row>
    <row r="1013">
      <c r="A1013" s="1">
        <f>Hyperlink("https://www.wallsandfloors.co.uk/bourgeois-mottlestone-lemon-grass-grey-stone-60x30-polished-tiles","Product")</f>
        <v/>
      </c>
      <c r="B1013" s="1" t="inlineStr">
        <is>
          <t>33466</t>
        </is>
      </c>
      <c r="C1013" s="1" t="inlineStr">
        <is>
          <t>Bourgeois Lemon Grass Grey Stone Polished Tiles</t>
        </is>
      </c>
      <c r="D1013" s="1" t="inlineStr">
        <is>
          <t>600x300x10mm</t>
        </is>
      </c>
      <c r="E1013" s="1" t="n">
        <v>27.94</v>
      </c>
      <c r="F1013" s="1" t="n">
        <v>0</v>
      </c>
      <c r="G1013" s="1" t="inlineStr">
        <is>
          <t>SQM</t>
        </is>
      </c>
      <c r="H1013" s="1" t="inlineStr">
        <is>
          <t>Porcelain</t>
        </is>
      </c>
      <c r="I1013" s="1" t="inlineStr">
        <is>
          <t>Polished</t>
        </is>
      </c>
      <c r="J1013" t="inlineStr"/>
      <c r="K1013" t="n">
        <v>27.94</v>
      </c>
      <c r="L1013" t="n">
        <v>27.94</v>
      </c>
    </row>
    <row r="1014">
      <c r="A1014" s="1">
        <f>Hyperlink("https://www.wallsandfloors.co.uk/bourgeois-mottlestone-bokora-coal-stone-60x30-polished-tiles","Product")</f>
        <v/>
      </c>
      <c r="B1014" s="1" t="inlineStr">
        <is>
          <t>33452</t>
        </is>
      </c>
      <c r="C1014" s="1" t="inlineStr">
        <is>
          <t>Bourgeois Coal Stone Polished Tiles</t>
        </is>
      </c>
      <c r="D1014" s="1" t="inlineStr">
        <is>
          <t>600x300x9mm</t>
        </is>
      </c>
      <c r="E1014" s="1" t="n">
        <v>27.94</v>
      </c>
      <c r="F1014" s="1" t="n">
        <v>0</v>
      </c>
      <c r="G1014" s="1" t="inlineStr">
        <is>
          <t>SQM</t>
        </is>
      </c>
      <c r="H1014" s="1" t="inlineStr">
        <is>
          <t>Porcelain</t>
        </is>
      </c>
      <c r="I1014" s="1" t="inlineStr">
        <is>
          <t>Polished</t>
        </is>
      </c>
      <c r="J1014" t="n">
        <v>27.94</v>
      </c>
      <c r="K1014" t="n">
        <v>27.94</v>
      </c>
      <c r="L1014" t="n">
        <v>27.94</v>
      </c>
    </row>
    <row r="1015">
      <c r="A1015" s="1">
        <f>Hyperlink("https://www.wallsandfloors.co.uk/bottega-concrete-effect-tiles-heather-matt-porcelain-tiles","Product")</f>
        <v/>
      </c>
      <c r="B1015" s="1" t="inlineStr">
        <is>
          <t>14792</t>
        </is>
      </c>
      <c r="C1015" s="1" t="inlineStr">
        <is>
          <t>Bottega Heather Matt Concrete Effect Tiles</t>
        </is>
      </c>
      <c r="D1015" s="1" t="inlineStr">
        <is>
          <t>600x600x10.5mm</t>
        </is>
      </c>
      <c r="E1015" s="1" t="n">
        <v>17.95</v>
      </c>
      <c r="F1015" s="1" t="n">
        <v>0</v>
      </c>
      <c r="G1015" s="1" t="inlineStr">
        <is>
          <t>SQM</t>
        </is>
      </c>
      <c r="H1015" s="1" t="inlineStr">
        <is>
          <t>Porcelain</t>
        </is>
      </c>
      <c r="I1015" s="1" t="inlineStr">
        <is>
          <t>Matt</t>
        </is>
      </c>
      <c r="J1015" t="n">
        <v>17.95</v>
      </c>
      <c r="K1015" t="inlineStr"/>
      <c r="L1015" t="n">
        <v>17.95</v>
      </c>
    </row>
    <row r="1016">
      <c r="A1016" s="1">
        <f>Hyperlink("https://www.wallsandfloors.co.uk/bottega-concrete-effect-tiles-charcoal-matt-porcelain-tiles","Product")</f>
        <v/>
      </c>
      <c r="B1016" s="1" t="inlineStr">
        <is>
          <t>14790</t>
        </is>
      </c>
      <c r="C1016" s="1" t="inlineStr">
        <is>
          <t>Bottega Charcoal Matt Concrete Effect Tiles</t>
        </is>
      </c>
      <c r="D1016" s="1" t="inlineStr">
        <is>
          <t>600x600x10.5mm</t>
        </is>
      </c>
      <c r="E1016" s="1" t="n">
        <v>17.95</v>
      </c>
      <c r="F1016" s="1" t="n">
        <v>0</v>
      </c>
      <c r="G1016" s="1" t="inlineStr">
        <is>
          <t>SQM</t>
        </is>
      </c>
      <c r="H1016" s="1" t="inlineStr">
        <is>
          <t>Porcelain</t>
        </is>
      </c>
      <c r="I1016" s="1" t="inlineStr">
        <is>
          <t>Matt</t>
        </is>
      </c>
      <c r="J1016" t="n">
        <v>17.95</v>
      </c>
      <c r="K1016" t="n">
        <v>17.95</v>
      </c>
      <c r="L1016" t="n">
        <v>17.95</v>
      </c>
    </row>
    <row r="1017">
      <c r="A1017" s="1">
        <f>Hyperlink("https://www.wallsandfloors.co.uk/botanique-patio-porcelain-diablo-tiles","Product")</f>
        <v/>
      </c>
      <c r="B1017" s="1" t="inlineStr">
        <is>
          <t>40226</t>
        </is>
      </c>
      <c r="C1017" s="1" t="inlineStr">
        <is>
          <t>Botanique Diablo Porcelain Paving Slabs</t>
        </is>
      </c>
      <c r="D1017" s="1" t="inlineStr">
        <is>
          <t>600x600x20mm</t>
        </is>
      </c>
      <c r="E1017" s="1" t="n">
        <v>34.95</v>
      </c>
      <c r="F1017" s="1" t="n">
        <v>0</v>
      </c>
      <c r="G1017" s="1" t="inlineStr">
        <is>
          <t>SQM</t>
        </is>
      </c>
      <c r="H1017" s="1" t="inlineStr">
        <is>
          <t>Porcelain</t>
        </is>
      </c>
      <c r="I1017" s="1" t="inlineStr">
        <is>
          <t>Matt</t>
        </is>
      </c>
      <c r="J1017" t="inlineStr"/>
      <c r="K1017" t="n">
        <v>34.95</v>
      </c>
      <c r="L1017" t="n">
        <v>34.95</v>
      </c>
    </row>
    <row r="1018">
      <c r="A1018" s="1">
        <f>Hyperlink("https://www.wallsandfloors.co.uk/botanique-patio-porcelain-brunia-tiles","Product")</f>
        <v/>
      </c>
      <c r="B1018" s="1" t="inlineStr">
        <is>
          <t>40227</t>
        </is>
      </c>
      <c r="C1018" s="1" t="inlineStr">
        <is>
          <t>Botanique Brunia Porcelain Paving Slabs</t>
        </is>
      </c>
      <c r="D1018" s="1" t="inlineStr">
        <is>
          <t>600x600x20mm</t>
        </is>
      </c>
      <c r="E1018" s="1" t="n">
        <v>28.95</v>
      </c>
      <c r="F1018" s="1" t="n">
        <v>0</v>
      </c>
      <c r="G1018" s="1" t="inlineStr">
        <is>
          <t>SQM</t>
        </is>
      </c>
      <c r="H1018" s="1" t="inlineStr">
        <is>
          <t>Porcelain</t>
        </is>
      </c>
      <c r="I1018" s="1" t="inlineStr">
        <is>
          <t>Matt</t>
        </is>
      </c>
      <c r="J1018" t="n">
        <v>28.95</v>
      </c>
      <c r="K1018" t="n">
        <v>28.95</v>
      </c>
      <c r="L1018" t="n">
        <v>28.95</v>
      </c>
    </row>
    <row r="1019">
      <c r="A1019" s="1">
        <f>Hyperlink("https://www.wallsandfloors.co.uk/boston-garden-wood-effect-tiles-hickory-wood-parquet-tiles","Product")</f>
        <v/>
      </c>
      <c r="B1019" s="1" t="inlineStr">
        <is>
          <t>15328</t>
        </is>
      </c>
      <c r="C1019" s="1" t="inlineStr">
        <is>
          <t>Hickory Wood Parquet Tiles</t>
        </is>
      </c>
      <c r="D1019" s="1" t="inlineStr">
        <is>
          <t>450x450x8mm</t>
        </is>
      </c>
      <c r="E1019" s="1" t="n">
        <v>10.85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Matt</t>
        </is>
      </c>
      <c r="J1019" t="n">
        <v>10.85</v>
      </c>
      <c r="K1019" t="n">
        <v>10.85</v>
      </c>
      <c r="L1019" t="n">
        <v>10.85</v>
      </c>
    </row>
    <row r="1020">
      <c r="A1020" s="1">
        <f>Hyperlink("https://www.wallsandfloors.co.uk/boston-garden-wood-effect-tiles-aspen-wood-parquet-tiles","Product")</f>
        <v/>
      </c>
      <c r="B1020" s="1" t="inlineStr">
        <is>
          <t>15327</t>
        </is>
      </c>
      <c r="C1020" s="1" t="inlineStr">
        <is>
          <t>Aspen Wood Parquet Tiles</t>
        </is>
      </c>
      <c r="D1020" s="1" t="inlineStr">
        <is>
          <t>450x450x8mm</t>
        </is>
      </c>
      <c r="E1020" s="1" t="n">
        <v>9.85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Matt</t>
        </is>
      </c>
      <c r="J1020" t="inlineStr"/>
      <c r="K1020" t="inlineStr"/>
      <c r="L1020" t="n">
        <v>9.85</v>
      </c>
    </row>
    <row r="1021">
      <c r="A1021" s="1">
        <f>Hyperlink("https://www.wallsandfloors.co.uk/boketto-peace-marble-effect-tiles","Product")</f>
        <v/>
      </c>
      <c r="B1021" s="1" t="inlineStr">
        <is>
          <t>40280</t>
        </is>
      </c>
      <c r="C1021" s="1" t="inlineStr">
        <is>
          <t>Boketto Peace Marble Effect Tiles</t>
        </is>
      </c>
      <c r="D1021" s="1" t="inlineStr">
        <is>
          <t>750x750x11mm</t>
        </is>
      </c>
      <c r="E1021" s="1" t="n">
        <v>17.65</v>
      </c>
      <c r="F1021" s="1" t="n">
        <v>0</v>
      </c>
      <c r="G1021" s="1" t="inlineStr">
        <is>
          <t>SQM</t>
        </is>
      </c>
      <c r="H1021" s="1" t="inlineStr">
        <is>
          <t>Porcelain</t>
        </is>
      </c>
      <c r="I1021" s="1" t="inlineStr">
        <is>
          <t>Gloss</t>
        </is>
      </c>
      <c r="J1021" t="n">
        <v>17.65</v>
      </c>
      <c r="K1021" t="inlineStr"/>
      <c r="L1021" t="n">
        <v>17.65</v>
      </c>
    </row>
    <row r="1022">
      <c r="A1022" s="1">
        <f>Hyperlink("https://www.wallsandfloors.co.uk/bococa-paintwash-wood-effect-tiles-white-wash-waterfall-wood-tiles","Product")</f>
        <v/>
      </c>
      <c r="B1022" s="1" t="inlineStr">
        <is>
          <t>15651</t>
        </is>
      </c>
      <c r="C1022" s="1" t="inlineStr">
        <is>
          <t>BoCoCa White Wash Waterfall Wood Tiles</t>
        </is>
      </c>
      <c r="D1022" s="1" t="inlineStr">
        <is>
          <t>625x320x9mm</t>
        </is>
      </c>
      <c r="E1022" s="1" t="n">
        <v>40.95</v>
      </c>
      <c r="F1022" s="1" t="n">
        <v>0</v>
      </c>
      <c r="G1022" s="1" t="inlineStr">
        <is>
          <t>SQM</t>
        </is>
      </c>
      <c r="H1022" s="1" t="inlineStr">
        <is>
          <t>Porcelain</t>
        </is>
      </c>
      <c r="I1022" s="1" t="inlineStr">
        <is>
          <t>Matt</t>
        </is>
      </c>
      <c r="J1022" t="inlineStr"/>
      <c r="K1022" t="n">
        <v>40.95</v>
      </c>
      <c r="L1022" t="n">
        <v>40.95</v>
      </c>
    </row>
    <row r="1023">
      <c r="A1023" s="1">
        <f>Hyperlink("https://www.wallsandfloors.co.uk/bococa-paintwash-wood-effect-tiles-white-wash-chevron-wood-tiles","Product")</f>
        <v/>
      </c>
      <c r="B1023" s="1" t="inlineStr">
        <is>
          <t>15652</t>
        </is>
      </c>
      <c r="C1023" s="1" t="inlineStr">
        <is>
          <t>BoCoCa White Wash Chevron Wood Tiles</t>
        </is>
      </c>
      <c r="D1023" s="1" t="inlineStr">
        <is>
          <t>900x450x9mm</t>
        </is>
      </c>
      <c r="E1023" s="1" t="n">
        <v>40.95</v>
      </c>
      <c r="F1023" s="1" t="n">
        <v>0</v>
      </c>
      <c r="G1023" s="1" t="inlineStr">
        <is>
          <t>SQM</t>
        </is>
      </c>
      <c r="H1023" s="1" t="inlineStr">
        <is>
          <t>Porcelain</t>
        </is>
      </c>
      <c r="I1023" s="1" t="inlineStr">
        <is>
          <t>Matt</t>
        </is>
      </c>
      <c r="J1023" t="n">
        <v>40.95</v>
      </c>
      <c r="K1023" t="inlineStr"/>
      <c r="L1023" t="n">
        <v>40.95</v>
      </c>
    </row>
    <row r="1024">
      <c r="A1024" s="1">
        <f>Hyperlink("https://www.wallsandfloors.co.uk/bococa-paintwash-wood-effect-tiles-white-wash-90x15-wood-tiles","Product")</f>
        <v/>
      </c>
      <c r="B1024" s="1" t="inlineStr">
        <is>
          <t>15650</t>
        </is>
      </c>
      <c r="C1024" s="1" t="inlineStr">
        <is>
          <t>BoCoCa White Wash Wood Effect Tiles</t>
        </is>
      </c>
      <c r="D1024" s="1" t="inlineStr">
        <is>
          <t>900x150x9mm</t>
        </is>
      </c>
      <c r="E1024" s="1" t="n">
        <v>40.95</v>
      </c>
      <c r="F1024" s="1" t="n">
        <v>0</v>
      </c>
      <c r="G1024" s="1" t="inlineStr">
        <is>
          <t>SQM</t>
        </is>
      </c>
      <c r="H1024" s="1" t="inlineStr">
        <is>
          <t>Porcelain</t>
        </is>
      </c>
      <c r="I1024" s="1" t="inlineStr">
        <is>
          <t>Matt</t>
        </is>
      </c>
      <c r="J1024" t="n">
        <v>40.95</v>
      </c>
      <c r="K1024" t="n">
        <v>40.95</v>
      </c>
      <c r="L1024" t="n">
        <v>40.95</v>
      </c>
    </row>
    <row r="1025">
      <c r="A1025" s="1">
        <f>Hyperlink("https://www.wallsandfloors.co.uk/bococa-paintwash-wood-effect-tiles-urban-mix-chevron-wood-tiles","Product")</f>
        <v/>
      </c>
      <c r="B1025" s="1" t="inlineStr">
        <is>
          <t>15659</t>
        </is>
      </c>
      <c r="C1025" s="1" t="inlineStr">
        <is>
          <t>BoCoCa Urban Mix Chevron Wood Tiles</t>
        </is>
      </c>
      <c r="D1025" s="1" t="inlineStr">
        <is>
          <t>900x450x9mm</t>
        </is>
      </c>
      <c r="E1025" s="1" t="n">
        <v>40.95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inlineStr"/>
      <c r="K1025" t="n">
        <v>40.95</v>
      </c>
      <c r="L1025" t="n">
        <v>40.95</v>
      </c>
    </row>
    <row r="1026">
      <c r="A1026" s="1">
        <f>Hyperlink("https://www.wallsandfloors.co.uk/bococa-paintwash-wood-effect-tiles-grey-tempera-chevron-wood-tiles","Product")</f>
        <v/>
      </c>
      <c r="B1026" s="1" t="inlineStr">
        <is>
          <t>15655</t>
        </is>
      </c>
      <c r="C1026" s="1" t="inlineStr">
        <is>
          <t>BoCoCa Grey Tempera Chevron Wood Tiles</t>
        </is>
      </c>
      <c r="D1026" s="1" t="inlineStr">
        <is>
          <t>900x450x9mm</t>
        </is>
      </c>
      <c r="E1026" s="1" t="n">
        <v>40.95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n">
        <v>40.95</v>
      </c>
      <c r="K1026" t="n">
        <v>40.95</v>
      </c>
      <c r="L1026" t="n">
        <v>40.95</v>
      </c>
    </row>
    <row r="1027">
      <c r="A1027" s="1">
        <f>Hyperlink("https://www.wallsandfloors.co.uk/bococa-paintwash-wood-effect-tiles-grey-tempera-90x15-wood-tiles","Product")</f>
        <v/>
      </c>
      <c r="B1027" s="1" t="inlineStr">
        <is>
          <t>15653</t>
        </is>
      </c>
      <c r="C1027" s="1" t="inlineStr">
        <is>
          <t>BoCoCa Grey Tempera Wood Tiles</t>
        </is>
      </c>
      <c r="D1027" s="1" t="inlineStr">
        <is>
          <t>900x150x9mm</t>
        </is>
      </c>
      <c r="E1027" s="1" t="n">
        <v>40.95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inlineStr"/>
      <c r="K1027" t="n">
        <v>40.95</v>
      </c>
      <c r="L1027" t="n">
        <v>40.95</v>
      </c>
    </row>
    <row r="1028">
      <c r="A1028" s="1">
        <f>Hyperlink("https://www.wallsandfloors.co.uk/bococa-paintwash-wood-effect-tiles-caramel-varnished-chevron-wood-tiles","Product")</f>
        <v/>
      </c>
      <c r="B1028" s="1" t="inlineStr">
        <is>
          <t>15658</t>
        </is>
      </c>
      <c r="C1028" s="1" t="inlineStr">
        <is>
          <t>BoCoCa Caramel Varnish Chevron Wood Tiles</t>
        </is>
      </c>
      <c r="D1028" s="1" t="inlineStr">
        <is>
          <t>900x450x9mm</t>
        </is>
      </c>
      <c r="E1028" s="1" t="n">
        <v>40.95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n">
        <v>40.95</v>
      </c>
      <c r="K1028" t="inlineStr"/>
      <c r="L1028" t="n">
        <v>40.95</v>
      </c>
    </row>
    <row r="1029">
      <c r="A1029" s="1">
        <f>Hyperlink("https://www.wallsandfloors.co.uk/bococa-paintwash-wood-effect-tiles-caramel-varnished-90x15-wood-tiles","Product")</f>
        <v/>
      </c>
      <c r="B1029" s="1" t="inlineStr">
        <is>
          <t>15656</t>
        </is>
      </c>
      <c r="C1029" s="1" t="inlineStr">
        <is>
          <t>BoCoCa Caramel Varnish Wood Tiles</t>
        </is>
      </c>
      <c r="D1029" s="1" t="inlineStr">
        <is>
          <t>900x150x9mm</t>
        </is>
      </c>
      <c r="E1029" s="1" t="n">
        <v>40.95</v>
      </c>
      <c r="F1029" s="1" t="n">
        <v>0</v>
      </c>
      <c r="G1029" s="1" t="inlineStr">
        <is>
          <t>SQM</t>
        </is>
      </c>
      <c r="H1029" s="1" t="inlineStr">
        <is>
          <t>Porcelain</t>
        </is>
      </c>
      <c r="I1029" s="1" t="inlineStr">
        <is>
          <t>Matt</t>
        </is>
      </c>
      <c r="J1029" t="n">
        <v>40.95</v>
      </c>
      <c r="K1029" t="n">
        <v>40.95</v>
      </c>
      <c r="L1029" t="n">
        <v>40.95</v>
      </c>
    </row>
    <row r="1030">
      <c r="A1030" s="1">
        <f>Hyperlink("https://www.wallsandfloors.co.uk/boutique-brick-250-cotton-handcrafted-metro-tiles","Product")</f>
        <v/>
      </c>
      <c r="B1030" s="1" t="inlineStr">
        <is>
          <t>34268</t>
        </is>
      </c>
      <c r="C1030" s="1" t="inlineStr">
        <is>
          <t>Cotton Handcrafted Metro Tiles</t>
        </is>
      </c>
      <c r="D1030" s="1" t="inlineStr">
        <is>
          <t>250x50x9mm</t>
        </is>
      </c>
      <c r="E1030" s="1" t="n">
        <v>37.95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Gloss</t>
        </is>
      </c>
      <c r="J1030" t="inlineStr"/>
      <c r="K1030" t="n">
        <v>37.95</v>
      </c>
      <c r="L1030" t="n">
        <v>37.95</v>
      </c>
    </row>
    <row r="1031">
      <c r="A1031" s="1">
        <f>Hyperlink("https://www.wallsandfloors.co.uk/coast-tiles-vanilla-beach-60x30-tiles","Product")</f>
        <v/>
      </c>
      <c r="B1031" s="1" t="inlineStr">
        <is>
          <t>14318</t>
        </is>
      </c>
      <c r="C1031" s="1" t="inlineStr">
        <is>
          <t>Coast Vanilla Beach Stone Effect Tiles</t>
        </is>
      </c>
      <c r="D1031" s="1" t="inlineStr">
        <is>
          <t>613x303x7mm</t>
        </is>
      </c>
      <c r="E1031" s="1" t="n">
        <v>17.95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Matt</t>
        </is>
      </c>
      <c r="J1031" t="n">
        <v>17.95</v>
      </c>
      <c r="K1031" t="n">
        <v>17.95</v>
      </c>
      <c r="L1031" t="n">
        <v>17.95</v>
      </c>
    </row>
    <row r="1032">
      <c r="A1032" s="1">
        <f>Hyperlink("https://www.wallsandfloors.co.uk/boutique-brick-250-moss-handcrafted-metro-tiles","Product")</f>
        <v/>
      </c>
      <c r="B1032" s="1" t="inlineStr">
        <is>
          <t>34267</t>
        </is>
      </c>
      <c r="C1032" s="1" t="inlineStr">
        <is>
          <t>Moss Handcrafted Metro Tiles</t>
        </is>
      </c>
      <c r="D1032" s="1" t="inlineStr">
        <is>
          <t>250x50x7mm</t>
        </is>
      </c>
      <c r="E1032" s="1" t="n">
        <v>37.95</v>
      </c>
      <c r="F1032" s="1" t="n">
        <v>0</v>
      </c>
      <c r="G1032" s="1" t="inlineStr">
        <is>
          <t>SQM</t>
        </is>
      </c>
      <c r="H1032" s="1" t="inlineStr">
        <is>
          <t>Ceramic</t>
        </is>
      </c>
      <c r="I1032" s="1" t="inlineStr">
        <is>
          <t>Gloss</t>
        </is>
      </c>
      <c r="J1032" t="inlineStr"/>
      <c r="K1032" t="inlineStr"/>
      <c r="L1032" t="n">
        <v>37.95</v>
      </c>
    </row>
    <row r="1033">
      <c r="A1033" s="1">
        <f>Hyperlink("https://www.wallsandfloors.co.uk/boutique-brick-250-stone-handcrafted-metro-tiles","Product")</f>
        <v/>
      </c>
      <c r="B1033" s="1" t="inlineStr">
        <is>
          <t>34262</t>
        </is>
      </c>
      <c r="C1033" s="1" t="inlineStr">
        <is>
          <t>Stone Handcrafted Metro Tiles</t>
        </is>
      </c>
      <c r="D1033" s="1" t="inlineStr">
        <is>
          <t>250x50x7mm</t>
        </is>
      </c>
      <c r="E1033" s="1" t="n">
        <v>37.95</v>
      </c>
      <c r="F1033" s="1" t="n">
        <v>0</v>
      </c>
      <c r="G1033" s="1" t="inlineStr">
        <is>
          <t>SQM</t>
        </is>
      </c>
      <c r="H1033" s="1" t="inlineStr">
        <is>
          <t>Ceramic</t>
        </is>
      </c>
      <c r="I1033" s="1" t="inlineStr">
        <is>
          <t>Gloss</t>
        </is>
      </c>
      <c r="J1033" t="n">
        <v>37.95</v>
      </c>
      <c r="K1033" t="inlineStr"/>
      <c r="L1033" t="n">
        <v>37.95</v>
      </c>
    </row>
    <row r="1034">
      <c r="A1034" s="1">
        <f>Hyperlink("https://www.wallsandfloors.co.uk/burghal-stone-effect-tiles-burghal-smoke-tiles","Product")</f>
        <v/>
      </c>
      <c r="B1034" s="1" t="inlineStr">
        <is>
          <t>14249</t>
        </is>
      </c>
      <c r="C1034" s="1" t="inlineStr">
        <is>
          <t>Burghal Smoke Stone Effect Tiles</t>
        </is>
      </c>
      <c r="D1034" s="1" t="inlineStr">
        <is>
          <t>600x300x9mm</t>
        </is>
      </c>
      <c r="E1034" s="1" t="n">
        <v>20.95</v>
      </c>
      <c r="F1034" s="1" t="n">
        <v>0</v>
      </c>
      <c r="G1034" s="1" t="inlineStr">
        <is>
          <t>SQM</t>
        </is>
      </c>
      <c r="H1034" s="1" t="inlineStr">
        <is>
          <t>Porcelain</t>
        </is>
      </c>
      <c r="I1034" s="1" t="inlineStr">
        <is>
          <t>Matt</t>
        </is>
      </c>
      <c r="J1034" t="inlineStr"/>
      <c r="K1034" t="n">
        <v>20.95</v>
      </c>
      <c r="L1034" t="n">
        <v>20.95</v>
      </c>
    </row>
    <row r="1035">
      <c r="A1035" s="1">
        <f>Hyperlink("https://www.wallsandfloors.co.uk/burghal-stone-effect-tiles-burghal-grey-tiles","Product")</f>
        <v/>
      </c>
      <c r="B1035" s="1" t="inlineStr">
        <is>
          <t>12796</t>
        </is>
      </c>
      <c r="C1035" s="1" t="inlineStr">
        <is>
          <t>Burghal Grey Stone Effect Tiles</t>
        </is>
      </c>
      <c r="D1035" s="1" t="inlineStr">
        <is>
          <t>600x300x8mm</t>
        </is>
      </c>
      <c r="E1035" s="1" t="n">
        <v>20.95</v>
      </c>
      <c r="F1035" s="1" t="n">
        <v>0</v>
      </c>
      <c r="G1035" s="1" t="inlineStr">
        <is>
          <t>SQM</t>
        </is>
      </c>
      <c r="H1035" s="1" t="inlineStr">
        <is>
          <t>Porcelain</t>
        </is>
      </c>
      <c r="I1035" s="1" t="inlineStr">
        <is>
          <t>Matt</t>
        </is>
      </c>
      <c r="J1035" t="inlineStr"/>
      <c r="K1035" t="inlineStr"/>
      <c r="L1035" t="n">
        <v>20.95</v>
      </c>
    </row>
    <row r="1036">
      <c r="A1036" s="1">
        <f>Hyperlink("https://www.wallsandfloors.co.uk/burghal-stone-effect-tiles-burghal-dark-grey-tiles","Product")</f>
        <v/>
      </c>
      <c r="B1036" s="1" t="inlineStr">
        <is>
          <t>14250</t>
        </is>
      </c>
      <c r="C1036" s="1" t="inlineStr">
        <is>
          <t>Burghal Dark Grey Stone Effect Tiles</t>
        </is>
      </c>
      <c r="D1036" s="1" t="inlineStr">
        <is>
          <t>600x300x9mm</t>
        </is>
      </c>
      <c r="E1036" s="1" t="n">
        <v>20.95</v>
      </c>
      <c r="F1036" s="1" t="n">
        <v>0</v>
      </c>
      <c r="G1036" s="1" t="inlineStr">
        <is>
          <t>SQM</t>
        </is>
      </c>
      <c r="H1036" s="1" t="inlineStr">
        <is>
          <t>Porcelain</t>
        </is>
      </c>
      <c r="I1036" s="1" t="inlineStr">
        <is>
          <t>Matt</t>
        </is>
      </c>
      <c r="J1036" t="n">
        <v>20.95</v>
      </c>
      <c r="K1036" t="inlineStr"/>
      <c r="L1036" t="n">
        <v>20.95</v>
      </c>
    </row>
    <row r="1037">
      <c r="A1037" s="1">
        <f>Hyperlink("https://www.wallsandfloors.co.uk/burghal-stone-effect-tiles-burghal-cloud-tiles","Product")</f>
        <v/>
      </c>
      <c r="B1037" s="1" t="inlineStr">
        <is>
          <t>13071</t>
        </is>
      </c>
      <c r="C1037" s="1" t="inlineStr">
        <is>
          <t>Burghal Cloud Stone Effect Tiles</t>
        </is>
      </c>
      <c r="D1037" s="1" t="inlineStr">
        <is>
          <t>600x300x9mm</t>
        </is>
      </c>
      <c r="E1037" s="1" t="n">
        <v>20.95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Matt</t>
        </is>
      </c>
      <c r="J1037" t="n">
        <v>20.95</v>
      </c>
      <c r="K1037" t="n">
        <v>20.95</v>
      </c>
      <c r="L1037" t="n">
        <v>20.95</v>
      </c>
    </row>
    <row r="1038">
      <c r="A1038" s="1">
        <f>Hyperlink("https://www.wallsandfloors.co.uk/brushed-black-slate","Product")</f>
        <v/>
      </c>
      <c r="B1038" s="1" t="inlineStr">
        <is>
          <t>44273</t>
        </is>
      </c>
      <c r="C1038" s="1" t="inlineStr">
        <is>
          <t>Mahal Black Brushed Slate Tiles</t>
        </is>
      </c>
      <c r="D1038" s="1" t="inlineStr">
        <is>
          <t>600x300x8-12mm</t>
        </is>
      </c>
      <c r="E1038" s="1" t="n">
        <v>34.95</v>
      </c>
      <c r="F1038" s="1" t="n">
        <v>0</v>
      </c>
      <c r="G1038" s="1" t="inlineStr">
        <is>
          <t>SQM</t>
        </is>
      </c>
      <c r="H1038" s="1" t="inlineStr">
        <is>
          <t>Slate</t>
        </is>
      </c>
      <c r="I1038" s="1" t="inlineStr">
        <is>
          <t>-</t>
        </is>
      </c>
      <c r="J1038" t="n">
        <v>34.95</v>
      </c>
      <c r="K1038" t="inlineStr"/>
      <c r="L1038" t="n">
        <v>34.95</v>
      </c>
    </row>
    <row r="1039">
      <c r="A1039" s="1">
        <f>Hyperlink("https://www.wallsandfloors.co.uk/brown-triangle-35x35x50mm-tiles","Product")</f>
        <v/>
      </c>
      <c r="B1039" s="1" t="inlineStr">
        <is>
          <t>990140</t>
        </is>
      </c>
      <c r="C1039" s="1" t="inlineStr">
        <is>
          <t>Brown Triangle 35x35x50mm Tiles</t>
        </is>
      </c>
      <c r="D1039" s="1" t="inlineStr">
        <is>
          <t>35x35x50mm</t>
        </is>
      </c>
      <c r="E1039" s="1" t="n">
        <v>1.13</v>
      </c>
      <c r="F1039" s="1" t="n">
        <v>0</v>
      </c>
      <c r="G1039" s="1" t="inlineStr">
        <is>
          <t>SQM</t>
        </is>
      </c>
      <c r="H1039" s="1" t="inlineStr">
        <is>
          <t>Porcelain</t>
        </is>
      </c>
      <c r="I1039" s="1" t="inlineStr">
        <is>
          <t>Matt</t>
        </is>
      </c>
      <c r="J1039" t="n">
        <v>1.13</v>
      </c>
      <c r="K1039" t="n">
        <v>1.13</v>
      </c>
      <c r="L1039" t="n">
        <v>1.13</v>
      </c>
    </row>
    <row r="1040">
      <c r="A1040" s="1">
        <f>Hyperlink("https://www.wallsandfloors.co.uk/brown-octagon-100mm-tiles","Product")</f>
        <v/>
      </c>
      <c r="B1040" s="1" t="inlineStr">
        <is>
          <t>990298</t>
        </is>
      </c>
      <c r="C1040" s="1" t="inlineStr">
        <is>
          <t>Brown Octagon 100mm Tiles</t>
        </is>
      </c>
      <c r="D1040" s="1" t="inlineStr">
        <is>
          <t>100x100x9-10mm</t>
        </is>
      </c>
      <c r="E1040" s="1" t="n">
        <v>1.31</v>
      </c>
      <c r="F1040" s="1" t="n">
        <v>0</v>
      </c>
      <c r="G1040" s="1" t="inlineStr">
        <is>
          <t>SQM</t>
        </is>
      </c>
      <c r="H1040" s="1" t="inlineStr">
        <is>
          <t>Porcelain</t>
        </is>
      </c>
      <c r="I1040" s="1" t="inlineStr">
        <is>
          <t>Matt</t>
        </is>
      </c>
      <c r="J1040" t="n">
        <v>1.31</v>
      </c>
      <c r="K1040" t="n">
        <v>1.31</v>
      </c>
      <c r="L1040" t="n">
        <v>1.31</v>
      </c>
    </row>
    <row r="1041">
      <c r="A1041" s="1">
        <f>Hyperlink("https://www.wallsandfloors.co.uk/brixton-taupe-oblique-tiles","Product")</f>
        <v/>
      </c>
      <c r="B1041" s="1" t="inlineStr">
        <is>
          <t>39098</t>
        </is>
      </c>
      <c r="C1041" s="1" t="inlineStr">
        <is>
          <t>Brixton Taupe Oblique Tiles</t>
        </is>
      </c>
      <c r="D1041" s="1" t="inlineStr">
        <is>
          <t>500x250x7.4mm</t>
        </is>
      </c>
      <c r="E1041" s="1" t="n">
        <v>11.95</v>
      </c>
      <c r="F1041" s="1" t="n">
        <v>0</v>
      </c>
      <c r="G1041" s="1" t="inlineStr">
        <is>
          <t>SQM</t>
        </is>
      </c>
      <c r="H1041" s="1" t="inlineStr">
        <is>
          <t>Ceramic</t>
        </is>
      </c>
      <c r="I1041" s="1" t="inlineStr">
        <is>
          <t>Matt</t>
        </is>
      </c>
      <c r="J1041" t="n">
        <v>11.95</v>
      </c>
      <c r="K1041" t="n">
        <v>11.95</v>
      </c>
      <c r="L1041" t="n">
        <v>11.95</v>
      </c>
    </row>
    <row r="1042">
      <c r="A1042" s="1">
        <f>Hyperlink("https://www.wallsandfloors.co.uk/brixton-taupe-50x25-tiles","Product")</f>
        <v/>
      </c>
      <c r="B1042" s="1" t="inlineStr">
        <is>
          <t>39056</t>
        </is>
      </c>
      <c r="C1042" s="1" t="inlineStr">
        <is>
          <t>Brixton Taupe 50x25 Tiles</t>
        </is>
      </c>
      <c r="D1042" s="1" t="inlineStr">
        <is>
          <t>500x250x7.4mm</t>
        </is>
      </c>
      <c r="E1042" s="1" t="n">
        <v>11.95</v>
      </c>
      <c r="F1042" s="1" t="n">
        <v>0</v>
      </c>
      <c r="G1042" s="1" t="inlineStr">
        <is>
          <t>SQM</t>
        </is>
      </c>
      <c r="H1042" s="1" t="inlineStr">
        <is>
          <t>Ceramic</t>
        </is>
      </c>
      <c r="I1042" s="1" t="inlineStr">
        <is>
          <t>Matt</t>
        </is>
      </c>
      <c r="J1042" t="inlineStr"/>
      <c r="K1042" t="n">
        <v>11.95</v>
      </c>
      <c r="L1042" t="n">
        <v>11.95</v>
      </c>
    </row>
    <row r="1043">
      <c r="A1043" s="1">
        <f>Hyperlink("https://www.wallsandfloors.co.uk/brixton-taupe-45x45-tiles","Product")</f>
        <v/>
      </c>
      <c r="B1043" s="1" t="inlineStr">
        <is>
          <t>39097</t>
        </is>
      </c>
      <c r="C1043" s="1" t="inlineStr">
        <is>
          <t>Brixton Taupe Tiles</t>
        </is>
      </c>
      <c r="D1043" s="1" t="inlineStr">
        <is>
          <t>450x450x8.5mm</t>
        </is>
      </c>
      <c r="E1043" s="1" t="n">
        <v>11.95</v>
      </c>
      <c r="F1043" s="1" t="n">
        <v>0</v>
      </c>
      <c r="G1043" s="1" t="inlineStr">
        <is>
          <t>SQM</t>
        </is>
      </c>
      <c r="H1043" s="1" t="inlineStr">
        <is>
          <t>Ceramic</t>
        </is>
      </c>
      <c r="I1043" s="1" t="inlineStr">
        <is>
          <t>Matt</t>
        </is>
      </c>
      <c r="J1043" t="n">
        <v>11.95</v>
      </c>
      <c r="K1043" t="inlineStr"/>
      <c r="L1043" t="n">
        <v>11.95</v>
      </c>
    </row>
    <row r="1044">
      <c r="A1044" s="1">
        <f>Hyperlink("https://www.wallsandfloors.co.uk/brixton-smoke-oblique-decor-tiles","Product")</f>
        <v/>
      </c>
      <c r="B1044" s="1" t="inlineStr">
        <is>
          <t>39093</t>
        </is>
      </c>
      <c r="C1044" s="1" t="inlineStr">
        <is>
          <t>Brixton Smoke Oblique Decor Tiles</t>
        </is>
      </c>
      <c r="D1044" s="1" t="inlineStr">
        <is>
          <t>500x250x7.4mm</t>
        </is>
      </c>
      <c r="E1044" s="1" t="n">
        <v>11.95</v>
      </c>
      <c r="F1044" s="1" t="n">
        <v>0</v>
      </c>
      <c r="G1044" s="1" t="inlineStr">
        <is>
          <t>SQM</t>
        </is>
      </c>
      <c r="H1044" s="1" t="inlineStr">
        <is>
          <t>Ceramic</t>
        </is>
      </c>
      <c r="I1044" s="1" t="inlineStr">
        <is>
          <t>Matt</t>
        </is>
      </c>
      <c r="J1044" t="n">
        <v>11.95</v>
      </c>
      <c r="K1044" t="n">
        <v>11.95</v>
      </c>
      <c r="L1044" t="n">
        <v>11.95</v>
      </c>
    </row>
    <row r="1045">
      <c r="A1045" s="1">
        <f>Hyperlink("https://www.wallsandfloors.co.uk/brixton-smoke-50x25-tiles","Product")</f>
        <v/>
      </c>
      <c r="B1045" s="1" t="inlineStr">
        <is>
          <t>39054</t>
        </is>
      </c>
      <c r="C1045" s="1" t="inlineStr">
        <is>
          <t>Brixton Smoke 50x25 Tiles</t>
        </is>
      </c>
      <c r="D1045" s="1" t="inlineStr">
        <is>
          <t>500x250x7.4mm</t>
        </is>
      </c>
      <c r="E1045" s="1" t="n">
        <v>11.95</v>
      </c>
      <c r="F1045" s="1" t="n">
        <v>0</v>
      </c>
      <c r="G1045" s="1" t="inlineStr">
        <is>
          <t>SQM</t>
        </is>
      </c>
      <c r="H1045" s="1" t="inlineStr">
        <is>
          <t>Ceramic</t>
        </is>
      </c>
      <c r="I1045" s="1" t="inlineStr">
        <is>
          <t>Matt</t>
        </is>
      </c>
      <c r="J1045" t="inlineStr"/>
      <c r="K1045" t="n">
        <v>11.95</v>
      </c>
      <c r="L1045" t="n">
        <v>11.95</v>
      </c>
    </row>
    <row r="1046">
      <c r="A1046" s="1">
        <f>Hyperlink("https://www.wallsandfloors.co.uk/brixton-smoke-45x45-tiles","Product")</f>
        <v/>
      </c>
      <c r="B1046" s="1" t="inlineStr">
        <is>
          <t>39095</t>
        </is>
      </c>
      <c r="C1046" s="1" t="inlineStr">
        <is>
          <t>Brixton Smoke Tiles</t>
        </is>
      </c>
      <c r="D1046" s="1" t="inlineStr">
        <is>
          <t>450x450x8.5mm</t>
        </is>
      </c>
      <c r="E1046" s="1" t="n">
        <v>11.95</v>
      </c>
      <c r="F1046" s="1" t="n">
        <v>0</v>
      </c>
      <c r="G1046" s="1" t="inlineStr">
        <is>
          <t>SQM</t>
        </is>
      </c>
      <c r="H1046" s="1" t="inlineStr">
        <is>
          <t>Ceramic</t>
        </is>
      </c>
      <c r="I1046" s="1" t="inlineStr">
        <is>
          <t>Matt</t>
        </is>
      </c>
      <c r="J1046" t="n">
        <v>11.95</v>
      </c>
      <c r="K1046" t="n">
        <v>11.95</v>
      </c>
      <c r="L1046" t="n">
        <v>11.95</v>
      </c>
    </row>
    <row r="1047">
      <c r="A1047" s="1">
        <f>Hyperlink("https://www.wallsandfloors.co.uk/brixton-brule-mini-mica-mosaic-effect-tiles","Product")</f>
        <v/>
      </c>
      <c r="B1047" s="1" t="inlineStr">
        <is>
          <t>39099</t>
        </is>
      </c>
      <c r="C1047" s="1" t="inlineStr">
        <is>
          <t>Brixton Brule Mini Mica Mosaic Effect Tiles</t>
        </is>
      </c>
      <c r="D1047" s="1" t="inlineStr">
        <is>
          <t>500x250x7.4mm</t>
        </is>
      </c>
      <c r="E1047" s="1" t="n">
        <v>11.95</v>
      </c>
      <c r="F1047" s="1" t="n">
        <v>0</v>
      </c>
      <c r="G1047" s="1" t="inlineStr"/>
      <c r="H1047" s="1" t="inlineStr">
        <is>
          <t>Ceramic</t>
        </is>
      </c>
      <c r="I1047" s="1" t="inlineStr">
        <is>
          <t>Matt</t>
        </is>
      </c>
      <c r="J1047" t="n">
        <v>11.95</v>
      </c>
      <c r="K1047" t="n">
        <v>11.95</v>
      </c>
      <c r="L1047" t="n">
        <v>11.95</v>
      </c>
    </row>
    <row r="1048">
      <c r="A1048" s="1">
        <f>Hyperlink("https://www.wallsandfloors.co.uk/brixton-brule-45x45-tiles","Product")</f>
        <v/>
      </c>
      <c r="B1048" s="1" t="inlineStr">
        <is>
          <t>39096</t>
        </is>
      </c>
      <c r="C1048" s="1" t="inlineStr">
        <is>
          <t>Brixton Brule Tiles</t>
        </is>
      </c>
      <c r="D1048" s="1" t="inlineStr">
        <is>
          <t>450x450x8.5mm</t>
        </is>
      </c>
      <c r="E1048" s="1" t="n">
        <v>11.95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Matt</t>
        </is>
      </c>
      <c r="J1048" t="n">
        <v>11.95</v>
      </c>
      <c r="K1048" t="n">
        <v>11.95</v>
      </c>
      <c r="L1048" t="n">
        <v>11.95</v>
      </c>
    </row>
    <row r="1049">
      <c r="A1049" s="1">
        <f>Hyperlink("https://www.wallsandfloors.co.uk/brixton-alabaster-mini-mica-mosaic-effect-tiles","Product")</f>
        <v/>
      </c>
      <c r="B1049" s="1" t="inlineStr">
        <is>
          <t>39094</t>
        </is>
      </c>
      <c r="C1049" s="1" t="inlineStr">
        <is>
          <t>Brixton Alabaster Mini Mica Mosaic Effect Tiles</t>
        </is>
      </c>
      <c r="D1049" s="1" t="inlineStr">
        <is>
          <t>500x250x7.4mm</t>
        </is>
      </c>
      <c r="E1049" s="1" t="n">
        <v>11.95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Matt</t>
        </is>
      </c>
      <c r="J1049" t="n">
        <v>11.95</v>
      </c>
      <c r="K1049" t="n">
        <v>11.95</v>
      </c>
      <c r="L1049" t="n">
        <v>11.95</v>
      </c>
    </row>
    <row r="1050">
      <c r="A1050" s="1">
        <f>Hyperlink("https://www.wallsandfloors.co.uk/breeze-winter-breeze-grey-wall-tiles","Product")</f>
        <v/>
      </c>
      <c r="B1050" s="1" t="inlineStr">
        <is>
          <t>25133</t>
        </is>
      </c>
      <c r="C1050" s="1" t="inlineStr">
        <is>
          <t>Winter Breeze Grey Wall Tiles</t>
        </is>
      </c>
      <c r="D1050" s="1" t="inlineStr">
        <is>
          <t>300x200x8mm</t>
        </is>
      </c>
      <c r="E1050" s="1" t="n">
        <v>25.95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Matt</t>
        </is>
      </c>
      <c r="J1050" t="n">
        <v>25.95</v>
      </c>
      <c r="K1050" t="n">
        <v>25.95</v>
      </c>
      <c r="L1050" t="n">
        <v>25.95</v>
      </c>
    </row>
    <row r="1051">
      <c r="A1051" s="1">
        <f>Hyperlink("https://www.wallsandfloors.co.uk/breeze-spring-air-white-wall-tiles","Product")</f>
        <v/>
      </c>
      <c r="B1051" s="1" t="inlineStr">
        <is>
          <t>25132</t>
        </is>
      </c>
      <c r="C1051" s="1" t="inlineStr">
        <is>
          <t>Spring Air White Wall Tiles</t>
        </is>
      </c>
      <c r="D1051" s="1" t="inlineStr">
        <is>
          <t>300x200x8mm</t>
        </is>
      </c>
      <c r="E1051" s="1" t="n">
        <v>25.95</v>
      </c>
      <c r="F1051" s="1" t="n">
        <v>0</v>
      </c>
      <c r="G1051" s="1" t="inlineStr"/>
      <c r="H1051" s="1" t="inlineStr">
        <is>
          <t>Ceramic</t>
        </is>
      </c>
      <c r="I1051" s="1" t="inlineStr">
        <is>
          <t>Matt</t>
        </is>
      </c>
      <c r="J1051" t="n">
        <v>25.95</v>
      </c>
      <c r="K1051" t="n">
        <v>25.95</v>
      </c>
      <c r="L1051" t="n">
        <v>25.95</v>
      </c>
    </row>
    <row r="1052">
      <c r="A1052" s="1">
        <f>Hyperlink("https://www.wallsandfloors.co.uk/breeze-autumn-sun-beige-wall-tiles","Product")</f>
        <v/>
      </c>
      <c r="B1052" s="1" t="inlineStr">
        <is>
          <t>25131</t>
        </is>
      </c>
      <c r="C1052" s="1" t="inlineStr">
        <is>
          <t>Autumn Sun Beige Wall Tiles</t>
        </is>
      </c>
      <c r="D1052" s="1" t="inlineStr">
        <is>
          <t>300x200x8mm</t>
        </is>
      </c>
      <c r="E1052" s="1" t="n">
        <v>25.95</v>
      </c>
      <c r="F1052" s="1" t="n">
        <v>0</v>
      </c>
      <c r="G1052" s="1" t="inlineStr"/>
      <c r="H1052" s="1" t="inlineStr">
        <is>
          <t>Ceramic</t>
        </is>
      </c>
      <c r="I1052" s="1" t="inlineStr">
        <is>
          <t>Matt</t>
        </is>
      </c>
      <c r="J1052" t="n">
        <v>25.95</v>
      </c>
      <c r="K1052" t="n">
        <v>25.95</v>
      </c>
      <c r="L1052" t="n">
        <v>25.95</v>
      </c>
    </row>
    <row r="1053">
      <c r="A1053" s="1">
        <f>Hyperlink("https://www.wallsandfloors.co.uk/brandeis-blue-decor-tiles","Product")</f>
        <v/>
      </c>
      <c r="B1053" s="1" t="inlineStr">
        <is>
          <t>14680</t>
        </is>
      </c>
      <c r="C1053" s="1" t="inlineStr">
        <is>
          <t>Brandeis Muted Blue Decor Tiles</t>
        </is>
      </c>
      <c r="D1053" s="1" t="inlineStr">
        <is>
          <t>200x200x6.5mm</t>
        </is>
      </c>
      <c r="E1053" s="1" t="n">
        <v>30.95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Matt</t>
        </is>
      </c>
      <c r="J1053" t="n">
        <v>30.95</v>
      </c>
      <c r="K1053" t="n">
        <v>30.95</v>
      </c>
      <c r="L1053" t="n">
        <v>30.95</v>
      </c>
    </row>
    <row r="1054">
      <c r="A1054" s="1">
        <f>Hyperlink("https://www.wallsandfloors.co.uk/boutique-brick-slip-metallic-silver-brick-tiles","Product")</f>
        <v/>
      </c>
      <c r="B1054" s="1" t="inlineStr">
        <is>
          <t>34251</t>
        </is>
      </c>
      <c r="C1054" s="1" t="inlineStr">
        <is>
          <t>Boutique Metallic Silver Brick Slip Tiles</t>
        </is>
      </c>
      <c r="D1054" s="1" t="inlineStr">
        <is>
          <t>250x50x7mm</t>
        </is>
      </c>
      <c r="E1054" s="1" t="n">
        <v>64.95</v>
      </c>
      <c r="F1054" s="1" t="n">
        <v>0</v>
      </c>
      <c r="G1054" s="1" t="inlineStr">
        <is>
          <t>SQM</t>
        </is>
      </c>
      <c r="H1054" s="1" t="inlineStr">
        <is>
          <t>Ceramic</t>
        </is>
      </c>
      <c r="I1054" s="1" t="inlineStr">
        <is>
          <t>Gloss</t>
        </is>
      </c>
      <c r="J1054" t="n">
        <v>64.95</v>
      </c>
      <c r="K1054" t="n">
        <v>64.95</v>
      </c>
      <c r="L1054" t="n">
        <v>64.95</v>
      </c>
    </row>
    <row r="1055">
      <c r="A1055" s="1">
        <f>Hyperlink("https://www.wallsandfloors.co.uk/boutique-brick-slip-metallic-copper-brick-tiles","Product")</f>
        <v/>
      </c>
      <c r="B1055" s="1" t="inlineStr">
        <is>
          <t>34250</t>
        </is>
      </c>
      <c r="C1055" s="1" t="inlineStr">
        <is>
          <t>Boutique Metallic Copper Brick Slip Tiles</t>
        </is>
      </c>
      <c r="D1055" s="1" t="inlineStr">
        <is>
          <t>250x50x7mm</t>
        </is>
      </c>
      <c r="E1055" s="1" t="n">
        <v>64.95</v>
      </c>
      <c r="F1055" s="1" t="n">
        <v>0</v>
      </c>
      <c r="G1055" s="1" t="inlineStr">
        <is>
          <t>SQM</t>
        </is>
      </c>
      <c r="H1055" s="1" t="inlineStr">
        <is>
          <t>Ceramic</t>
        </is>
      </c>
      <c r="I1055" s="1" t="inlineStr">
        <is>
          <t>Gloss</t>
        </is>
      </c>
      <c r="J1055" t="n">
        <v>64.95</v>
      </c>
      <c r="K1055" t="n">
        <v>64.95</v>
      </c>
      <c r="L1055" t="n">
        <v>64.95</v>
      </c>
    </row>
    <row r="1056">
      <c r="A1056" s="1">
        <f>Hyperlink("https://www.wallsandfloors.co.uk/boutique-brick-feather-hand-crafted-metro-tiles","Product")</f>
        <v/>
      </c>
      <c r="B1056" s="1" t="inlineStr">
        <is>
          <t>34257</t>
        </is>
      </c>
      <c r="C1056" s="1" t="inlineStr">
        <is>
          <t>Feather Hand Crafted Metro Tiles</t>
        </is>
      </c>
      <c r="D1056" s="1" t="inlineStr">
        <is>
          <t>300x75x10mm</t>
        </is>
      </c>
      <c r="E1056" s="1" t="n">
        <v>39.95</v>
      </c>
      <c r="F1056" s="1" t="n">
        <v>0</v>
      </c>
      <c r="G1056" s="1" t="inlineStr">
        <is>
          <t>SQM</t>
        </is>
      </c>
      <c r="H1056" s="1" t="inlineStr">
        <is>
          <t>Ceramic</t>
        </is>
      </c>
      <c r="I1056" s="1" t="inlineStr">
        <is>
          <t>Gloss</t>
        </is>
      </c>
      <c r="J1056" t="n">
        <v>39.95</v>
      </c>
      <c r="K1056" t="n">
        <v>39.95</v>
      </c>
      <c r="L1056" t="n">
        <v>39.95</v>
      </c>
    </row>
    <row r="1057">
      <c r="A1057" s="1">
        <f>Hyperlink("https://www.wallsandfloors.co.uk/boutique-brick-250-pearl-handcrafted-metro-tiles","Product")</f>
        <v/>
      </c>
      <c r="B1057" s="1" t="inlineStr">
        <is>
          <t>34253</t>
        </is>
      </c>
      <c r="C1057" s="1" t="inlineStr">
        <is>
          <t>Pearl Handcrafted Metro Tiles</t>
        </is>
      </c>
      <c r="D1057" s="1" t="inlineStr">
        <is>
          <t>250x50x7mm</t>
        </is>
      </c>
      <c r="E1057" s="1" t="n">
        <v>37.95</v>
      </c>
      <c r="F1057" s="1" t="n">
        <v>0</v>
      </c>
      <c r="G1057" s="1" t="inlineStr">
        <is>
          <t>SQM</t>
        </is>
      </c>
      <c r="H1057" s="1" t="inlineStr">
        <is>
          <t>Ceramic</t>
        </is>
      </c>
      <c r="I1057" s="1" t="inlineStr">
        <is>
          <t>Gloss</t>
        </is>
      </c>
      <c r="J1057" t="n">
        <v>37.95</v>
      </c>
      <c r="K1057" t="inlineStr"/>
      <c r="L1057" t="n">
        <v>37.95</v>
      </c>
    </row>
    <row r="1058">
      <c r="A1058" s="1">
        <f>Hyperlink("https://www.wallsandfloors.co.uk/bococa-paintwash-wood-effect-tiles-azure-painted-waterfall-wood-tiles","Product")</f>
        <v/>
      </c>
      <c r="B1058" s="1" t="inlineStr">
        <is>
          <t>15648</t>
        </is>
      </c>
      <c r="C1058" s="1" t="inlineStr">
        <is>
          <t>BoCoCa Azure Painted Waterfall Wood Tiles</t>
        </is>
      </c>
      <c r="D1058" s="1" t="inlineStr">
        <is>
          <t>625x320x9mm</t>
        </is>
      </c>
      <c r="E1058" s="1" t="n">
        <v>40.95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Matt</t>
        </is>
      </c>
      <c r="J1058" t="n">
        <v>40.95</v>
      </c>
      <c r="K1058" t="n">
        <v>40.95</v>
      </c>
      <c r="L1058" t="n">
        <v>40.95</v>
      </c>
    </row>
    <row r="1059">
      <c r="A1059" s="1">
        <f>Hyperlink("https://www.wallsandfloors.co.uk/cobalt-black-tiles","Product")</f>
        <v/>
      </c>
      <c r="B1059" s="1" t="inlineStr">
        <is>
          <t>37273</t>
        </is>
      </c>
      <c r="C1059" s="1" t="inlineStr">
        <is>
          <t>Crystal Cobalt Black Split Face Tiles</t>
        </is>
      </c>
      <c r="D1059" s="1" t="inlineStr">
        <is>
          <t>300x150x6-12mm</t>
        </is>
      </c>
      <c r="E1059" s="1" t="n">
        <v>54.95</v>
      </c>
      <c r="F1059" s="1" t="n">
        <v>0</v>
      </c>
      <c r="G1059" s="1" t="inlineStr">
        <is>
          <t>SQM</t>
        </is>
      </c>
      <c r="H1059" s="1" t="inlineStr">
        <is>
          <t>Quartzite</t>
        </is>
      </c>
      <c r="I1059" s="1" t="inlineStr">
        <is>
          <t>Matt</t>
        </is>
      </c>
      <c r="J1059" t="inlineStr"/>
      <c r="K1059" t="n">
        <v>54.95</v>
      </c>
      <c r="L1059" t="n">
        <v>54.95</v>
      </c>
    </row>
    <row r="1060">
      <c r="A1060" s="1">
        <f>Hyperlink("https://www.wallsandfloors.co.uk/coffee-squares-50mm-tiles","Product")</f>
        <v/>
      </c>
      <c r="B1060" s="1" t="inlineStr">
        <is>
          <t>990080</t>
        </is>
      </c>
      <c r="C1060" s="1" t="inlineStr">
        <is>
          <t>Coffee Squares 50mm Tiles</t>
        </is>
      </c>
      <c r="D1060" s="1" t="inlineStr">
        <is>
          <t>50x50x9-10mm</t>
        </is>
      </c>
      <c r="E1060" s="1" t="n">
        <v>1.3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1.3</v>
      </c>
      <c r="K1060" t="inlineStr"/>
      <c r="L1060" t="n">
        <v>1.3</v>
      </c>
    </row>
    <row r="1061">
      <c r="A1061" s="1">
        <f>Hyperlink("https://www.wallsandfloors.co.uk/devine-whites-tiles-gloss-white-wall-33x25-tiles","Product")</f>
        <v/>
      </c>
      <c r="B1061" s="1" t="inlineStr">
        <is>
          <t>13354</t>
        </is>
      </c>
      <c r="C1061" s="1" t="inlineStr">
        <is>
          <t>Devine Gloss White Wall Tiles</t>
        </is>
      </c>
      <c r="D1061" s="1" t="inlineStr">
        <is>
          <t>330x250x7mm</t>
        </is>
      </c>
      <c r="E1061" s="1" t="n">
        <v>15.95</v>
      </c>
      <c r="F1061" s="1" t="n">
        <v>0</v>
      </c>
      <c r="G1061" s="1" t="inlineStr">
        <is>
          <t>SQM</t>
        </is>
      </c>
      <c r="H1061" s="1" t="inlineStr">
        <is>
          <t>Ceramic</t>
        </is>
      </c>
      <c r="I1061" s="1" t="inlineStr">
        <is>
          <t>Gloss</t>
        </is>
      </c>
      <c r="J1061" t="inlineStr"/>
      <c r="K1061" t="n">
        <v>15.95</v>
      </c>
      <c r="L1061" t="n">
        <v>15.95</v>
      </c>
    </row>
    <row r="1062">
      <c r="A1062" s="1">
        <f>Hyperlink("https://www.wallsandfloors.co.uk/devine-whites-tiles-gloss-white-wall-20x20-tiles","Product")</f>
        <v/>
      </c>
      <c r="B1062" s="1" t="inlineStr">
        <is>
          <t>13349</t>
        </is>
      </c>
      <c r="C1062" s="1" t="inlineStr">
        <is>
          <t>Devine Gloss White Wall Tiles</t>
        </is>
      </c>
      <c r="D1062" s="1" t="inlineStr">
        <is>
          <t>200x200x6.5mm</t>
        </is>
      </c>
      <c r="E1062" s="1" t="n">
        <v>13.95</v>
      </c>
      <c r="F1062" s="1" t="n">
        <v>0</v>
      </c>
      <c r="G1062" s="1" t="inlineStr"/>
      <c r="H1062" s="1" t="inlineStr">
        <is>
          <t>Ceramic</t>
        </is>
      </c>
      <c r="I1062" s="1" t="inlineStr">
        <is>
          <t>Gloss</t>
        </is>
      </c>
      <c r="J1062" t="n">
        <v>13.95</v>
      </c>
      <c r="K1062" t="n">
        <v>13.95</v>
      </c>
      <c r="L1062" t="n">
        <v>13.95</v>
      </c>
    </row>
    <row r="1063">
      <c r="A1063" s="1">
        <f>Hyperlink("https://www.wallsandfloors.co.uk/devine-whites-tiles-gloss-60x30-white-wall-tiles","Product")</f>
        <v/>
      </c>
      <c r="B1063" s="1" t="inlineStr">
        <is>
          <t>13356</t>
        </is>
      </c>
      <c r="C1063" s="1" t="inlineStr">
        <is>
          <t>Devine Gloss White Wall Tiles</t>
        </is>
      </c>
      <c r="D1063" s="1" t="inlineStr">
        <is>
          <t>600x300x10mm</t>
        </is>
      </c>
      <c r="E1063" s="1" t="n">
        <v>19.95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Gloss</t>
        </is>
      </c>
      <c r="J1063" t="inlineStr"/>
      <c r="K1063" t="inlineStr"/>
      <c r="L1063" t="n">
        <v>19.95</v>
      </c>
    </row>
    <row r="1064">
      <c r="A1064" s="1">
        <f>Hyperlink("https://www.wallsandfloors.co.uk/devine-whites-tiles-bumpy-satin-white-wall-33x25-tiles","Product")</f>
        <v/>
      </c>
      <c r="B1064" s="1" t="inlineStr">
        <is>
          <t>13344</t>
        </is>
      </c>
      <c r="C1064" s="1" t="inlineStr">
        <is>
          <t>Devine Bumpy Satin White Wall Tiles</t>
        </is>
      </c>
      <c r="D1064" s="1" t="inlineStr">
        <is>
          <t>330x250x7mm</t>
        </is>
      </c>
      <c r="E1064" s="1" t="n">
        <v>15.95</v>
      </c>
      <c r="F1064" s="1" t="n">
        <v>0</v>
      </c>
      <c r="G1064" s="1" t="inlineStr">
        <is>
          <t>SQM</t>
        </is>
      </c>
      <c r="H1064" s="1" t="inlineStr">
        <is>
          <t>Ceramic</t>
        </is>
      </c>
      <c r="I1064" s="1" t="inlineStr">
        <is>
          <t>Satin</t>
        </is>
      </c>
      <c r="J1064" t="n">
        <v>15.95</v>
      </c>
      <c r="K1064" t="inlineStr"/>
      <c r="L1064" t="n">
        <v>15.95</v>
      </c>
    </row>
    <row r="1065">
      <c r="A1065" s="1">
        <f>Hyperlink("https://www.wallsandfloors.co.uk/devine-whites-tiles-bumpy-satin-white-wall-25x20-tiles","Product")</f>
        <v/>
      </c>
      <c r="B1065" s="1" t="inlineStr">
        <is>
          <t>13342</t>
        </is>
      </c>
      <c r="C1065" s="1" t="inlineStr">
        <is>
          <t>Bumpy Satin White Wall Tiles</t>
        </is>
      </c>
      <c r="D1065" s="1" t="inlineStr">
        <is>
          <t>250x200x6.8mm</t>
        </is>
      </c>
      <c r="E1065" s="1" t="n">
        <v>13.95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Satin</t>
        </is>
      </c>
      <c r="J1065" t="n">
        <v>13.95</v>
      </c>
      <c r="K1065" t="inlineStr"/>
      <c r="L1065" t="n">
        <v>13.95</v>
      </c>
    </row>
    <row r="1066">
      <c r="A1066" s="1">
        <f>Hyperlink("https://www.wallsandfloors.co.uk/devine-whites-tiles-bumpy-gloss-white-wall-60x30-tiles","Product")</f>
        <v/>
      </c>
      <c r="B1066" s="1" t="inlineStr">
        <is>
          <t>13357</t>
        </is>
      </c>
      <c r="C1066" s="1" t="inlineStr">
        <is>
          <t>Bumpy Gloss White Wall Tiles</t>
        </is>
      </c>
      <c r="D1066" s="1" t="inlineStr">
        <is>
          <t>600x300x10mm</t>
        </is>
      </c>
      <c r="E1066" s="1" t="n">
        <v>19.95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Gloss</t>
        </is>
      </c>
      <c r="J1066" t="inlineStr"/>
      <c r="K1066" t="inlineStr"/>
      <c r="L1066" t="n">
        <v>19.95</v>
      </c>
    </row>
    <row r="1067">
      <c r="A1067" s="1">
        <f>Hyperlink("https://www.wallsandfloors.co.uk/devine-whites-tiles-bumpy-gloss-white-wall-33x25-tiles","Product")</f>
        <v/>
      </c>
      <c r="B1067" s="1" t="inlineStr">
        <is>
          <t>13355</t>
        </is>
      </c>
      <c r="C1067" s="1" t="inlineStr">
        <is>
          <t>Devine Bumpy Gloss White Wall Tiles</t>
        </is>
      </c>
      <c r="D1067" s="1" t="inlineStr">
        <is>
          <t>330x250x7mm</t>
        </is>
      </c>
      <c r="E1067" s="1" t="n">
        <v>15.95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Gloss</t>
        </is>
      </c>
      <c r="J1067" t="n">
        <v>15.95</v>
      </c>
      <c r="K1067" t="n">
        <v>15.95</v>
      </c>
      <c r="L1067" t="n">
        <v>15.95</v>
      </c>
    </row>
    <row r="1068">
      <c r="A1068" s="1">
        <f>Hyperlink("https://www.wallsandfloors.co.uk/devine-whites-tiles-bumpy-gloss-white-wall-25x20-tiles","Product")</f>
        <v/>
      </c>
      <c r="B1068" s="1" t="inlineStr">
        <is>
          <t>13353</t>
        </is>
      </c>
      <c r="C1068" s="1" t="inlineStr">
        <is>
          <t>Devine Bumpy Gloss White Wall Tiles</t>
        </is>
      </c>
      <c r="D1068" s="1" t="inlineStr">
        <is>
          <t>250x200x6.8mm</t>
        </is>
      </c>
      <c r="E1068" s="1" t="n">
        <v>10.85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Gloss</t>
        </is>
      </c>
      <c r="J1068" t="n">
        <v>10.85</v>
      </c>
      <c r="K1068" t="n">
        <v>10.85</v>
      </c>
      <c r="L1068" t="n">
        <v>10.85</v>
      </c>
    </row>
    <row r="1069">
      <c r="A1069" s="1">
        <f>Hyperlink("https://www.wallsandfloors.co.uk/devine-whites-tiles-bumpy-gloss-white-wall-15x15-tiles","Product")</f>
        <v/>
      </c>
      <c r="B1069" s="1" t="inlineStr">
        <is>
          <t>13348</t>
        </is>
      </c>
      <c r="C1069" s="1" t="inlineStr">
        <is>
          <t>Devine Bumpy Gloss White Wall Tiles</t>
        </is>
      </c>
      <c r="D1069" s="1" t="inlineStr">
        <is>
          <t>150x150x6mm</t>
        </is>
      </c>
      <c r="E1069" s="1" t="n">
        <v>10.75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n">
        <v>10.75</v>
      </c>
      <c r="K1069" t="n">
        <v>10.75</v>
      </c>
      <c r="L1069" t="n">
        <v>10.75</v>
      </c>
    </row>
    <row r="1070">
      <c r="A1070" s="1">
        <f>Hyperlink("https://www.wallsandfloors.co.uk/denford-pencil-strip-tiles-verde-pencil-tiles","Product")</f>
        <v/>
      </c>
      <c r="B1070" s="1" t="inlineStr">
        <is>
          <t>12418</t>
        </is>
      </c>
      <c r="C1070" s="1" t="inlineStr">
        <is>
          <t>Denford Verde Green Pencil Strip Border Tiles</t>
        </is>
      </c>
      <c r="D1070" s="1" t="inlineStr">
        <is>
          <t>200x12x7mm</t>
        </is>
      </c>
      <c r="E1070" s="1" t="n">
        <v>2.75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-</t>
        </is>
      </c>
      <c r="J1070" t="n">
        <v>2.75</v>
      </c>
      <c r="K1070" t="inlineStr"/>
      <c r="L1070" t="n">
        <v>2.75</v>
      </c>
    </row>
    <row r="1071">
      <c r="A1071" s="1">
        <f>Hyperlink("https://www.wallsandfloors.co.uk/devine-whites-tiles-gloss-white-wall-40x20-tiles","Product")</f>
        <v/>
      </c>
      <c r="B1071" s="1" t="inlineStr">
        <is>
          <t>13351</t>
        </is>
      </c>
      <c r="C1071" s="1" t="inlineStr">
        <is>
          <t>Devine Gloss White Wall Tiles</t>
        </is>
      </c>
      <c r="D1071" s="1" t="inlineStr">
        <is>
          <t>400x200x7mm</t>
        </is>
      </c>
      <c r="E1071" s="1" t="n">
        <v>15.95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Gloss</t>
        </is>
      </c>
      <c r="J1071" t="inlineStr"/>
      <c r="K1071" t="n">
        <v>15.95</v>
      </c>
      <c r="L1071" t="n">
        <v>15.95</v>
      </c>
    </row>
    <row r="1072">
      <c r="A1072" s="1">
        <f>Hyperlink("https://www.wallsandfloors.co.uk/denford-pencil-strip-tiles-burgundy-pencil-tiles","Product")</f>
        <v/>
      </c>
      <c r="B1072" s="1" t="inlineStr">
        <is>
          <t>12419</t>
        </is>
      </c>
      <c r="C1072" s="1" t="inlineStr">
        <is>
          <t>Denford Burgundy Pencil Strip Border Tiles</t>
        </is>
      </c>
      <c r="D1072" s="1" t="inlineStr">
        <is>
          <t>200x12x7mm</t>
        </is>
      </c>
      <c r="E1072" s="1" t="n">
        <v>2.75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Gloss</t>
        </is>
      </c>
      <c r="J1072" t="n">
        <v>2.75</v>
      </c>
      <c r="K1072" t="n">
        <v>2.75</v>
      </c>
      <c r="L1072" t="n">
        <v>2.75</v>
      </c>
    </row>
    <row r="1073">
      <c r="A1073" s="1">
        <f>Hyperlink("https://www.wallsandfloors.co.uk/delft-tiles-delft-white-tiles","Product")</f>
        <v/>
      </c>
      <c r="B1073" s="1" t="inlineStr">
        <is>
          <t>13839</t>
        </is>
      </c>
      <c r="C1073" s="1" t="inlineStr">
        <is>
          <t>Delft White Tiles</t>
        </is>
      </c>
      <c r="D1073" s="1" t="inlineStr">
        <is>
          <t>150x150x7mm</t>
        </is>
      </c>
      <c r="E1073" s="1" t="n">
        <v>43.95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43.95</v>
      </c>
      <c r="K1073" t="n">
        <v>43.95</v>
      </c>
      <c r="L1073" t="n">
        <v>43.95</v>
      </c>
    </row>
    <row r="1074">
      <c r="A1074" s="1">
        <f>Hyperlink("https://www.wallsandfloors.co.uk/decorum-tiles-white-marble-effect-tiles","Product")</f>
        <v/>
      </c>
      <c r="B1074" s="1" t="inlineStr">
        <is>
          <t>13749</t>
        </is>
      </c>
      <c r="C1074" s="1" t="inlineStr">
        <is>
          <t>Decorum Gloss White Marble Effect Wall Tiles</t>
        </is>
      </c>
      <c r="D1074" s="1" t="inlineStr">
        <is>
          <t>500x250x8mm</t>
        </is>
      </c>
      <c r="E1074" s="1" t="n">
        <v>15.95</v>
      </c>
      <c r="F1074" s="1" t="n">
        <v>0</v>
      </c>
      <c r="G1074" s="1" t="inlineStr">
        <is>
          <t>SQM</t>
        </is>
      </c>
      <c r="H1074" s="1" t="inlineStr">
        <is>
          <t>Ceramic</t>
        </is>
      </c>
      <c r="I1074" s="1" t="inlineStr">
        <is>
          <t>Gloss</t>
        </is>
      </c>
      <c r="J1074" t="inlineStr"/>
      <c r="K1074" t="inlineStr"/>
      <c r="L1074" t="n">
        <v>15.95</v>
      </c>
    </row>
    <row r="1075">
      <c r="A1075" s="1">
        <f>Hyperlink("https://www.wallsandfloors.co.uk/decor-seasoned-chiffon-brick-tiles","Product")</f>
        <v/>
      </c>
      <c r="B1075" s="1" t="inlineStr">
        <is>
          <t>34254</t>
        </is>
      </c>
      <c r="C1075" s="1" t="inlineStr">
        <is>
          <t>Seasoned Chiffon Brick Tiles</t>
        </is>
      </c>
      <c r="D1075" s="1" t="inlineStr">
        <is>
          <t>300x75x7mm</t>
        </is>
      </c>
      <c r="E1075" s="1" t="n">
        <v>45.95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Gloss</t>
        </is>
      </c>
      <c r="J1075" t="n">
        <v>45.95</v>
      </c>
      <c r="K1075" t="n">
        <v>45.95</v>
      </c>
      <c r="L1075" t="n">
        <v>45.95</v>
      </c>
    </row>
    <row r="1076">
      <c r="A1076" s="1">
        <f>Hyperlink("https://www.wallsandfloors.co.uk/dc-250-1200-230v-50-hz","Product")</f>
        <v/>
      </c>
      <c r="B1076" s="1" t="inlineStr">
        <is>
          <t>40413</t>
        </is>
      </c>
      <c r="C1076" s="1" t="inlineStr">
        <is>
          <t>DC-250 1200 240V Electric Tile Cutter</t>
        </is>
      </c>
      <c r="D1076" s="1" t="inlineStr">
        <is>
          <t>160x82x131 cm</t>
        </is>
      </c>
      <c r="E1076" s="1" t="inlineStr">
        <is>
          <t>1,515.75</t>
        </is>
      </c>
      <c r="F1076" s="1" t="n">
        <v>0</v>
      </c>
      <c r="G1076" s="1" t="inlineStr">
        <is>
          <t>Unit</t>
        </is>
      </c>
      <c r="H1076" s="1" t="inlineStr">
        <is>
          <t>Electric Tile Cutters</t>
        </is>
      </c>
      <c r="I1076" s="1" t="inlineStr">
        <is>
          <t>-</t>
        </is>
      </c>
      <c r="J1076" t="inlineStr">
        <is>
          <t>1,515.75</t>
        </is>
      </c>
      <c r="K1076" t="inlineStr">
        <is>
          <t>1,515.75</t>
        </is>
      </c>
      <c r="L1076" t="inlineStr">
        <is>
          <t>1,515.75</t>
        </is>
      </c>
    </row>
    <row r="1077">
      <c r="A1077" s="1">
        <f>Hyperlink("https://www.wallsandfloors.co.uk/dc-250-1200-110v-50hz","Product")</f>
        <v/>
      </c>
      <c r="B1077" s="1" t="inlineStr">
        <is>
          <t>27565</t>
        </is>
      </c>
      <c r="C1077" s="1" t="inlineStr">
        <is>
          <t>DC-250-1200 110V Electric Tile Cutter</t>
        </is>
      </c>
      <c r="D1077" s="1" t="inlineStr">
        <is>
          <t>160x82x131 cm</t>
        </is>
      </c>
      <c r="E1077" s="1" t="inlineStr">
        <is>
          <t>1,515.75</t>
        </is>
      </c>
      <c r="F1077" s="1" t="n">
        <v>0</v>
      </c>
      <c r="G1077" s="1" t="inlineStr">
        <is>
          <t>Unit</t>
        </is>
      </c>
      <c r="H1077" s="1" t="inlineStr">
        <is>
          <t>Electric Tile Cutters</t>
        </is>
      </c>
      <c r="I1077" s="1" t="inlineStr">
        <is>
          <t>-</t>
        </is>
      </c>
      <c r="J1077" t="inlineStr"/>
      <c r="K1077" t="inlineStr">
        <is>
          <t>1,515.75</t>
        </is>
      </c>
      <c r="L1077" t="inlineStr">
        <is>
          <t>1,515.75</t>
        </is>
      </c>
    </row>
    <row r="1078">
      <c r="A1078" s="1">
        <f>Hyperlink("https://www.wallsandfloors.co.uk/dazzle-mosaics-tiles-silver-tiles","Product")</f>
        <v/>
      </c>
      <c r="B1078" s="1" t="inlineStr">
        <is>
          <t>7636</t>
        </is>
      </c>
      <c r="C1078" s="1" t="inlineStr">
        <is>
          <t>Dazzle Silver Mosaic Tiles</t>
        </is>
      </c>
      <c r="D1078" s="1" t="inlineStr">
        <is>
          <t>305x305x8mm</t>
        </is>
      </c>
      <c r="E1078" s="1" t="n">
        <v>5.95</v>
      </c>
      <c r="F1078" s="1" t="n">
        <v>0</v>
      </c>
      <c r="G1078" s="1" t="inlineStr">
        <is>
          <t>Sheet</t>
        </is>
      </c>
      <c r="H1078" s="1" t="inlineStr">
        <is>
          <t>Glass</t>
        </is>
      </c>
      <c r="I1078" s="1" t="inlineStr">
        <is>
          <t>Mixed</t>
        </is>
      </c>
      <c r="J1078" t="n">
        <v>5.95</v>
      </c>
      <c r="K1078" t="n">
        <v>5.95</v>
      </c>
      <c r="L1078" t="n">
        <v>5.95</v>
      </c>
    </row>
    <row r="1079">
      <c r="A1079" s="1">
        <f>Hyperlink("https://www.wallsandfloors.co.uk/dazzle-mosaics-tiles-purple-haze-tiles","Product")</f>
        <v/>
      </c>
      <c r="B1079" s="1" t="inlineStr">
        <is>
          <t>7635</t>
        </is>
      </c>
      <c r="C1079" s="1" t="inlineStr">
        <is>
          <t>Dazzle Purple Haze Mosaic Tiles</t>
        </is>
      </c>
      <c r="D1079" s="1" t="inlineStr">
        <is>
          <t>305x305x8mm</t>
        </is>
      </c>
      <c r="E1079" s="1" t="n">
        <v>9.949999999999999</v>
      </c>
      <c r="F1079" s="1" t="n">
        <v>0</v>
      </c>
      <c r="G1079" s="1" t="inlineStr">
        <is>
          <t>Sheet</t>
        </is>
      </c>
      <c r="H1079" s="1" t="inlineStr">
        <is>
          <t>Glass</t>
        </is>
      </c>
      <c r="I1079" s="1" t="inlineStr">
        <is>
          <t>Mixed</t>
        </is>
      </c>
      <c r="J1079" t="n">
        <v>9.949999999999999</v>
      </c>
      <c r="K1079" t="n">
        <v>9.949999999999999</v>
      </c>
      <c r="L1079" t="n">
        <v>9.949999999999999</v>
      </c>
    </row>
    <row r="1080">
      <c r="A1080" s="1">
        <f>Hyperlink("https://www.wallsandfloors.co.uk/dazzle-mosaics-tiles-harlequin-tiles","Product")</f>
        <v/>
      </c>
      <c r="B1080" s="1" t="inlineStr">
        <is>
          <t>7633</t>
        </is>
      </c>
      <c r="C1080" s="1" t="inlineStr">
        <is>
          <t>Dazzle Harlequin Mosaic Tiles</t>
        </is>
      </c>
      <c r="D1080" s="1" t="inlineStr">
        <is>
          <t>305x305x8mm</t>
        </is>
      </c>
      <c r="E1080" s="1" t="n">
        <v>6.95</v>
      </c>
      <c r="F1080" s="1" t="n">
        <v>0</v>
      </c>
      <c r="G1080" s="1" t="inlineStr">
        <is>
          <t>Sheet</t>
        </is>
      </c>
      <c r="H1080" s="1" t="inlineStr">
        <is>
          <t>Glass</t>
        </is>
      </c>
      <c r="I1080" s="1" t="inlineStr">
        <is>
          <t>Mixed</t>
        </is>
      </c>
      <c r="J1080" t="n">
        <v>6.95</v>
      </c>
      <c r="K1080" t="n">
        <v>6.95</v>
      </c>
      <c r="L1080" t="n">
        <v>6.95</v>
      </c>
    </row>
    <row r="1081">
      <c r="A1081" s="1">
        <f>Hyperlink("https://www.wallsandfloors.co.uk/dazzle-mosaics-tiles-glitter-tiles","Product")</f>
        <v/>
      </c>
      <c r="B1081" s="1" t="inlineStr">
        <is>
          <t>7632</t>
        </is>
      </c>
      <c r="C1081" s="1" t="inlineStr">
        <is>
          <t>Dazzle Glitter Mosaic Tiles</t>
        </is>
      </c>
      <c r="D1081" s="1" t="inlineStr">
        <is>
          <t>305x305x8mm</t>
        </is>
      </c>
      <c r="E1081" s="1" t="n">
        <v>6.95</v>
      </c>
      <c r="F1081" s="1" t="n">
        <v>0</v>
      </c>
      <c r="G1081" s="1" t="inlineStr">
        <is>
          <t>Sheet</t>
        </is>
      </c>
      <c r="H1081" s="1" t="inlineStr">
        <is>
          <t>Glass</t>
        </is>
      </c>
      <c r="I1081" s="1" t="inlineStr">
        <is>
          <t>Mixed</t>
        </is>
      </c>
      <c r="J1081" t="n">
        <v>6.95</v>
      </c>
      <c r="K1081" t="inlineStr"/>
      <c r="L1081" t="n">
        <v>6.95</v>
      </c>
    </row>
    <row r="1082">
      <c r="A1082" s="1">
        <f>Hyperlink("https://www.wallsandfloors.co.uk/dark-honey-tiles","Product")</f>
        <v/>
      </c>
      <c r="B1082" s="1" t="inlineStr">
        <is>
          <t>14684</t>
        </is>
      </c>
      <c r="C1082" s="1" t="inlineStr">
        <is>
          <t>Madagascan Ipil Dark Honey Wood Effect Tiles</t>
        </is>
      </c>
      <c r="D1082" s="1" t="inlineStr">
        <is>
          <t>1200x230x8mm</t>
        </is>
      </c>
      <c r="E1082" s="1" t="n">
        <v>21.95</v>
      </c>
      <c r="F1082" s="1" t="n">
        <v>0</v>
      </c>
      <c r="G1082" s="1" t="inlineStr">
        <is>
          <t>SQM</t>
        </is>
      </c>
      <c r="H1082" s="1" t="inlineStr">
        <is>
          <t>Porcelain</t>
        </is>
      </c>
      <c r="I1082" s="1" t="inlineStr">
        <is>
          <t>Matt</t>
        </is>
      </c>
      <c r="J1082" t="n">
        <v>21.95</v>
      </c>
      <c r="K1082" t="n">
        <v>21.95</v>
      </c>
      <c r="L1082" t="n">
        <v>21.95</v>
      </c>
    </row>
    <row r="1083">
      <c r="A1083" s="1">
        <f>Hyperlink("https://www.wallsandfloors.co.uk/delft-tiles-white-moldura-tiles","Product")</f>
        <v/>
      </c>
      <c r="B1083" s="1" t="inlineStr">
        <is>
          <t>13840</t>
        </is>
      </c>
      <c r="C1083" s="1" t="inlineStr">
        <is>
          <t>Delft White Moldura Border Tiles</t>
        </is>
      </c>
      <c r="D1083" s="1" t="inlineStr">
        <is>
          <t>150x50x7mm</t>
        </is>
      </c>
      <c r="E1083" s="1" t="n">
        <v>5.45</v>
      </c>
      <c r="F1083" s="1" t="n">
        <v>0</v>
      </c>
      <c r="G1083" s="1" t="inlineStr"/>
      <c r="H1083" s="1" t="inlineStr">
        <is>
          <t>Ceramic</t>
        </is>
      </c>
      <c r="I1083" s="1" t="inlineStr">
        <is>
          <t>Gloss</t>
        </is>
      </c>
      <c r="J1083" t="inlineStr"/>
      <c r="K1083" t="n">
        <v>5.45</v>
      </c>
      <c r="L1083" t="n">
        <v>5.45</v>
      </c>
    </row>
    <row r="1084">
      <c r="A1084" s="1">
        <f>Hyperlink("https://www.wallsandfloors.co.uk/devine-whites-tiles-satin-white-wall-15x15-tiles","Product")</f>
        <v/>
      </c>
      <c r="B1084" s="1" t="inlineStr">
        <is>
          <t>13338</t>
        </is>
      </c>
      <c r="C1084" s="1" t="inlineStr">
        <is>
          <t>Marvel Satin White Wall Tiles</t>
        </is>
      </c>
      <c r="D1084" s="1" t="inlineStr">
        <is>
          <t>148x148x6mm</t>
        </is>
      </c>
      <c r="E1084" s="1" t="n">
        <v>11.95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Satin</t>
        </is>
      </c>
      <c r="J1084" t="inlineStr"/>
      <c r="K1084" t="n">
        <v>11.95</v>
      </c>
      <c r="L1084" t="n">
        <v>11.95</v>
      </c>
    </row>
    <row r="1085">
      <c r="A1085" s="1">
        <f>Hyperlink("https://www.wallsandfloors.co.uk/devine-whites-tiles-satin-white-wall-20x20-tiles","Product")</f>
        <v/>
      </c>
      <c r="B1085" s="1" t="inlineStr">
        <is>
          <t>13340</t>
        </is>
      </c>
      <c r="C1085" s="1" t="inlineStr">
        <is>
          <t>Devine Satin White Wall Tiles</t>
        </is>
      </c>
      <c r="D1085" s="1" t="inlineStr">
        <is>
          <t>200x200x6.5mm</t>
        </is>
      </c>
      <c r="E1085" s="1" t="n">
        <v>13.95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Satin</t>
        </is>
      </c>
      <c r="J1085" t="inlineStr"/>
      <c r="K1085" t="inlineStr"/>
      <c r="L1085" t="n">
        <v>13.95</v>
      </c>
    </row>
    <row r="1086">
      <c r="A1086" s="1">
        <f>Hyperlink("https://www.wallsandfloors.co.uk/devine-whites-tiles-satin-white-wall-33x25-tiles","Product")</f>
        <v/>
      </c>
      <c r="B1086" s="1" t="inlineStr">
        <is>
          <t>13343</t>
        </is>
      </c>
      <c r="C1086" s="1" t="inlineStr">
        <is>
          <t>Devine Satin White Wall Tiles</t>
        </is>
      </c>
      <c r="D1086" s="1" t="inlineStr">
        <is>
          <t>330x250x7mm</t>
        </is>
      </c>
      <c r="E1086" s="1" t="n">
        <v>15.95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Satin</t>
        </is>
      </c>
      <c r="J1086" t="n">
        <v>15.95</v>
      </c>
      <c r="K1086" t="n">
        <v>15.95</v>
      </c>
      <c r="L1086" t="n">
        <v>15.95</v>
      </c>
    </row>
    <row r="1087">
      <c r="A1087" s="1">
        <f>Hyperlink("https://www.wallsandfloors.co.uk/easy-gres-drill-bit-7-32-6-mm","Product")</f>
        <v/>
      </c>
      <c r="B1087" s="1" t="inlineStr">
        <is>
          <t>40408</t>
        </is>
      </c>
      <c r="C1087" s="1" t="inlineStr">
        <is>
          <t>EASYGRES Drill Bit 6mm</t>
        </is>
      </c>
      <c r="D1087" s="1" t="inlineStr">
        <is>
          <t>6mm</t>
        </is>
      </c>
      <c r="E1087" s="1" t="n">
        <v>3.95</v>
      </c>
      <c r="F1087" s="1" t="n">
        <v>0</v>
      </c>
      <c r="G1087" s="1" t="inlineStr">
        <is>
          <t>Unit</t>
        </is>
      </c>
      <c r="H1087" s="1" t="inlineStr">
        <is>
          <t>Accessories</t>
        </is>
      </c>
      <c r="I1087" s="1" t="inlineStr">
        <is>
          <t>-</t>
        </is>
      </c>
      <c r="J1087" t="n">
        <v>3.95</v>
      </c>
      <c r="K1087" t="n">
        <v>3.95</v>
      </c>
      <c r="L1087" t="n">
        <v>3.95</v>
      </c>
    </row>
    <row r="1088">
      <c r="A1088" s="1">
        <f>Hyperlink("https://www.wallsandfloors.co.uk/easy-gres-drill-bit-5-16-8-mm-set","Product")</f>
        <v/>
      </c>
      <c r="B1088" s="1" t="inlineStr">
        <is>
          <t>40411</t>
        </is>
      </c>
      <c r="C1088" s="1" t="inlineStr">
        <is>
          <t>EASYGRES Drill Bit 8mm Kit</t>
        </is>
      </c>
      <c r="D1088" s="1" t="inlineStr">
        <is>
          <t>8mm</t>
        </is>
      </c>
      <c r="E1088" s="1" t="n">
        <v>12.25</v>
      </c>
      <c r="F1088" s="1" t="n">
        <v>0</v>
      </c>
      <c r="G1088" s="1" t="inlineStr">
        <is>
          <t>Unit</t>
        </is>
      </c>
      <c r="H1088" s="1" t="inlineStr">
        <is>
          <t>Accessories</t>
        </is>
      </c>
      <c r="I1088" s="1" t="inlineStr">
        <is>
          <t>-</t>
        </is>
      </c>
      <c r="J1088" t="inlineStr"/>
      <c r="K1088" t="inlineStr"/>
      <c r="L1088" t="n">
        <v>12.25</v>
      </c>
    </row>
    <row r="1089">
      <c r="A1089" s="1">
        <f>Hyperlink("https://www.wallsandfloors.co.uk/easy-gres-drill-bit-5-16-8-mm","Product")</f>
        <v/>
      </c>
      <c r="B1089" s="1" t="inlineStr">
        <is>
          <t>40409</t>
        </is>
      </c>
      <c r="C1089" s="1" t="inlineStr">
        <is>
          <t>EASYGRES Drill Bit 8mm Kit</t>
        </is>
      </c>
      <c r="D1089" s="1" t="inlineStr">
        <is>
          <t>8mm</t>
        </is>
      </c>
      <c r="E1089" s="1" t="n">
        <v>4.55</v>
      </c>
      <c r="F1089" s="1" t="n">
        <v>0</v>
      </c>
      <c r="G1089" s="1" t="inlineStr">
        <is>
          <t>Unit</t>
        </is>
      </c>
      <c r="H1089" s="1" t="inlineStr">
        <is>
          <t>Accessories</t>
        </is>
      </c>
      <c r="I1089" s="1" t="inlineStr">
        <is>
          <t>-</t>
        </is>
      </c>
      <c r="J1089" t="n">
        <v>4.55</v>
      </c>
      <c r="K1089" t="n">
        <v>4.55</v>
      </c>
      <c r="L1089" t="n">
        <v>4.55</v>
      </c>
    </row>
    <row r="1090">
      <c r="A1090" s="1">
        <f>Hyperlink("https://www.wallsandfloors.co.uk/earthstone-cream-puzzle-tiles","Product")</f>
        <v/>
      </c>
      <c r="B1090" s="1" t="inlineStr">
        <is>
          <t>39718</t>
        </is>
      </c>
      <c r="C1090" s="1" t="inlineStr">
        <is>
          <t>Earthstone Cream Puzzle Tiles</t>
        </is>
      </c>
      <c r="D1090" s="1" t="inlineStr">
        <is>
          <t>600x300x9mm</t>
        </is>
      </c>
      <c r="E1090" s="1" t="n">
        <v>24.95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Matt</t>
        </is>
      </c>
      <c r="J1090" t="n">
        <v>24.95</v>
      </c>
      <c r="K1090" t="n">
        <v>24.95</v>
      </c>
      <c r="L1090" t="n">
        <v>24.95</v>
      </c>
    </row>
    <row r="1091">
      <c r="A1091" s="1">
        <f>Hyperlink("https://www.wallsandfloors.co.uk/dusk-tiles-58763","Product")</f>
        <v/>
      </c>
      <c r="B1091" s="1" t="inlineStr">
        <is>
          <t>43050</t>
        </is>
      </c>
      <c r="C1091" s="1" t="inlineStr">
        <is>
          <t>Dusk Tiles</t>
        </is>
      </c>
      <c r="D1091" s="1" t="inlineStr">
        <is>
          <t>452x452x10mm</t>
        </is>
      </c>
      <c r="E1091" s="1" t="n">
        <v>29.95</v>
      </c>
      <c r="F1091" s="1" t="n">
        <v>0</v>
      </c>
      <c r="G1091" s="1" t="inlineStr">
        <is>
          <t>SQM</t>
        </is>
      </c>
      <c r="H1091" s="1" t="inlineStr">
        <is>
          <t>Porcelain</t>
        </is>
      </c>
      <c r="I1091" s="1" t="inlineStr">
        <is>
          <t>Matt</t>
        </is>
      </c>
      <c r="J1091" t="n">
        <v>29.95</v>
      </c>
      <c r="K1091" t="inlineStr"/>
      <c r="L1091" t="n">
        <v>29.95</v>
      </c>
    </row>
    <row r="1092">
      <c r="A1092" s="1">
        <f>Hyperlink("https://www.wallsandfloors.co.uk/dusk-nordic-tiles","Product")</f>
        <v/>
      </c>
      <c r="B1092" s="1" t="inlineStr">
        <is>
          <t>43087</t>
        </is>
      </c>
      <c r="C1092" s="1" t="inlineStr">
        <is>
          <t>Dusk Nordic Tiles</t>
        </is>
      </c>
      <c r="D1092" s="1" t="inlineStr">
        <is>
          <t>452x452x10mm</t>
        </is>
      </c>
      <c r="E1092" s="1" t="n">
        <v>29.95</v>
      </c>
      <c r="F1092" s="1" t="n">
        <v>0</v>
      </c>
      <c r="G1092" s="1" t="inlineStr">
        <is>
          <t>SQM</t>
        </is>
      </c>
      <c r="H1092" s="1" t="inlineStr">
        <is>
          <t>Porcelain</t>
        </is>
      </c>
      <c r="I1092" s="1" t="inlineStr">
        <is>
          <t>Matt</t>
        </is>
      </c>
      <c r="J1092" t="inlineStr"/>
      <c r="K1092" t="n">
        <v>29.95</v>
      </c>
      <c r="L1092" t="n">
        <v>29.95</v>
      </c>
    </row>
    <row r="1093">
      <c r="A1093" s="1">
        <f>Hyperlink("https://www.wallsandfloors.co.uk/dusk-corolla-tiles","Product")</f>
        <v/>
      </c>
      <c r="B1093" s="1" t="inlineStr">
        <is>
          <t>43092</t>
        </is>
      </c>
      <c r="C1093" s="1" t="inlineStr">
        <is>
          <t>Dusk Corolla Tiles</t>
        </is>
      </c>
      <c r="D1093" s="1" t="inlineStr">
        <is>
          <t>452x452x10mm</t>
        </is>
      </c>
      <c r="E1093" s="1" t="n">
        <v>29.95</v>
      </c>
      <c r="F1093" s="1" t="n">
        <v>0</v>
      </c>
      <c r="G1093" s="1" t="inlineStr">
        <is>
          <t>SQM</t>
        </is>
      </c>
      <c r="H1093" s="1" t="inlineStr">
        <is>
          <t>Porcelain</t>
        </is>
      </c>
      <c r="I1093" s="1" t="inlineStr">
        <is>
          <t>Matt</t>
        </is>
      </c>
      <c r="J1093" t="inlineStr"/>
      <c r="K1093" t="n">
        <v>29.95</v>
      </c>
      <c r="L1093" t="n">
        <v>29.95</v>
      </c>
    </row>
    <row r="1094">
      <c r="A1094" s="1">
        <f>Hyperlink("https://www.wallsandfloors.co.uk/drygres-drill-bit-o-3-8-10-mm","Product")</f>
        <v/>
      </c>
      <c r="B1094" s="1" t="inlineStr">
        <is>
          <t>40416</t>
        </is>
      </c>
      <c r="C1094" s="1" t="inlineStr">
        <is>
          <t>DRYGRES Drill Bit 10mm</t>
        </is>
      </c>
      <c r="D1094" s="1" t="inlineStr">
        <is>
          <t>10mm</t>
        </is>
      </c>
      <c r="E1094" s="1" t="n">
        <v>22.45</v>
      </c>
      <c r="F1094" s="1" t="n">
        <v>0</v>
      </c>
      <c r="G1094" s="1" t="inlineStr">
        <is>
          <t>Unit</t>
        </is>
      </c>
      <c r="H1094" s="1" t="inlineStr">
        <is>
          <t>Accessories</t>
        </is>
      </c>
      <c r="I1094" s="1" t="inlineStr">
        <is>
          <t>-</t>
        </is>
      </c>
      <c r="J1094" t="n">
        <v>22.45</v>
      </c>
      <c r="K1094" t="inlineStr"/>
      <c r="L1094" t="n">
        <v>22.45</v>
      </c>
    </row>
    <row r="1095">
      <c r="A1095" s="1">
        <f>Hyperlink("https://www.wallsandfloors.co.uk/drygres-drill-bit-o-1-4-6-mm","Product")</f>
        <v/>
      </c>
      <c r="B1095" s="1" t="inlineStr">
        <is>
          <t>40415</t>
        </is>
      </c>
      <c r="C1095" s="1" t="inlineStr">
        <is>
          <t>DRYGRES Drill Bit 6mm</t>
        </is>
      </c>
      <c r="D1095" s="1" t="inlineStr">
        <is>
          <t>6mm</t>
        </is>
      </c>
      <c r="E1095" s="1" t="n">
        <v>18.45</v>
      </c>
      <c r="F1095" s="1" t="n">
        <v>0</v>
      </c>
      <c r="G1095" s="1" t="inlineStr"/>
      <c r="H1095" s="1" t="inlineStr">
        <is>
          <t>Accessories</t>
        </is>
      </c>
      <c r="I1095" s="1" t="inlineStr">
        <is>
          <t>-</t>
        </is>
      </c>
      <c r="J1095" t="n">
        <v>18.45</v>
      </c>
      <c r="K1095" t="inlineStr"/>
      <c r="L1095" t="n">
        <v>18.45</v>
      </c>
    </row>
    <row r="1096">
      <c r="A1096" s="1">
        <f>Hyperlink("https://www.wallsandfloors.co.uk/drygres-drill-bit-o-1-3-8-35-mm","Product")</f>
        <v/>
      </c>
      <c r="B1096" s="1" t="inlineStr">
        <is>
          <t>40406</t>
        </is>
      </c>
      <c r="C1096" s="1" t="inlineStr">
        <is>
          <t>DRYGRES Drill Bit 35mm</t>
        </is>
      </c>
      <c r="D1096" s="1" t="inlineStr">
        <is>
          <t>35mm</t>
        </is>
      </c>
      <c r="E1096" s="1" t="n">
        <v>61.75</v>
      </c>
      <c r="F1096" s="1" t="n">
        <v>0</v>
      </c>
      <c r="G1096" s="1" t="inlineStr">
        <is>
          <t>Unit</t>
        </is>
      </c>
      <c r="H1096" s="1" t="inlineStr">
        <is>
          <t>Accessories</t>
        </is>
      </c>
      <c r="I1096" s="1" t="inlineStr">
        <is>
          <t>-</t>
        </is>
      </c>
      <c r="J1096" t="inlineStr"/>
      <c r="K1096" t="n">
        <v>61.75</v>
      </c>
      <c r="L1096" t="n">
        <v>61.75</v>
      </c>
    </row>
    <row r="1097">
      <c r="A1097" s="1">
        <f>Hyperlink("https://www.wallsandfloors.co.uk/drygres-drill-bit-o-1-3-4-43-mm","Product")</f>
        <v/>
      </c>
      <c r="B1097" s="1" t="inlineStr">
        <is>
          <t>40407</t>
        </is>
      </c>
      <c r="C1097" s="1" t="inlineStr">
        <is>
          <t>DRYGRES Drill Bit 43mm</t>
        </is>
      </c>
      <c r="D1097" s="1" t="inlineStr">
        <is>
          <t>43mm</t>
        </is>
      </c>
      <c r="E1097" s="1" t="n">
        <v>64.45</v>
      </c>
      <c r="F1097" s="1" t="n">
        <v>0</v>
      </c>
      <c r="G1097" s="1" t="inlineStr">
        <is>
          <t>Unit</t>
        </is>
      </c>
      <c r="H1097" s="1" t="inlineStr">
        <is>
          <t>Accessories</t>
        </is>
      </c>
      <c r="I1097" s="1" t="inlineStr">
        <is>
          <t>-</t>
        </is>
      </c>
      <c r="J1097" t="inlineStr"/>
      <c r="K1097" t="n">
        <v>64.45</v>
      </c>
      <c r="L1097" t="n">
        <v>64.45</v>
      </c>
    </row>
    <row r="1098">
      <c r="A1098" s="1">
        <f>Hyperlink("https://www.wallsandfloors.co.uk/drygres-drill-bit-o-1-1-8-28-mm","Product")</f>
        <v/>
      </c>
      <c r="B1098" s="1" t="inlineStr">
        <is>
          <t>39622</t>
        </is>
      </c>
      <c r="C1098" s="1" t="inlineStr">
        <is>
          <t>DRYGRES Drill Bit 28mm</t>
        </is>
      </c>
      <c r="D1098" s="1" t="inlineStr">
        <is>
          <t>28mm</t>
        </is>
      </c>
      <c r="E1098" s="1" t="n">
        <v>47.95</v>
      </c>
      <c r="F1098" s="1" t="n">
        <v>0</v>
      </c>
      <c r="G1098" s="1" t="inlineStr">
        <is>
          <t>Unit</t>
        </is>
      </c>
      <c r="H1098" s="1" t="inlineStr">
        <is>
          <t>Metal</t>
        </is>
      </c>
      <c r="I1098" s="1" t="inlineStr">
        <is>
          <t>-</t>
        </is>
      </c>
      <c r="J1098" t="n">
        <v>47.95</v>
      </c>
      <c r="K1098" t="n">
        <v>47.95</v>
      </c>
      <c r="L1098" t="n">
        <v>47.95</v>
      </c>
    </row>
    <row r="1099">
      <c r="A1099" s="1">
        <f>Hyperlink("https://www.wallsandfloors.co.uk/drygres-drill-bit-3-4-20mm","Product")</f>
        <v/>
      </c>
      <c r="B1099" s="1" t="inlineStr">
        <is>
          <t>27382</t>
        </is>
      </c>
      <c r="C1099" s="1" t="inlineStr">
        <is>
          <t>Drygres Drill Bit 20mm</t>
        </is>
      </c>
      <c r="D1099" s="1" t="inlineStr">
        <is>
          <t>20mm</t>
        </is>
      </c>
      <c r="E1099" s="1" t="n">
        <v>47.95</v>
      </c>
      <c r="F1099" s="1" t="n">
        <v>0</v>
      </c>
      <c r="G1099" s="1" t="inlineStr">
        <is>
          <t>Unit</t>
        </is>
      </c>
      <c r="H1099" s="1" t="inlineStr">
        <is>
          <t>Accessories</t>
        </is>
      </c>
      <c r="I1099" s="1" t="inlineStr">
        <is>
          <t>-</t>
        </is>
      </c>
      <c r="J1099" t="n">
        <v>47.95</v>
      </c>
      <c r="K1099" t="n">
        <v>47.95</v>
      </c>
      <c r="L1099" t="n">
        <v>47.95</v>
      </c>
    </row>
    <row r="1100">
      <c r="A1100" s="1">
        <f>Hyperlink("https://www.wallsandfloors.co.uk/double-suction-cup","Product")</f>
        <v/>
      </c>
      <c r="B1100" s="1" t="inlineStr">
        <is>
          <t>40417</t>
        </is>
      </c>
      <c r="C1100" s="1" t="inlineStr">
        <is>
          <t>Double Suction Cup</t>
        </is>
      </c>
      <c r="D1100" s="1" t="inlineStr">
        <is>
          <t>1 Size</t>
        </is>
      </c>
      <c r="E1100" s="1" t="n">
        <v>45.95</v>
      </c>
      <c r="F1100" s="1" t="n">
        <v>0</v>
      </c>
      <c r="G1100" s="1" t="inlineStr">
        <is>
          <t>Unit</t>
        </is>
      </c>
      <c r="H1100" s="1" t="inlineStr">
        <is>
          <t>Tools</t>
        </is>
      </c>
      <c r="I1100" s="1" t="inlineStr">
        <is>
          <t>-</t>
        </is>
      </c>
      <c r="J1100" t="n">
        <v>45.95</v>
      </c>
      <c r="K1100" t="n">
        <v>45.95</v>
      </c>
      <c r="L1100" t="n">
        <v>45.95</v>
      </c>
    </row>
    <row r="1101">
      <c r="A1101" s="1">
        <f>Hyperlink("https://www.wallsandfloors.co.uk/dollymixx-plum-blush-terrazzo-tiles","Product")</f>
        <v/>
      </c>
      <c r="B1101" s="1" t="inlineStr">
        <is>
          <t>38598</t>
        </is>
      </c>
      <c r="C1101" s="1" t="inlineStr">
        <is>
          <t>Dollymixx Plum Blush Terrazzo Effect Tiles</t>
        </is>
      </c>
      <c r="D1101" s="1" t="inlineStr">
        <is>
          <t>185x185x8mm</t>
        </is>
      </c>
      <c r="E1101" s="1" t="n">
        <v>34.95</v>
      </c>
      <c r="F1101" s="1" t="n">
        <v>0</v>
      </c>
      <c r="G1101" s="1" t="inlineStr">
        <is>
          <t>SQM</t>
        </is>
      </c>
      <c r="H1101" s="1" t="inlineStr">
        <is>
          <t>Porcelain</t>
        </is>
      </c>
      <c r="I1101" s="1" t="inlineStr">
        <is>
          <t>Matt</t>
        </is>
      </c>
      <c r="J1101" t="inlineStr"/>
      <c r="K1101" t="n">
        <v>34.95</v>
      </c>
      <c r="L1101" t="n">
        <v>34.95</v>
      </c>
    </row>
    <row r="1102">
      <c r="A1102" s="1">
        <f>Hyperlink("https://www.wallsandfloors.co.uk/dollymixx-patina-dark-grey-terrazzo-tiles","Product")</f>
        <v/>
      </c>
      <c r="B1102" s="1" t="inlineStr">
        <is>
          <t>38595</t>
        </is>
      </c>
      <c r="C1102" s="1" t="inlineStr">
        <is>
          <t>Dollymixx Patina Dark Grey Terrazzo Tiles</t>
        </is>
      </c>
      <c r="D1102" s="1" t="inlineStr">
        <is>
          <t>185x185x8mm</t>
        </is>
      </c>
      <c r="E1102" s="1" t="n">
        <v>34.95</v>
      </c>
      <c r="F1102" s="1" t="n">
        <v>0</v>
      </c>
      <c r="G1102" s="1" t="inlineStr">
        <is>
          <t>SQM</t>
        </is>
      </c>
      <c r="H1102" s="1" t="inlineStr">
        <is>
          <t>Porcelain</t>
        </is>
      </c>
      <c r="I1102" s="1" t="inlineStr">
        <is>
          <t>Matt</t>
        </is>
      </c>
      <c r="J1102" t="n">
        <v>34.95</v>
      </c>
      <c r="K1102" t="n">
        <v>34.95</v>
      </c>
      <c r="L1102" t="n">
        <v>34.95</v>
      </c>
    </row>
    <row r="1103">
      <c r="A1103" s="1">
        <f>Hyperlink("https://www.wallsandfloors.co.uk/dollymixx-light-grey-moondust-terrazzo-tiles","Product")</f>
        <v/>
      </c>
      <c r="B1103" s="1" t="inlineStr">
        <is>
          <t>38597</t>
        </is>
      </c>
      <c r="C1103" s="1" t="inlineStr">
        <is>
          <t>Dollymixx Light Grey Moondust Terrazzo Tiles</t>
        </is>
      </c>
      <c r="D1103" s="1" t="inlineStr">
        <is>
          <t>185x185x8mm</t>
        </is>
      </c>
      <c r="E1103" s="1" t="n">
        <v>34.95</v>
      </c>
      <c r="F1103" s="1" t="n">
        <v>0</v>
      </c>
      <c r="G1103" s="1" t="inlineStr">
        <is>
          <t>SQM</t>
        </is>
      </c>
      <c r="H1103" s="1" t="inlineStr">
        <is>
          <t>Porcelain</t>
        </is>
      </c>
      <c r="I1103" s="1" t="inlineStr">
        <is>
          <t>Matt</t>
        </is>
      </c>
      <c r="J1103" t="inlineStr"/>
      <c r="K1103" t="n">
        <v>34.95</v>
      </c>
      <c r="L1103" t="n">
        <v>34.95</v>
      </c>
    </row>
    <row r="1104">
      <c r="A1104" s="1">
        <f>Hyperlink("https://www.wallsandfloors.co.uk/dollymixx-burmuda-dark-blue-terrazzo-tiles","Product")</f>
        <v/>
      </c>
      <c r="B1104" s="1" t="inlineStr">
        <is>
          <t>38594</t>
        </is>
      </c>
      <c r="C1104" s="1" t="inlineStr">
        <is>
          <t>Dollymixx Burmuda Dark Blue Terrazzo Effect Tiles</t>
        </is>
      </c>
      <c r="D1104" s="1" t="inlineStr">
        <is>
          <t>185x185x8mm</t>
        </is>
      </c>
      <c r="E1104" s="1" t="n">
        <v>34.95</v>
      </c>
      <c r="F1104" s="1" t="n">
        <v>0</v>
      </c>
      <c r="G1104" s="1" t="inlineStr">
        <is>
          <t>SQM</t>
        </is>
      </c>
      <c r="H1104" s="1" t="inlineStr">
        <is>
          <t>Porcelain</t>
        </is>
      </c>
      <c r="I1104" s="1" t="inlineStr">
        <is>
          <t>Matt</t>
        </is>
      </c>
      <c r="J1104" t="inlineStr"/>
      <c r="K1104" t="inlineStr"/>
      <c r="L1104" t="n">
        <v>34.95</v>
      </c>
    </row>
    <row r="1105">
      <c r="A1105" s="1">
        <f>Hyperlink("https://www.wallsandfloors.co.uk/dollymixx-bubblegum-light-blue-terrazzo-tiles","Product")</f>
        <v/>
      </c>
      <c r="B1105" s="1" t="inlineStr">
        <is>
          <t>38596</t>
        </is>
      </c>
      <c r="C1105" s="1" t="inlineStr">
        <is>
          <t>Dollymixx Bubblegum Light Blue Terrazzo Effect Tiles</t>
        </is>
      </c>
      <c r="D1105" s="1" t="inlineStr">
        <is>
          <t>185x185x8mm</t>
        </is>
      </c>
      <c r="E1105" s="1" t="n">
        <v>34.95</v>
      </c>
      <c r="F1105" s="1" t="n">
        <v>0</v>
      </c>
      <c r="G1105" s="1" t="inlineStr">
        <is>
          <t>SQM</t>
        </is>
      </c>
      <c r="H1105" s="1" t="inlineStr">
        <is>
          <t>Porcelain</t>
        </is>
      </c>
      <c r="I1105" s="1" t="inlineStr">
        <is>
          <t>Matt</t>
        </is>
      </c>
      <c r="J1105" t="n">
        <v>34.95</v>
      </c>
      <c r="K1105" t="n">
        <v>34.95</v>
      </c>
      <c r="L1105" t="n">
        <v>34.95</v>
      </c>
    </row>
    <row r="1106">
      <c r="A1106" s="1">
        <f>Hyperlink("https://www.wallsandfloors.co.uk/dollymixx-beige-shroom-terrazzo-tiles","Product")</f>
        <v/>
      </c>
      <c r="B1106" s="1" t="inlineStr">
        <is>
          <t>38593</t>
        </is>
      </c>
      <c r="C1106" s="1" t="inlineStr">
        <is>
          <t>Dollymixx Beige Shroom Terrazzo Tiles</t>
        </is>
      </c>
      <c r="D1106" s="1" t="inlineStr">
        <is>
          <t>185x185x8mm</t>
        </is>
      </c>
      <c r="E1106" s="1" t="n">
        <v>34.95</v>
      </c>
      <c r="F1106" s="1" t="n">
        <v>0</v>
      </c>
      <c r="G1106" s="1" t="inlineStr">
        <is>
          <t>SQM</t>
        </is>
      </c>
      <c r="H1106" s="1" t="inlineStr">
        <is>
          <t>Porcelain</t>
        </is>
      </c>
      <c r="I1106" s="1" t="inlineStr">
        <is>
          <t>Matt</t>
        </is>
      </c>
      <c r="J1106" t="n">
        <v>34.95</v>
      </c>
      <c r="K1106" t="n">
        <v>34.95</v>
      </c>
      <c r="L1106" t="n">
        <v>34.95</v>
      </c>
    </row>
    <row r="1107">
      <c r="A1107" s="1">
        <f>Hyperlink("https://www.wallsandfloors.co.uk/diamond-blades-200mm-cev-diamond-blade","Product")</f>
        <v/>
      </c>
      <c r="B1107" s="1" t="inlineStr">
        <is>
          <t>9180</t>
        </is>
      </c>
      <c r="C1107" s="1" t="inlineStr">
        <is>
          <t>200mm CEV Diamond Blade SuperPro</t>
        </is>
      </c>
      <c r="D1107" s="1" t="inlineStr">
        <is>
          <t>200mm</t>
        </is>
      </c>
      <c r="E1107" s="1" t="n">
        <v>89.45</v>
      </c>
      <c r="F1107" s="1" t="n">
        <v>0</v>
      </c>
      <c r="G1107" s="1" t="inlineStr">
        <is>
          <t>Unit</t>
        </is>
      </c>
      <c r="H1107" s="1" t="inlineStr">
        <is>
          <t>Spare Wheels and Parts</t>
        </is>
      </c>
      <c r="I1107" s="1" t="inlineStr">
        <is>
          <t>-</t>
        </is>
      </c>
      <c r="J1107" t="inlineStr"/>
      <c r="K1107" t="inlineStr"/>
      <c r="L1107" t="n">
        <v>89.45</v>
      </c>
    </row>
    <row r="1108">
      <c r="A1108" s="1">
        <f>Hyperlink("https://www.wallsandfloors.co.uk/diablo-travertine-effect-tiles-cream-stone-effect-tiles","Product")</f>
        <v/>
      </c>
      <c r="B1108" s="1" t="inlineStr">
        <is>
          <t>15288</t>
        </is>
      </c>
      <c r="C1108" s="1" t="inlineStr">
        <is>
          <t>Diablo Cream Travertine Effect Tiles</t>
        </is>
      </c>
      <c r="D1108" s="1" t="inlineStr">
        <is>
          <t>600x400x7.5mm</t>
        </is>
      </c>
      <c r="E1108" s="1" t="n">
        <v>20.95</v>
      </c>
      <c r="F1108" s="1" t="n">
        <v>0</v>
      </c>
      <c r="G1108" s="1" t="inlineStr">
        <is>
          <t>SQM</t>
        </is>
      </c>
      <c r="H1108" s="1" t="inlineStr">
        <is>
          <t>Porcelain</t>
        </is>
      </c>
      <c r="I1108" s="1" t="inlineStr">
        <is>
          <t>Matt</t>
        </is>
      </c>
      <c r="J1108" t="n">
        <v>20.95</v>
      </c>
      <c r="K1108" t="n">
        <v>20.95</v>
      </c>
      <c r="L1108" t="n">
        <v>20.95</v>
      </c>
    </row>
    <row r="1109">
      <c r="A1109" s="1">
        <f>Hyperlink("https://www.wallsandfloors.co.uk/devine-whites-tiles-satin-white-wall-60x30-tiles","Product")</f>
        <v/>
      </c>
      <c r="B1109" s="1" t="inlineStr">
        <is>
          <t>13345</t>
        </is>
      </c>
      <c r="C1109" s="1" t="inlineStr">
        <is>
          <t>Devine Satin White Wall Tiles</t>
        </is>
      </c>
      <c r="D1109" s="1" t="inlineStr">
        <is>
          <t>600x300x10mm</t>
        </is>
      </c>
      <c r="E1109" s="1" t="n">
        <v>19.95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Satin</t>
        </is>
      </c>
      <c r="J1109" t="n">
        <v>19.95</v>
      </c>
      <c r="K1109" t="inlineStr"/>
      <c r="L1109" t="n">
        <v>19.95</v>
      </c>
    </row>
    <row r="1110">
      <c r="A1110" s="1">
        <f>Hyperlink("https://www.wallsandfloors.co.uk/dark-green-strip-150x25mm-tiles","Product")</f>
        <v/>
      </c>
      <c r="B1110" s="1" t="inlineStr">
        <is>
          <t>990243</t>
        </is>
      </c>
      <c r="C1110" s="1" t="inlineStr">
        <is>
          <t>Dark Green Strip Tiles</t>
        </is>
      </c>
      <c r="D1110" s="1" t="inlineStr">
        <is>
          <t>150x25x9-10mm</t>
        </is>
      </c>
      <c r="E1110" s="1" t="n">
        <v>2.37</v>
      </c>
      <c r="F1110" s="1" t="n">
        <v>0</v>
      </c>
      <c r="G1110" s="1" t="inlineStr">
        <is>
          <t>SQM</t>
        </is>
      </c>
      <c r="H1110" s="1" t="inlineStr">
        <is>
          <t>Porcelain</t>
        </is>
      </c>
      <c r="I1110" s="1" t="inlineStr">
        <is>
          <t>Matt</t>
        </is>
      </c>
      <c r="J1110" t="n">
        <v>2.37</v>
      </c>
      <c r="K1110" t="inlineStr"/>
      <c r="L1110" t="n">
        <v>2.37</v>
      </c>
    </row>
    <row r="1111">
      <c r="A1111" s="1">
        <f>Hyperlink("https://www.wallsandfloors.co.uk/dark-green-squares-70mm-tiles","Product")</f>
        <v/>
      </c>
      <c r="B1111" s="1" t="inlineStr">
        <is>
          <t>990058</t>
        </is>
      </c>
      <c r="C1111" s="1" t="inlineStr">
        <is>
          <t>Dark Green Squares 70mm Tiles</t>
        </is>
      </c>
      <c r="D1111" s="1" t="inlineStr">
        <is>
          <t>70x70x9-10mm</t>
        </is>
      </c>
      <c r="E1111" s="1" t="n">
        <v>0.85</v>
      </c>
      <c r="F1111" s="1" t="n">
        <v>0</v>
      </c>
      <c r="G1111" s="1" t="inlineStr">
        <is>
          <t>SQM</t>
        </is>
      </c>
      <c r="H1111" s="1" t="inlineStr">
        <is>
          <t>Porcelain</t>
        </is>
      </c>
      <c r="I1111" s="1" t="inlineStr">
        <is>
          <t>Matt</t>
        </is>
      </c>
      <c r="J1111" t="n">
        <v>0.85</v>
      </c>
      <c r="K1111" t="n">
        <v>0.85</v>
      </c>
      <c r="L1111" t="n">
        <v>0.85</v>
      </c>
    </row>
    <row r="1112">
      <c r="A1112" s="1">
        <f>Hyperlink("https://www.wallsandfloors.co.uk/dark-green-squares-50mm-tiles","Product")</f>
        <v/>
      </c>
      <c r="B1112" s="1" t="inlineStr">
        <is>
          <t>990083</t>
        </is>
      </c>
      <c r="C1112" s="1" t="inlineStr">
        <is>
          <t>Dark Green Squares 50mm Tiles</t>
        </is>
      </c>
      <c r="D1112" s="1" t="inlineStr">
        <is>
          <t>50x50x9-10mm</t>
        </is>
      </c>
      <c r="E1112" s="1" t="n">
        <v>0.67</v>
      </c>
      <c r="F1112" s="1" t="n">
        <v>0</v>
      </c>
      <c r="G1112" s="1" t="inlineStr">
        <is>
          <t>SQM</t>
        </is>
      </c>
      <c r="H1112" s="1" t="inlineStr">
        <is>
          <t>Porcelain</t>
        </is>
      </c>
      <c r="I1112" s="1" t="inlineStr">
        <is>
          <t>Matt</t>
        </is>
      </c>
      <c r="J1112" t="n">
        <v>0.67</v>
      </c>
      <c r="K1112" t="inlineStr"/>
      <c r="L1112" t="n">
        <v>0.67</v>
      </c>
    </row>
    <row r="1113">
      <c r="A1113" s="1">
        <f>Hyperlink("https://www.wallsandfloors.co.uk/dark-green-squares-150mm-tiles","Product")</f>
        <v/>
      </c>
      <c r="B1113" s="1" t="inlineStr">
        <is>
          <t>990021</t>
        </is>
      </c>
      <c r="C1113" s="1" t="inlineStr">
        <is>
          <t>Dark Green Squares Tiles</t>
        </is>
      </c>
      <c r="D1113" s="1" t="inlineStr">
        <is>
          <t>150x150x9-10mm</t>
        </is>
      </c>
      <c r="E1113" s="1" t="n">
        <v>2.66</v>
      </c>
      <c r="F1113" s="1" t="n">
        <v>0</v>
      </c>
      <c r="G1113" s="1" t="inlineStr">
        <is>
          <t>SQM</t>
        </is>
      </c>
      <c r="H1113" s="1" t="inlineStr">
        <is>
          <t>Porcelain</t>
        </is>
      </c>
      <c r="I1113" s="1" t="inlineStr">
        <is>
          <t>Matt</t>
        </is>
      </c>
      <c r="J1113" t="n">
        <v>2.66</v>
      </c>
      <c r="K1113" t="n">
        <v>2.66</v>
      </c>
      <c r="L1113" t="n">
        <v>2.66</v>
      </c>
    </row>
    <row r="1114">
      <c r="A1114" s="1">
        <f>Hyperlink("https://www.wallsandfloors.co.uk/cpc2-10-diamond-250mm-porcelain-tile-diamond-blade","Product")</f>
        <v/>
      </c>
      <c r="B1114" s="1" t="inlineStr">
        <is>
          <t>27521</t>
        </is>
      </c>
      <c r="C1114" s="1" t="inlineStr">
        <is>
          <t>CPC 250mm 10" Porcelain Tile Diamond Blade</t>
        </is>
      </c>
      <c r="D1114" s="1" t="inlineStr">
        <is>
          <t>250mm</t>
        </is>
      </c>
      <c r="E1114" s="1" t="n">
        <v>77.45</v>
      </c>
      <c r="F1114" s="1" t="n">
        <v>0</v>
      </c>
      <c r="G1114" s="1" t="inlineStr">
        <is>
          <t>Unit</t>
        </is>
      </c>
      <c r="H1114" s="1" t="inlineStr">
        <is>
          <t>Accessories</t>
        </is>
      </c>
      <c r="I1114" s="1" t="inlineStr">
        <is>
          <t>-</t>
        </is>
      </c>
      <c r="J1114" t="n">
        <v>77.45</v>
      </c>
      <c r="K1114" t="n">
        <v>77.45</v>
      </c>
      <c r="L1114" t="n">
        <v>77.45</v>
      </c>
    </row>
    <row r="1115">
      <c r="A1115" s="1">
        <f>Hyperlink("https://www.wallsandfloors.co.uk/cpa180-wheel-hard-materials-diamond-blade","Product")</f>
        <v/>
      </c>
      <c r="B1115" s="1" t="inlineStr">
        <is>
          <t>27512</t>
        </is>
      </c>
      <c r="C1115" s="1" t="inlineStr">
        <is>
          <t>CPA 180mm Hard Materials Diamond Blade</t>
        </is>
      </c>
      <c r="D1115" s="1" t="n">
        <v>1</v>
      </c>
      <c r="E1115" s="1" t="n">
        <v>62.89</v>
      </c>
      <c r="F1115" s="1" t="n">
        <v>0</v>
      </c>
      <c r="G1115" s="1" t="inlineStr">
        <is>
          <t>Unit</t>
        </is>
      </c>
      <c r="H1115" s="1" t="inlineStr">
        <is>
          <t>Accessories</t>
        </is>
      </c>
      <c r="I1115" s="1" t="inlineStr">
        <is>
          <t>-</t>
        </is>
      </c>
      <c r="J1115" t="n">
        <v>62.89</v>
      </c>
      <c r="K1115" t="inlineStr"/>
      <c r="L1115" t="n">
        <v>62.89</v>
      </c>
    </row>
    <row r="1116">
      <c r="A1116" s="1">
        <f>Hyperlink("https://www.wallsandfloors.co.uk/cpa-blade-200mm-hard-materials-diamond-blade","Product")</f>
        <v/>
      </c>
      <c r="B1116" s="1" t="inlineStr">
        <is>
          <t>27513</t>
        </is>
      </c>
      <c r="C1116" s="1" t="inlineStr">
        <is>
          <t>CPA 200mm Hard Materials Diamond Blade</t>
        </is>
      </c>
      <c r="D1116" s="1" t="inlineStr">
        <is>
          <t>200mm</t>
        </is>
      </c>
      <c r="E1116" s="1" t="n">
        <v>72.75</v>
      </c>
      <c r="F1116" s="1" t="n">
        <v>0</v>
      </c>
      <c r="G1116" s="1" t="inlineStr">
        <is>
          <t>Unit</t>
        </is>
      </c>
      <c r="H1116" s="1" t="inlineStr">
        <is>
          <t>Accessories</t>
        </is>
      </c>
      <c r="I1116" s="1" t="inlineStr">
        <is>
          <t>-</t>
        </is>
      </c>
      <c r="J1116" t="inlineStr"/>
      <c r="K1116" t="n">
        <v>72.75</v>
      </c>
      <c r="L1116" t="n">
        <v>72.75</v>
      </c>
    </row>
    <row r="1117">
      <c r="A1117" s="1">
        <f>Hyperlink("https://www.wallsandfloors.co.uk/cpa-250-superpro-hard-materials-diamond-blade","Product")</f>
        <v/>
      </c>
      <c r="B1117" s="1" t="inlineStr">
        <is>
          <t>40400</t>
        </is>
      </c>
      <c r="C1117" s="1" t="inlineStr">
        <is>
          <t>CPA 250mm Super Pro Hard Materials Diamond Blade</t>
        </is>
      </c>
      <c r="D1117" s="1" t="inlineStr">
        <is>
          <t>250mm</t>
        </is>
      </c>
      <c r="E1117" s="1" t="n">
        <v>132.45</v>
      </c>
      <c r="F1117" s="1" t="n">
        <v>0</v>
      </c>
      <c r="G1117" s="1" t="inlineStr">
        <is>
          <t>Unit</t>
        </is>
      </c>
      <c r="H1117" s="1" t="inlineStr">
        <is>
          <t>Accessories</t>
        </is>
      </c>
      <c r="I1117" s="1" t="inlineStr">
        <is>
          <t>-</t>
        </is>
      </c>
      <c r="J1117" t="n">
        <v>132.45</v>
      </c>
      <c r="K1117" t="inlineStr"/>
      <c r="L1117" t="n">
        <v>132.45</v>
      </c>
    </row>
    <row r="1118">
      <c r="A1118" s="1">
        <f>Hyperlink("https://www.wallsandfloors.co.uk/courtyard-slate-silver-peony-slate-effect-mosaic-tiles","Product")</f>
        <v/>
      </c>
      <c r="B1118" s="1" t="inlineStr">
        <is>
          <t>24752</t>
        </is>
      </c>
      <c r="C1118" s="1" t="inlineStr">
        <is>
          <t>Courtyard Silver Peony Slate Effect Mosaic Tiles</t>
        </is>
      </c>
      <c r="D1118" s="1" t="inlineStr">
        <is>
          <t>297x297x7.5mm</t>
        </is>
      </c>
      <c r="E1118" s="1" t="n">
        <v>7.95</v>
      </c>
      <c r="F1118" s="1" t="n">
        <v>0</v>
      </c>
      <c r="G1118" s="1" t="inlineStr">
        <is>
          <t>Sheet</t>
        </is>
      </c>
      <c r="H1118" s="1" t="inlineStr">
        <is>
          <t>Porcelain</t>
        </is>
      </c>
      <c r="I1118" s="1" t="inlineStr">
        <is>
          <t>Matt</t>
        </is>
      </c>
      <c r="J1118" t="n">
        <v>7.95</v>
      </c>
      <c r="K1118" t="inlineStr"/>
      <c r="L1118" t="n">
        <v>7.95</v>
      </c>
    </row>
    <row r="1119">
      <c r="A1119" s="1">
        <f>Hyperlink("https://www.wallsandfloors.co.uk/courtyard-slate-perle-noir-slate-effect-tiles","Product")</f>
        <v/>
      </c>
      <c r="B1119" s="1" t="inlineStr">
        <is>
          <t>24747</t>
        </is>
      </c>
      <c r="C1119" s="1" t="inlineStr">
        <is>
          <t>Courtyard Perle Noir Slate Effect Tiles</t>
        </is>
      </c>
      <c r="D1119" s="1" t="inlineStr">
        <is>
          <t>598x297x7.5mm</t>
        </is>
      </c>
      <c r="E1119" s="1" t="n">
        <v>14.95</v>
      </c>
      <c r="F1119" s="1" t="n">
        <v>0</v>
      </c>
      <c r="G1119" s="1" t="inlineStr">
        <is>
          <t>SQM</t>
        </is>
      </c>
      <c r="H1119" s="1" t="inlineStr">
        <is>
          <t>Porcelain</t>
        </is>
      </c>
      <c r="I1119" s="1" t="inlineStr">
        <is>
          <t>Matt</t>
        </is>
      </c>
      <c r="J1119" t="inlineStr"/>
      <c r="K1119" t="n">
        <v>14.95</v>
      </c>
      <c r="L1119" t="n">
        <v>14.95</v>
      </c>
    </row>
    <row r="1120">
      <c r="A1120" s="1">
        <f>Hyperlink("https://www.wallsandfloors.co.uk/courtyard-slate-perle-noir-slate-effect-mosaic-tiles","Product")</f>
        <v/>
      </c>
      <c r="B1120" s="1" t="inlineStr">
        <is>
          <t>24748</t>
        </is>
      </c>
      <c r="C1120" s="1" t="inlineStr">
        <is>
          <t>Courtyard Perle Noir Slate Effect Mosaic Tiles</t>
        </is>
      </c>
      <c r="D1120" s="1" t="inlineStr">
        <is>
          <t>297x297x7.5mm</t>
        </is>
      </c>
      <c r="E1120" s="1" t="n">
        <v>7.95</v>
      </c>
      <c r="F1120" s="1" t="n">
        <v>0</v>
      </c>
      <c r="G1120" s="1" t="inlineStr">
        <is>
          <t>Sheet</t>
        </is>
      </c>
      <c r="H1120" s="1" t="inlineStr">
        <is>
          <t>Porcelain</t>
        </is>
      </c>
      <c r="I1120" s="1" t="inlineStr">
        <is>
          <t>Matt</t>
        </is>
      </c>
      <c r="J1120" t="n">
        <v>7.95</v>
      </c>
      <c r="K1120" t="n">
        <v>7.95</v>
      </c>
      <c r="L1120" t="n">
        <v>7.95</v>
      </c>
    </row>
    <row r="1121">
      <c r="A1121" s="1">
        <f>Hyperlink("https://www.wallsandfloors.co.uk/country-farmhouse-multicolour-slate-tiles-multicolour-slate-60x40-tiles","Product")</f>
        <v/>
      </c>
      <c r="B1121" s="1" t="inlineStr">
        <is>
          <t>12113</t>
        </is>
      </c>
      <c r="C1121" s="1" t="inlineStr">
        <is>
          <t>Country Farmhouse Multicolour Slate Tiles</t>
        </is>
      </c>
      <c r="D1121" s="1" t="inlineStr">
        <is>
          <t>600x400x7-12mm</t>
        </is>
      </c>
      <c r="E1121" s="1" t="n">
        <v>25.95</v>
      </c>
      <c r="F1121" s="1" t="n">
        <v>0</v>
      </c>
      <c r="G1121" s="1" t="inlineStr">
        <is>
          <t>SQM</t>
        </is>
      </c>
      <c r="H1121" s="1" t="inlineStr">
        <is>
          <t>Slate</t>
        </is>
      </c>
      <c r="I1121" s="1" t="inlineStr">
        <is>
          <t>Matt</t>
        </is>
      </c>
      <c r="J1121" t="inlineStr"/>
      <c r="K1121" t="n">
        <v>25.95</v>
      </c>
      <c r="L1121" t="n">
        <v>25.95</v>
      </c>
    </row>
    <row r="1122">
      <c r="A1122" s="1">
        <f>Hyperlink("https://www.wallsandfloors.co.uk/cotton-soft-white-tiles","Product")</f>
        <v/>
      </c>
      <c r="B1122" s="1" t="inlineStr">
        <is>
          <t>38434</t>
        </is>
      </c>
      <c r="C1122" s="1" t="inlineStr">
        <is>
          <t>Cotton Soft White Tiles</t>
        </is>
      </c>
      <c r="D1122" s="1" t="inlineStr">
        <is>
          <t>300x200x8mm</t>
        </is>
      </c>
      <c r="E1122" s="1" t="n">
        <v>30.95</v>
      </c>
      <c r="F1122" s="1" t="n">
        <v>0</v>
      </c>
      <c r="G1122" s="1" t="inlineStr">
        <is>
          <t>SQM</t>
        </is>
      </c>
      <c r="H1122" s="1" t="inlineStr">
        <is>
          <t>Ceramic</t>
        </is>
      </c>
      <c r="I1122" s="1" t="inlineStr">
        <is>
          <t>Satin</t>
        </is>
      </c>
      <c r="J1122" t="n">
        <v>30.95</v>
      </c>
      <c r="K1122" t="n">
        <v>30.95</v>
      </c>
      <c r="L1122" t="n">
        <v>30.95</v>
      </c>
    </row>
    <row r="1123">
      <c r="A1123" s="1">
        <f>Hyperlink("https://www.wallsandfloors.co.uk/cotton-soft-taupe-tiles","Product")</f>
        <v/>
      </c>
      <c r="B1123" s="1" t="inlineStr">
        <is>
          <t>38435</t>
        </is>
      </c>
      <c r="C1123" s="1" t="inlineStr">
        <is>
          <t>Cotton Soft Taupe Tiles</t>
        </is>
      </c>
      <c r="D1123" s="1" t="inlineStr">
        <is>
          <t>300x200x8mm</t>
        </is>
      </c>
      <c r="E1123" s="1" t="n">
        <v>30.95</v>
      </c>
      <c r="F1123" s="1" t="n">
        <v>0</v>
      </c>
      <c r="G1123" s="1" t="inlineStr">
        <is>
          <t>SQM</t>
        </is>
      </c>
      <c r="H1123" s="1" t="inlineStr">
        <is>
          <t>Ceramic</t>
        </is>
      </c>
      <c r="I1123" s="1" t="inlineStr">
        <is>
          <t>Satin</t>
        </is>
      </c>
      <c r="J1123" t="n">
        <v>30.95</v>
      </c>
      <c r="K1123" t="inlineStr"/>
      <c r="L1123" t="n">
        <v>30.95</v>
      </c>
    </row>
    <row r="1124">
      <c r="A1124" s="1">
        <f>Hyperlink("https://www.wallsandfloors.co.uk/cotton-soft-grey-tiles","Product")</f>
        <v/>
      </c>
      <c r="B1124" s="1" t="inlineStr">
        <is>
          <t>38436</t>
        </is>
      </c>
      <c r="C1124" s="1" t="inlineStr">
        <is>
          <t>Cotton Soft Grey Tiles</t>
        </is>
      </c>
      <c r="D1124" s="1" t="inlineStr">
        <is>
          <t>300x200x8mm</t>
        </is>
      </c>
      <c r="E1124" s="1" t="n">
        <v>30.95</v>
      </c>
      <c r="F1124" s="1" t="n">
        <v>0</v>
      </c>
      <c r="G1124" s="1" t="inlineStr">
        <is>
          <t>SQM</t>
        </is>
      </c>
      <c r="H1124" s="1" t="inlineStr">
        <is>
          <t>Ceramic</t>
        </is>
      </c>
      <c r="I1124" s="1" t="inlineStr">
        <is>
          <t>Satin</t>
        </is>
      </c>
      <c r="J1124" t="n">
        <v>30.95</v>
      </c>
      <c r="K1124" t="n">
        <v>30.95</v>
      </c>
      <c r="L1124" t="n">
        <v>30.95</v>
      </c>
    </row>
    <row r="1125">
      <c r="A1125" s="1">
        <f>Hyperlink("https://www.wallsandfloors.co.uk/coton-white-gloss-tiles","Product")</f>
        <v/>
      </c>
      <c r="B1125" s="1" t="inlineStr">
        <is>
          <t>15156</t>
        </is>
      </c>
      <c r="C1125" s="1" t="inlineStr">
        <is>
          <t>Cotton Bone Metro Tiles</t>
        </is>
      </c>
      <c r="D1125" s="1" t="inlineStr">
        <is>
          <t>300x100x8mm</t>
        </is>
      </c>
      <c r="E1125" s="1" t="n">
        <v>25.95</v>
      </c>
      <c r="F1125" s="1" t="n">
        <v>0</v>
      </c>
      <c r="G1125" s="1" t="inlineStr">
        <is>
          <t>SQM</t>
        </is>
      </c>
      <c r="H1125" s="1" t="inlineStr">
        <is>
          <t>Ceramic</t>
        </is>
      </c>
      <c r="I1125" s="1" t="inlineStr">
        <is>
          <t>Gloss</t>
        </is>
      </c>
      <c r="J1125" t="n">
        <v>25.95</v>
      </c>
      <c r="K1125" t="n">
        <v>25.95</v>
      </c>
      <c r="L1125" t="n">
        <v>25.95</v>
      </c>
    </row>
    <row r="1126">
      <c r="A1126" s="1">
        <f>Hyperlink("https://www.wallsandfloors.co.uk/contour-shadow-hexagon-tiles","Product")</f>
        <v/>
      </c>
      <c r="B1126" s="1" t="inlineStr">
        <is>
          <t>14521</t>
        </is>
      </c>
      <c r="C1126" s="1" t="inlineStr">
        <is>
          <t>Contour Shadow Hexagon Tiles</t>
        </is>
      </c>
      <c r="D1126" s="1" t="inlineStr">
        <is>
          <t>330x285x9mm</t>
        </is>
      </c>
      <c r="E1126" s="1" t="n">
        <v>33.95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Matt</t>
        </is>
      </c>
      <c r="J1126" t="n">
        <v>33.95</v>
      </c>
      <c r="K1126" t="inlineStr"/>
      <c r="L1126" t="n">
        <v>33.95</v>
      </c>
    </row>
    <row r="1127">
      <c r="A1127" s="1">
        <f>Hyperlink("https://www.wallsandfloors.co.uk/concrete-natural-20x20-matt-decor-tiles","Product")</f>
        <v/>
      </c>
      <c r="B1127" s="1" t="inlineStr">
        <is>
          <t>43879</t>
        </is>
      </c>
      <c r="C1127" s="1" t="inlineStr">
        <is>
          <t>Ritz Concrete Natural Matt Decor Tiles</t>
        </is>
      </c>
      <c r="D1127" s="1" t="inlineStr">
        <is>
          <t>200x200x8.5mm</t>
        </is>
      </c>
      <c r="E1127" s="1" t="n">
        <v>40.95</v>
      </c>
      <c r="F1127" s="1" t="n">
        <v>0</v>
      </c>
      <c r="G1127" s="1" t="inlineStr">
        <is>
          <t>SQM</t>
        </is>
      </c>
      <c r="H1127" s="1" t="inlineStr">
        <is>
          <t>Porcelain</t>
        </is>
      </c>
      <c r="I1127" s="1" t="inlineStr">
        <is>
          <t>Matt</t>
        </is>
      </c>
      <c r="J1127" t="n">
        <v>40.95</v>
      </c>
      <c r="K1127" t="inlineStr"/>
      <c r="L1127" t="n">
        <v>40.95</v>
      </c>
    </row>
    <row r="1128">
      <c r="A1128" s="1">
        <f>Hyperlink("https://www.wallsandfloors.co.uk/coimbra-tiles-large-dune-tiles","Product")</f>
        <v/>
      </c>
      <c r="B1128" s="1" t="inlineStr">
        <is>
          <t>12126</t>
        </is>
      </c>
      <c r="C1128" s="1" t="inlineStr">
        <is>
          <t>Coimbra Dune Cream Stone Effect Tiles</t>
        </is>
      </c>
      <c r="D1128" s="1" t="inlineStr">
        <is>
          <t>600x600x9mm</t>
        </is>
      </c>
      <c r="E1128" s="1" t="n">
        <v>18.95</v>
      </c>
      <c r="F1128" s="1" t="n">
        <v>0</v>
      </c>
      <c r="G1128" s="1" t="inlineStr">
        <is>
          <t>SQM</t>
        </is>
      </c>
      <c r="H1128" s="1" t="inlineStr">
        <is>
          <t>Porcelain</t>
        </is>
      </c>
      <c r="I1128" s="1" t="inlineStr">
        <is>
          <t>Matt</t>
        </is>
      </c>
      <c r="J1128" t="n">
        <v>18.95</v>
      </c>
      <c r="K1128" t="n">
        <v>18.95</v>
      </c>
      <c r="L1128" t="n">
        <v>18.95</v>
      </c>
    </row>
    <row r="1129">
      <c r="A1129" s="1">
        <f>Hyperlink("https://www.wallsandfloors.co.uk/cognac-triangle-70x70x100mm-tiles","Product")</f>
        <v/>
      </c>
      <c r="B1129" s="1" t="inlineStr">
        <is>
          <t>990191</t>
        </is>
      </c>
      <c r="C1129" s="1" t="inlineStr">
        <is>
          <t>Cognac Triangle 70x70x100mm Tiles</t>
        </is>
      </c>
      <c r="D1129" s="1" t="inlineStr">
        <is>
          <t>70x70x100mm</t>
        </is>
      </c>
      <c r="E1129" s="1" t="n">
        <v>2.21</v>
      </c>
      <c r="F1129" s="1" t="n">
        <v>0</v>
      </c>
      <c r="G1129" s="1" t="inlineStr">
        <is>
          <t>SQM</t>
        </is>
      </c>
      <c r="H1129" s="1" t="inlineStr">
        <is>
          <t>Porcelain</t>
        </is>
      </c>
      <c r="I1129" s="1" t="inlineStr">
        <is>
          <t>Matt</t>
        </is>
      </c>
      <c r="J1129" t="inlineStr"/>
      <c r="K1129" t="n">
        <v>2.21</v>
      </c>
      <c r="L1129" t="n">
        <v>2.21</v>
      </c>
    </row>
    <row r="1130">
      <c r="A1130" s="1">
        <f>Hyperlink("https://www.wallsandfloors.co.uk/cognac-triangle-100x100x140mm-tiles","Product")</f>
        <v/>
      </c>
      <c r="B1130" s="1" t="inlineStr">
        <is>
          <t>990216</t>
        </is>
      </c>
      <c r="C1130" s="1" t="inlineStr">
        <is>
          <t>Cognac Triangle Tiles</t>
        </is>
      </c>
      <c r="D1130" s="1" t="inlineStr">
        <is>
          <t>100x100x1400mm</t>
        </is>
      </c>
      <c r="E1130" s="1" t="n">
        <v>3.38</v>
      </c>
      <c r="F1130" s="1" t="n">
        <v>0</v>
      </c>
      <c r="G1130" s="1" t="inlineStr">
        <is>
          <t>SQM</t>
        </is>
      </c>
      <c r="H1130" s="1" t="inlineStr">
        <is>
          <t>Porcelain</t>
        </is>
      </c>
      <c r="I1130" s="1" t="inlineStr">
        <is>
          <t>Matt</t>
        </is>
      </c>
      <c r="J1130" t="n">
        <v>3.38</v>
      </c>
      <c r="K1130" t="n">
        <v>3.38</v>
      </c>
      <c r="L1130" t="n">
        <v>3.38</v>
      </c>
    </row>
    <row r="1131">
      <c r="A1131" s="1">
        <f>Hyperlink("https://www.wallsandfloors.co.uk/cognac-strip-150x50mm-tiles","Product")</f>
        <v/>
      </c>
      <c r="B1131" s="1" t="inlineStr">
        <is>
          <t>990266</t>
        </is>
      </c>
      <c r="C1131" s="1" t="inlineStr">
        <is>
          <t>Cognac Strip Tiles</t>
        </is>
      </c>
      <c r="D1131" s="1" t="inlineStr">
        <is>
          <t>150x50x9-10mm</t>
        </is>
      </c>
      <c r="E1131" s="1" t="n">
        <v>4.55</v>
      </c>
      <c r="F1131" s="1" t="n">
        <v>0</v>
      </c>
      <c r="G1131" s="1" t="inlineStr"/>
      <c r="H1131" s="1" t="inlineStr">
        <is>
          <t>Porcelain</t>
        </is>
      </c>
      <c r="I1131" s="1" t="inlineStr">
        <is>
          <t>Matt</t>
        </is>
      </c>
      <c r="J1131" t="inlineStr"/>
      <c r="K1131" t="n">
        <v>4.55</v>
      </c>
      <c r="L1131" t="n">
        <v>4.55</v>
      </c>
    </row>
    <row r="1132">
      <c r="A1132" s="1">
        <f>Hyperlink("https://www.wallsandfloors.co.uk/cognac-strip-150x25mm-tiles","Product")</f>
        <v/>
      </c>
      <c r="B1132" s="1" t="inlineStr">
        <is>
          <t>990241</t>
        </is>
      </c>
      <c r="C1132" s="1" t="inlineStr">
        <is>
          <t>Cognac Strip Tiles</t>
        </is>
      </c>
      <c r="D1132" s="1" t="inlineStr">
        <is>
          <t>150x25x9-10mm</t>
        </is>
      </c>
      <c r="E1132" s="1" t="n">
        <v>1.13</v>
      </c>
      <c r="F1132" s="1" t="n">
        <v>0</v>
      </c>
      <c r="G1132" s="1" t="inlineStr">
        <is>
          <t>SQM</t>
        </is>
      </c>
      <c r="H1132" s="1" t="inlineStr">
        <is>
          <t>Porcelain</t>
        </is>
      </c>
      <c r="I1132" s="1" t="inlineStr">
        <is>
          <t>Matt</t>
        </is>
      </c>
      <c r="J1132" t="n">
        <v>1.13</v>
      </c>
      <c r="K1132" t="n">
        <v>1.13</v>
      </c>
      <c r="L1132" t="n">
        <v>1.13</v>
      </c>
    </row>
    <row r="1133">
      <c r="A1133" s="1">
        <f>Hyperlink("https://www.wallsandfloors.co.uk/cognac-squares-70mm-tiles","Product")</f>
        <v/>
      </c>
      <c r="B1133" s="1" t="inlineStr">
        <is>
          <t>990056</t>
        </is>
      </c>
      <c r="C1133" s="1" t="inlineStr">
        <is>
          <t>Cognac Squares 70mm Tiles</t>
        </is>
      </c>
      <c r="D1133" s="1" t="inlineStr">
        <is>
          <t>70x70x9-10mm</t>
        </is>
      </c>
      <c r="E1133" s="1" t="n">
        <v>1.3</v>
      </c>
      <c r="F1133" s="1" t="n">
        <v>0</v>
      </c>
      <c r="G1133" s="1" t="inlineStr">
        <is>
          <t>SQM</t>
        </is>
      </c>
      <c r="H1133" s="1" t="inlineStr">
        <is>
          <t>Porcelain</t>
        </is>
      </c>
      <c r="I1133" s="1" t="inlineStr">
        <is>
          <t>Matt</t>
        </is>
      </c>
      <c r="J1133" t="n">
        <v>1.3</v>
      </c>
      <c r="K1133" t="inlineStr"/>
      <c r="L1133" t="n">
        <v>1.3</v>
      </c>
    </row>
    <row r="1134">
      <c r="A1134" s="1">
        <f>Hyperlink("https://www.wallsandfloors.co.uk/cognac-squares-50mm-tiles","Product")</f>
        <v/>
      </c>
      <c r="B1134" s="1" t="inlineStr">
        <is>
          <t>990081</t>
        </is>
      </c>
      <c r="C1134" s="1" t="inlineStr">
        <is>
          <t>Cognac Squares 50mm Tiles</t>
        </is>
      </c>
      <c r="D1134" s="1" t="inlineStr">
        <is>
          <t>50x50x9-10mm</t>
        </is>
      </c>
      <c r="E1134" s="1" t="n">
        <v>0.67</v>
      </c>
      <c r="F1134" s="1" t="n">
        <v>0</v>
      </c>
      <c r="G1134" s="1" t="inlineStr">
        <is>
          <t>SQM</t>
        </is>
      </c>
      <c r="H1134" s="1" t="inlineStr">
        <is>
          <t>Porcelain</t>
        </is>
      </c>
      <c r="I1134" s="1" t="inlineStr">
        <is>
          <t>Matt</t>
        </is>
      </c>
      <c r="J1134" t="n">
        <v>0.67</v>
      </c>
      <c r="K1134" t="n">
        <v>0.67</v>
      </c>
      <c r="L1134" t="n">
        <v>0.67</v>
      </c>
    </row>
    <row r="1135">
      <c r="A1135" s="1">
        <f>Hyperlink("https://www.wallsandfloors.co.uk/cognac-squares-35mm-tiles","Product")</f>
        <v/>
      </c>
      <c r="B1135" s="1" t="inlineStr">
        <is>
          <t>990106</t>
        </is>
      </c>
      <c r="C1135" s="1" t="inlineStr">
        <is>
          <t>Cognac Squares 35mm Tiles</t>
        </is>
      </c>
      <c r="D1135" s="1" t="inlineStr">
        <is>
          <t>35x35x9-10mm</t>
        </is>
      </c>
      <c r="E1135" s="1" t="n">
        <v>0.37</v>
      </c>
      <c r="F1135" s="1" t="n">
        <v>0</v>
      </c>
      <c r="G1135" s="1" t="inlineStr">
        <is>
          <t>SQM</t>
        </is>
      </c>
      <c r="H1135" s="1" t="inlineStr">
        <is>
          <t>Porcelain</t>
        </is>
      </c>
      <c r="I1135" s="1" t="inlineStr">
        <is>
          <t>Matt</t>
        </is>
      </c>
      <c r="J1135" t="n">
        <v>0.37</v>
      </c>
      <c r="K1135" t="inlineStr"/>
      <c r="L1135" t="n">
        <v>0.37</v>
      </c>
    </row>
    <row r="1136">
      <c r="A1136" s="1">
        <f>Hyperlink("https://www.wallsandfloors.co.uk/cognac-octagon-150mm-tiles","Product")</f>
        <v/>
      </c>
      <c r="B1136" s="1" t="inlineStr">
        <is>
          <t>990129</t>
        </is>
      </c>
      <c r="C1136" s="1" t="inlineStr">
        <is>
          <t>Cognac Octagon Tiles</t>
        </is>
      </c>
      <c r="D1136" s="1" t="inlineStr">
        <is>
          <t>150x150x9-10mm</t>
        </is>
      </c>
      <c r="E1136" s="1" t="n">
        <v>2.66</v>
      </c>
      <c r="F1136" s="1" t="n">
        <v>0</v>
      </c>
      <c r="G1136" s="1" t="inlineStr">
        <is>
          <t>SQM</t>
        </is>
      </c>
      <c r="H1136" s="1" t="inlineStr">
        <is>
          <t>Porcelain</t>
        </is>
      </c>
      <c r="I1136" s="1" t="inlineStr">
        <is>
          <t>Matt</t>
        </is>
      </c>
      <c r="J1136" t="n">
        <v>2.66</v>
      </c>
      <c r="K1136" t="n">
        <v>2.66</v>
      </c>
      <c r="L1136" t="n">
        <v>2.66</v>
      </c>
    </row>
    <row r="1137">
      <c r="A1137" s="1">
        <f>Hyperlink("https://www.wallsandfloors.co.uk/cpx-200-pro-porcelain-tile-diamond-blade","Product")</f>
        <v/>
      </c>
      <c r="B1137" s="1" t="inlineStr">
        <is>
          <t>40402</t>
        </is>
      </c>
      <c r="C1137" s="1" t="inlineStr">
        <is>
          <t>CPX 200mm Porcelain Tile Diamond Blade</t>
        </is>
      </c>
      <c r="D1137" s="1" t="inlineStr">
        <is>
          <t>200mm</t>
        </is>
      </c>
      <c r="E1137" s="1" t="n">
        <v>54.85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n">
        <v>54.85</v>
      </c>
      <c r="K1137" t="inlineStr"/>
      <c r="L1137" t="n">
        <v>54.85</v>
      </c>
    </row>
    <row r="1138">
      <c r="A1138" s="1">
        <f>Hyperlink("https://www.wallsandfloors.co.uk/coffee-squares-100mm-tiles","Product")</f>
        <v/>
      </c>
      <c r="B1138" s="1" t="inlineStr">
        <is>
          <t>990030</t>
        </is>
      </c>
      <c r="C1138" s="1" t="inlineStr">
        <is>
          <t>Coffee Squares 100mm Tiles</t>
        </is>
      </c>
      <c r="D1138" s="1" t="inlineStr">
        <is>
          <t>100x100x9-10mm</t>
        </is>
      </c>
      <c r="E1138" s="1" t="n">
        <v>1.62</v>
      </c>
      <c r="F1138" s="1" t="n">
        <v>0</v>
      </c>
      <c r="G1138" s="1" t="inlineStr">
        <is>
          <t>SQM</t>
        </is>
      </c>
      <c r="H1138" s="1" t="inlineStr">
        <is>
          <t>Porcelain</t>
        </is>
      </c>
      <c r="I1138" s="1" t="inlineStr">
        <is>
          <t>Matt</t>
        </is>
      </c>
      <c r="J1138" t="n">
        <v>1.62</v>
      </c>
      <c r="K1138" t="n">
        <v>1.62</v>
      </c>
      <c r="L1138" t="n">
        <v>1.62</v>
      </c>
    </row>
    <row r="1139">
      <c r="A1139" s="1">
        <f>Hyperlink("https://www.wallsandfloors.co.uk/cpx-250-pro-porcelain-tile-diamond-blade","Product")</f>
        <v/>
      </c>
      <c r="B1139" s="1" t="inlineStr">
        <is>
          <t>40401</t>
        </is>
      </c>
      <c r="C1139" s="1" t="inlineStr">
        <is>
          <t>CPX 250mm Porcelain Tile Diamond Blade</t>
        </is>
      </c>
      <c r="D1139" s="1" t="inlineStr">
        <is>
          <t>250mm</t>
        </is>
      </c>
      <c r="E1139" s="1" t="n">
        <v>92.95</v>
      </c>
      <c r="F1139" s="1" t="n">
        <v>0</v>
      </c>
      <c r="G1139" s="1" t="inlineStr">
        <is>
          <t>Unit</t>
        </is>
      </c>
      <c r="H1139" s="1" t="inlineStr">
        <is>
          <t>Accessories</t>
        </is>
      </c>
      <c r="I1139" s="1" t="inlineStr">
        <is>
          <t>-</t>
        </is>
      </c>
      <c r="J1139" t="n">
        <v>92.95</v>
      </c>
      <c r="K1139" t="n">
        <v>92.95</v>
      </c>
      <c r="L1139" t="n">
        <v>92.95</v>
      </c>
    </row>
    <row r="1140">
      <c r="A1140" s="1">
        <f>Hyperlink("https://www.wallsandfloors.co.uk/craquelure-fern-tiles","Product")</f>
        <v/>
      </c>
      <c r="B1140" s="1" t="inlineStr">
        <is>
          <t>41705</t>
        </is>
      </c>
      <c r="C1140" s="1" t="inlineStr">
        <is>
          <t>Craquelure Fern Tiles</t>
        </is>
      </c>
      <c r="D1140" s="1" t="inlineStr">
        <is>
          <t>200x100x6.8mm</t>
        </is>
      </c>
      <c r="E1140" s="1" t="n">
        <v>35.95</v>
      </c>
      <c r="F1140" s="1" t="n">
        <v>0</v>
      </c>
      <c r="G1140" s="1" t="inlineStr">
        <is>
          <t>SQM</t>
        </is>
      </c>
      <c r="H1140" s="1" t="inlineStr">
        <is>
          <t>Ceramic</t>
        </is>
      </c>
      <c r="I1140" s="1" t="inlineStr">
        <is>
          <t>Gloss</t>
        </is>
      </c>
      <c r="J1140" t="n">
        <v>35.95</v>
      </c>
      <c r="K1140" t="n">
        <v>35.95</v>
      </c>
      <c r="L1140" t="n">
        <v>35.95</v>
      </c>
    </row>
    <row r="1141">
      <c r="A1141" s="1">
        <f>Hyperlink("https://www.wallsandfloors.co.uk/dark-copper-brick-mosaic-tiles","Product")</f>
        <v/>
      </c>
      <c r="B1141" s="1" t="inlineStr">
        <is>
          <t>15645</t>
        </is>
      </c>
      <c r="C1141" s="1" t="inlineStr">
        <is>
          <t>Dark Copper Brick Mosaic Tiles</t>
        </is>
      </c>
      <c r="D1141" s="1" t="inlineStr">
        <is>
          <t>300x300x8mm</t>
        </is>
      </c>
      <c r="E1141" s="1" t="n">
        <v>16.55</v>
      </c>
      <c r="F1141" s="1" t="n">
        <v>0</v>
      </c>
      <c r="G1141" s="1" t="inlineStr">
        <is>
          <t>Sheet</t>
        </is>
      </c>
      <c r="H1141" s="1" t="inlineStr">
        <is>
          <t>Glass, Metal</t>
        </is>
      </c>
      <c r="I1141" s="1" t="inlineStr">
        <is>
          <t>Matt</t>
        </is>
      </c>
      <c r="J1141" t="n">
        <v>16.55</v>
      </c>
      <c r="K1141" t="n">
        <v>16.55</v>
      </c>
      <c r="L1141" t="n">
        <v>16.55</v>
      </c>
    </row>
    <row r="1142">
      <c r="A1142" s="1">
        <f>Hyperlink("https://www.wallsandfloors.co.uk/dark-blue-squares-50mm-tiles","Product")</f>
        <v/>
      </c>
      <c r="B1142" s="1" t="inlineStr">
        <is>
          <t>990082</t>
        </is>
      </c>
      <c r="C1142" s="1" t="inlineStr">
        <is>
          <t>Dark Blue Squares 50mm Tiles</t>
        </is>
      </c>
      <c r="D1142" s="1" t="inlineStr">
        <is>
          <t>50x50x9-10mm</t>
        </is>
      </c>
      <c r="E1142" s="1" t="n">
        <v>1.3</v>
      </c>
      <c r="F1142" s="1" t="n">
        <v>0</v>
      </c>
      <c r="G1142" s="1" t="inlineStr">
        <is>
          <t>SQM</t>
        </is>
      </c>
      <c r="H1142" s="1" t="inlineStr">
        <is>
          <t>Porcelain</t>
        </is>
      </c>
      <c r="I1142" s="1" t="inlineStr">
        <is>
          <t>Matt</t>
        </is>
      </c>
      <c r="J1142" t="n">
        <v>1.3</v>
      </c>
      <c r="K1142" t="n">
        <v>1.3</v>
      </c>
      <c r="L1142" t="n">
        <v>1.3</v>
      </c>
    </row>
    <row r="1143">
      <c r="A1143" s="1">
        <f>Hyperlink("https://www.wallsandfloors.co.uk/dark-blue-squares-35mm-tiles","Product")</f>
        <v/>
      </c>
      <c r="B1143" s="1" t="inlineStr">
        <is>
          <t>990107</t>
        </is>
      </c>
      <c r="C1143" s="1" t="inlineStr">
        <is>
          <t>Dark Blue Squares 35mm Tiles</t>
        </is>
      </c>
      <c r="D1143" s="1" t="inlineStr">
        <is>
          <t>35x35x9-10mm</t>
        </is>
      </c>
      <c r="E1143" s="1" t="n">
        <v>1.3</v>
      </c>
      <c r="F1143" s="1" t="n">
        <v>0</v>
      </c>
      <c r="G1143" s="1" t="inlineStr">
        <is>
          <t>SQM</t>
        </is>
      </c>
      <c r="H1143" s="1" t="inlineStr">
        <is>
          <t>Porcelain</t>
        </is>
      </c>
      <c r="I1143" s="1" t="inlineStr">
        <is>
          <t>Matt</t>
        </is>
      </c>
      <c r="J1143" t="n">
        <v>1.3</v>
      </c>
      <c r="K1143" t="n">
        <v>1.3</v>
      </c>
      <c r="L1143" t="n">
        <v>1.3</v>
      </c>
    </row>
    <row r="1144">
      <c r="A1144" s="1">
        <f>Hyperlink("https://www.wallsandfloors.co.uk/dark-blue-squares-150mm-tiles","Product")</f>
        <v/>
      </c>
      <c r="B1144" s="1" t="inlineStr">
        <is>
          <t>990020</t>
        </is>
      </c>
      <c r="C1144" s="1" t="inlineStr">
        <is>
          <t>Dark Blue Squares Tiles</t>
        </is>
      </c>
      <c r="D1144" s="1" t="inlineStr">
        <is>
          <t>150x150x9-10mm</t>
        </is>
      </c>
      <c r="E1144" s="1" t="n">
        <v>3.2</v>
      </c>
      <c r="F1144" s="1" t="n">
        <v>0</v>
      </c>
      <c r="G1144" s="1" t="inlineStr">
        <is>
          <t>SQM</t>
        </is>
      </c>
      <c r="H1144" s="1" t="inlineStr">
        <is>
          <t>Porcelain</t>
        </is>
      </c>
      <c r="I1144" s="1" t="inlineStr">
        <is>
          <t>Matt</t>
        </is>
      </c>
      <c r="J1144" t="n">
        <v>3.2</v>
      </c>
      <c r="K1144" t="n">
        <v>3.2</v>
      </c>
      <c r="L1144" t="n">
        <v>3.2</v>
      </c>
    </row>
    <row r="1145">
      <c r="A1145" s="1">
        <f>Hyperlink("https://www.wallsandfloors.co.uk/dark-blue-squares-100mm-tiles","Product")</f>
        <v/>
      </c>
      <c r="B1145" s="1" t="inlineStr">
        <is>
          <t>990032</t>
        </is>
      </c>
      <c r="C1145" s="1" t="inlineStr">
        <is>
          <t>Dark Blue Squares 100mm Tiles</t>
        </is>
      </c>
      <c r="D1145" s="1" t="inlineStr">
        <is>
          <t>100x100x9-10mm</t>
        </is>
      </c>
      <c r="E1145" s="1" t="n">
        <v>1.83</v>
      </c>
      <c r="F1145" s="1" t="n">
        <v>0</v>
      </c>
      <c r="G1145" s="1" t="inlineStr">
        <is>
          <t>SQM</t>
        </is>
      </c>
      <c r="H1145" s="1" t="inlineStr">
        <is>
          <t>Porcelain</t>
        </is>
      </c>
      <c r="I1145" s="1" t="inlineStr">
        <is>
          <t>Matt</t>
        </is>
      </c>
      <c r="J1145" t="n">
        <v>1.83</v>
      </c>
      <c r="K1145" t="n">
        <v>1.83</v>
      </c>
      <c r="L1145" t="n">
        <v>1.83</v>
      </c>
    </row>
    <row r="1146">
      <c r="A1146" s="1">
        <f>Hyperlink("https://www.wallsandfloors.co.uk/daisy-bloom-tiles","Product")</f>
        <v/>
      </c>
      <c r="B1146" s="1" t="inlineStr">
        <is>
          <t>41137</t>
        </is>
      </c>
      <c r="C1146" s="1" t="inlineStr">
        <is>
          <t>Classico Daisy Bloom Pattern Tiles</t>
        </is>
      </c>
      <c r="D1146" s="1" t="inlineStr">
        <is>
          <t>450x450x10mm</t>
        </is>
      </c>
      <c r="E1146" s="1" t="n">
        <v>20.95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Matt</t>
        </is>
      </c>
      <c r="J1146" t="n">
        <v>20.95</v>
      </c>
      <c r="K1146" t="inlineStr"/>
      <c r="L1146" t="n">
        <v>20.95</v>
      </c>
    </row>
    <row r="1147">
      <c r="A1147" s="1">
        <f>Hyperlink("https://www.wallsandfloors.co.uk/cusco-stacked-iron-stone-effect-tiles","Product")</f>
        <v/>
      </c>
      <c r="B1147" s="1" t="inlineStr">
        <is>
          <t>29160</t>
        </is>
      </c>
      <c r="C1147" s="1" t="inlineStr">
        <is>
          <t>Stacked Iron Stone Effect Tiles</t>
        </is>
      </c>
      <c r="D1147" s="1" t="inlineStr">
        <is>
          <t>650x333x10mm</t>
        </is>
      </c>
      <c r="E1147" s="1" t="n">
        <v>34.95</v>
      </c>
      <c r="F1147" s="1" t="n">
        <v>0</v>
      </c>
      <c r="G1147" s="1" t="inlineStr">
        <is>
          <t>SQM</t>
        </is>
      </c>
      <c r="H1147" s="1" t="inlineStr">
        <is>
          <t>Porcelain</t>
        </is>
      </c>
      <c r="I1147" s="1" t="inlineStr">
        <is>
          <t>Matt</t>
        </is>
      </c>
      <c r="J1147" t="inlineStr"/>
      <c r="K1147" t="n">
        <v>34.95</v>
      </c>
      <c r="L1147" t="n">
        <v>34.95</v>
      </c>
    </row>
    <row r="1148">
      <c r="A1148" s="1">
        <f>Hyperlink("https://www.wallsandfloors.co.uk/cusco-dry-stone-wall-effect-tiles-stacked-slate-stone-effect-tiles","Product")</f>
        <v/>
      </c>
      <c r="B1148" s="1" t="inlineStr">
        <is>
          <t>15311</t>
        </is>
      </c>
      <c r="C1148" s="1" t="inlineStr">
        <is>
          <t>Stacked Slate Stone Effect Tiles</t>
        </is>
      </c>
      <c r="D1148" s="1" t="inlineStr">
        <is>
          <t>650x333x10mm</t>
        </is>
      </c>
      <c r="E1148" s="1" t="n">
        <v>34.95</v>
      </c>
      <c r="F1148" s="1" t="n">
        <v>0</v>
      </c>
      <c r="G1148" s="1" t="inlineStr">
        <is>
          <t>SQM</t>
        </is>
      </c>
      <c r="H1148" s="1" t="inlineStr">
        <is>
          <t>Porcelain</t>
        </is>
      </c>
      <c r="I1148" s="1" t="inlineStr">
        <is>
          <t>Matt</t>
        </is>
      </c>
      <c r="J1148" t="n">
        <v>34.95</v>
      </c>
      <c r="K1148" t="n">
        <v>34.95</v>
      </c>
      <c r="L1148" t="n">
        <v>34.95</v>
      </c>
    </row>
    <row r="1149">
      <c r="A1149" s="1">
        <f>Hyperlink("https://www.wallsandfloors.co.uk/cusco-dry-stone-wall-effect-tiles-stacked-sand-stone-effect-tiles","Product")</f>
        <v/>
      </c>
      <c r="B1149" s="1" t="inlineStr">
        <is>
          <t>15313</t>
        </is>
      </c>
      <c r="C1149" s="1" t="inlineStr">
        <is>
          <t>Stacked Sand Stone Effect Tiles</t>
        </is>
      </c>
      <c r="D1149" s="1" t="inlineStr">
        <is>
          <t>650x333x10mm</t>
        </is>
      </c>
      <c r="E1149" s="1" t="n">
        <v>34.95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Matt</t>
        </is>
      </c>
      <c r="J1149" t="inlineStr"/>
      <c r="K1149" t="n">
        <v>34.95</v>
      </c>
      <c r="L1149" t="n">
        <v>34.95</v>
      </c>
    </row>
    <row r="1150">
      <c r="A1150" s="1">
        <f>Hyperlink("https://www.wallsandfloors.co.uk/cusco-dry-stone-wall-effect-tiles-stacked-rustic-slate-stone-effect-tiles","Product")</f>
        <v/>
      </c>
      <c r="B1150" s="1" t="inlineStr">
        <is>
          <t>15312</t>
        </is>
      </c>
      <c r="C1150" s="1" t="inlineStr">
        <is>
          <t>Stacked Rustic Slate Stone Effect Tiles</t>
        </is>
      </c>
      <c r="D1150" s="1" t="inlineStr">
        <is>
          <t>650x333x10mm</t>
        </is>
      </c>
      <c r="E1150" s="1" t="n">
        <v>34.95</v>
      </c>
      <c r="F1150" s="1" t="n">
        <v>0</v>
      </c>
      <c r="G1150" s="1" t="inlineStr">
        <is>
          <t>SQM</t>
        </is>
      </c>
      <c r="H1150" s="1" t="inlineStr">
        <is>
          <t>Porcelain</t>
        </is>
      </c>
      <c r="I1150" s="1" t="inlineStr">
        <is>
          <t>Matt</t>
        </is>
      </c>
      <c r="J1150" t="n">
        <v>34.95</v>
      </c>
      <c r="K1150" t="n">
        <v>34.95</v>
      </c>
      <c r="L1150" t="n">
        <v>34.95</v>
      </c>
    </row>
    <row r="1151">
      <c r="A1151" s="1">
        <f>Hyperlink("https://www.wallsandfloors.co.uk/cusco-dry-stone-wall-effect-tiles-stacked-limestone-effect-tiles","Product")</f>
        <v/>
      </c>
      <c r="B1151" s="1" t="inlineStr">
        <is>
          <t>15314</t>
        </is>
      </c>
      <c r="C1151" s="1" t="inlineStr">
        <is>
          <t>Stacked Limestone Effect Tiles</t>
        </is>
      </c>
      <c r="D1151" s="1" t="inlineStr">
        <is>
          <t>650x333x10mm</t>
        </is>
      </c>
      <c r="E1151" s="1" t="n">
        <v>34.95</v>
      </c>
      <c r="F1151" s="1" t="n">
        <v>0</v>
      </c>
      <c r="G1151" s="1" t="inlineStr">
        <is>
          <t>SQM</t>
        </is>
      </c>
      <c r="H1151" s="1" t="inlineStr">
        <is>
          <t>Porcelain</t>
        </is>
      </c>
      <c r="I1151" s="1" t="inlineStr">
        <is>
          <t>Matt</t>
        </is>
      </c>
      <c r="J1151" t="n">
        <v>34.95</v>
      </c>
      <c r="K1151" t="n">
        <v>34.95</v>
      </c>
      <c r="L1151" t="n">
        <v>34.95</v>
      </c>
    </row>
    <row r="1152">
      <c r="A1152" s="1">
        <f>Hyperlink("https://www.wallsandfloors.co.uk/csv-115-superpro-ceramic-tile-diamond-blade","Product")</f>
        <v/>
      </c>
      <c r="B1152" s="1" t="inlineStr">
        <is>
          <t>40399</t>
        </is>
      </c>
      <c r="C1152" s="1" t="inlineStr">
        <is>
          <t>CSV 115 Ceramic Tile Diamond Blade</t>
        </is>
      </c>
      <c r="D1152" s="1" t="inlineStr">
        <is>
          <t>115mm</t>
        </is>
      </c>
      <c r="E1152" s="1" t="n">
        <v>16.45</v>
      </c>
      <c r="F1152" s="1" t="n">
        <v>0</v>
      </c>
      <c r="G1152" s="1" t="inlineStr">
        <is>
          <t>Unit</t>
        </is>
      </c>
      <c r="H1152" s="1" t="inlineStr">
        <is>
          <t>Accessories</t>
        </is>
      </c>
      <c r="I1152" s="1" t="inlineStr">
        <is>
          <t>-</t>
        </is>
      </c>
      <c r="J1152" t="inlineStr"/>
      <c r="K1152" t="n">
        <v>16.45</v>
      </c>
      <c r="L1152" t="n">
        <v>16.45</v>
      </c>
    </row>
    <row r="1153">
      <c r="A1153" s="1">
        <f>Hyperlink("https://www.wallsandfloors.co.uk/crosshatch-sienna-tiles","Product")</f>
        <v/>
      </c>
      <c r="B1153" s="1" t="inlineStr">
        <is>
          <t>43090</t>
        </is>
      </c>
      <c r="C1153" s="1" t="inlineStr">
        <is>
          <t>Crosshatch Sienna Tiles</t>
        </is>
      </c>
      <c r="D1153" s="1" t="inlineStr">
        <is>
          <t>450x450x10.5mm</t>
        </is>
      </c>
      <c r="E1153" s="1" t="n">
        <v>30.95</v>
      </c>
      <c r="F1153" s="1" t="n">
        <v>0</v>
      </c>
      <c r="G1153" s="1" t="inlineStr">
        <is>
          <t>SQM</t>
        </is>
      </c>
      <c r="H1153" s="1" t="inlineStr">
        <is>
          <t>Ceramic</t>
        </is>
      </c>
      <c r="I1153" s="1" t="inlineStr">
        <is>
          <t>Matt</t>
        </is>
      </c>
      <c r="J1153" t="n">
        <v>30.95</v>
      </c>
      <c r="K1153" t="n">
        <v>30.95</v>
      </c>
      <c r="L1153" t="n">
        <v>30.95</v>
      </c>
    </row>
    <row r="1154">
      <c r="A1154" s="1">
        <f>Hyperlink("https://www.wallsandfloors.co.uk/crosshatch-ocean-tiles","Product")</f>
        <v/>
      </c>
      <c r="B1154" s="1" t="inlineStr">
        <is>
          <t>43089</t>
        </is>
      </c>
      <c r="C1154" s="1" t="inlineStr">
        <is>
          <t>Crosshatch Ocean Tiles</t>
        </is>
      </c>
      <c r="D1154" s="1" t="inlineStr">
        <is>
          <t>450x450x10.5mm</t>
        </is>
      </c>
      <c r="E1154" s="1" t="n">
        <v>26.95</v>
      </c>
      <c r="F1154" s="1" t="n">
        <v>0</v>
      </c>
      <c r="G1154" s="1" t="inlineStr">
        <is>
          <t>SQM</t>
        </is>
      </c>
      <c r="H1154" s="1" t="inlineStr">
        <is>
          <t>Ceramic</t>
        </is>
      </c>
      <c r="I1154" s="1" t="inlineStr">
        <is>
          <t>Matt</t>
        </is>
      </c>
      <c r="J1154" t="inlineStr"/>
      <c r="K1154" t="n">
        <v>26.95</v>
      </c>
      <c r="L1154" t="n">
        <v>26.95</v>
      </c>
    </row>
    <row r="1155">
      <c r="A1155" s="1">
        <f>Hyperlink("https://www.wallsandfloors.co.uk/crosshatch-night-tiles","Product")</f>
        <v/>
      </c>
      <c r="B1155" s="1" t="inlineStr">
        <is>
          <t>43088</t>
        </is>
      </c>
      <c r="C1155" s="1" t="inlineStr">
        <is>
          <t>Crosshatch Night Tiles</t>
        </is>
      </c>
      <c r="D1155" s="1" t="inlineStr">
        <is>
          <t>450x450x10.5mm</t>
        </is>
      </c>
      <c r="E1155" s="1" t="n">
        <v>26.95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Matt</t>
        </is>
      </c>
      <c r="J1155" t="n">
        <v>26.95</v>
      </c>
      <c r="K1155" t="n">
        <v>26.95</v>
      </c>
      <c r="L1155" t="n">
        <v>26.95</v>
      </c>
    </row>
    <row r="1156">
      <c r="A1156" s="1">
        <f>Hyperlink("https://www.wallsandfloors.co.uk/crosshatch-moss-tiles","Product")</f>
        <v/>
      </c>
      <c r="B1156" s="1" t="inlineStr">
        <is>
          <t>43091</t>
        </is>
      </c>
      <c r="C1156" s="1" t="inlineStr">
        <is>
          <t>Crosshatch Moss Tiles</t>
        </is>
      </c>
      <c r="D1156" s="1" t="inlineStr">
        <is>
          <t>450x450x10.5mm</t>
        </is>
      </c>
      <c r="E1156" s="1" t="n">
        <v>26.95</v>
      </c>
      <c r="F1156" s="1" t="n">
        <v>0</v>
      </c>
      <c r="G1156" s="1" t="inlineStr">
        <is>
          <t>SQM</t>
        </is>
      </c>
      <c r="H1156" s="1" t="inlineStr">
        <is>
          <t>Ceramic</t>
        </is>
      </c>
      <c r="I1156" s="1" t="inlineStr">
        <is>
          <t>Matt</t>
        </is>
      </c>
      <c r="J1156" t="n">
        <v>26.95</v>
      </c>
      <c r="K1156" t="inlineStr"/>
      <c r="L1156" t="n">
        <v>26.95</v>
      </c>
    </row>
    <row r="1157">
      <c r="A1157" s="1">
        <f>Hyperlink("https://www.wallsandfloors.co.uk/crepuscolo-satin-marble-effect-biondo-75x75-tiles","Product")</f>
        <v/>
      </c>
      <c r="B1157" s="1" t="inlineStr">
        <is>
          <t>40303</t>
        </is>
      </c>
      <c r="C1157" s="1" t="inlineStr">
        <is>
          <t>Crepuscolo Pearl Matt Marble Effect 75x75 Tiles</t>
        </is>
      </c>
      <c r="D1157" s="1" t="inlineStr">
        <is>
          <t>750x750x11mm</t>
        </is>
      </c>
      <c r="E1157" s="1" t="n">
        <v>22.55</v>
      </c>
      <c r="F1157" s="1" t="n">
        <v>0</v>
      </c>
      <c r="G1157" s="1" t="inlineStr">
        <is>
          <t>SQM</t>
        </is>
      </c>
      <c r="H1157" s="1" t="inlineStr">
        <is>
          <t>Porcelain</t>
        </is>
      </c>
      <c r="I1157" s="1" t="inlineStr">
        <is>
          <t>Matt</t>
        </is>
      </c>
      <c r="J1157" t="n">
        <v>22.55</v>
      </c>
      <c r="K1157" t="n">
        <v>22.55</v>
      </c>
      <c r="L1157" t="n">
        <v>22.55</v>
      </c>
    </row>
    <row r="1158">
      <c r="A1158" s="1">
        <f>Hyperlink("https://www.wallsandfloors.co.uk/crepuscolo-polished-marble-effect-biondo-75x35-tiles","Product")</f>
        <v/>
      </c>
      <c r="B1158" s="1" t="inlineStr">
        <is>
          <t>40304</t>
        </is>
      </c>
      <c r="C1158" s="1" t="inlineStr">
        <is>
          <t>Crepuscolo Pearl Polished Marble Effect 75x37 Tiles</t>
        </is>
      </c>
      <c r="D1158" s="1" t="inlineStr">
        <is>
          <t>750x375x11mm</t>
        </is>
      </c>
      <c r="E1158" s="1" t="n">
        <v>26.77</v>
      </c>
      <c r="F1158" s="1" t="n">
        <v>0</v>
      </c>
      <c r="G1158" s="1" t="inlineStr">
        <is>
          <t>SQM</t>
        </is>
      </c>
      <c r="H1158" s="1" t="inlineStr">
        <is>
          <t>Porcelain</t>
        </is>
      </c>
      <c r="I1158" s="1" t="inlineStr">
        <is>
          <t>Polished</t>
        </is>
      </c>
      <c r="J1158" t="n">
        <v>26.77</v>
      </c>
      <c r="K1158" t="inlineStr"/>
      <c r="L1158" t="n">
        <v>26.77</v>
      </c>
    </row>
    <row r="1159">
      <c r="A1159" s="1">
        <f>Hyperlink("https://www.wallsandfloors.co.uk/cream-tiles-cream-250x200-tiles","Product")</f>
        <v/>
      </c>
      <c r="B1159" s="1" t="inlineStr">
        <is>
          <t>14660</t>
        </is>
      </c>
      <c r="C1159" s="1" t="inlineStr">
        <is>
          <t>Cream 250x200 Tiles</t>
        </is>
      </c>
      <c r="D1159" s="1" t="inlineStr">
        <is>
          <t>250x200x6.8mm</t>
        </is>
      </c>
      <c r="E1159" s="1" t="n">
        <v>19.95</v>
      </c>
      <c r="F1159" s="1" t="n">
        <v>0</v>
      </c>
      <c r="G1159" s="1" t="inlineStr">
        <is>
          <t>SQM</t>
        </is>
      </c>
      <c r="H1159" s="1" t="inlineStr">
        <is>
          <t>Ceramic</t>
        </is>
      </c>
      <c r="I1159" s="1" t="inlineStr">
        <is>
          <t>Gloss</t>
        </is>
      </c>
      <c r="J1159" t="n">
        <v>19.95</v>
      </c>
      <c r="K1159" t="n">
        <v>19.95</v>
      </c>
      <c r="L1159" t="n">
        <v>19.95</v>
      </c>
    </row>
    <row r="1160">
      <c r="A1160" s="1">
        <f>Hyperlink("https://www.wallsandfloors.co.uk/cream-500x250-wall-tiles","Product")</f>
        <v/>
      </c>
      <c r="B1160" s="1" t="inlineStr">
        <is>
          <t>13745</t>
        </is>
      </c>
      <c r="C1160" s="1" t="inlineStr">
        <is>
          <t>Athena Cream Wall Tiles</t>
        </is>
      </c>
      <c r="D1160" s="1" t="inlineStr">
        <is>
          <t>500x250x8mm</t>
        </is>
      </c>
      <c r="E1160" s="1" t="n">
        <v>13.95</v>
      </c>
      <c r="F1160" s="1" t="n">
        <v>0</v>
      </c>
      <c r="G1160" s="1" t="inlineStr">
        <is>
          <t>SQM</t>
        </is>
      </c>
      <c r="H1160" s="1" t="inlineStr">
        <is>
          <t>Ceramic</t>
        </is>
      </c>
      <c r="I1160" s="1" t="inlineStr">
        <is>
          <t>Gloss</t>
        </is>
      </c>
      <c r="J1160" t="n">
        <v>13.95</v>
      </c>
      <c r="K1160" t="n">
        <v>13.95</v>
      </c>
      <c r="L1160" t="n">
        <v>13.95</v>
      </c>
    </row>
    <row r="1161">
      <c r="A1161" s="1">
        <f>Hyperlink("https://www.wallsandfloors.co.uk/craquelure-steel-tiles","Product")</f>
        <v/>
      </c>
      <c r="B1161" s="1" t="inlineStr">
        <is>
          <t>41390</t>
        </is>
      </c>
      <c r="C1161" s="1" t="inlineStr">
        <is>
          <t>Craquelure Steel Tiles</t>
        </is>
      </c>
      <c r="D1161" s="1" t="inlineStr">
        <is>
          <t>200x100x6.8mm</t>
        </is>
      </c>
      <c r="E1161" s="1" t="n">
        <v>35.95</v>
      </c>
      <c r="F1161" s="1" t="n">
        <v>0</v>
      </c>
      <c r="G1161" s="1" t="inlineStr">
        <is>
          <t>SQM</t>
        </is>
      </c>
      <c r="H1161" s="1" t="inlineStr">
        <is>
          <t>Ceramic</t>
        </is>
      </c>
      <c r="I1161" s="1" t="inlineStr">
        <is>
          <t>Gloss</t>
        </is>
      </c>
      <c r="J1161" t="inlineStr"/>
      <c r="K1161" t="inlineStr"/>
      <c r="L1161" t="n">
        <v>35.95</v>
      </c>
    </row>
    <row r="1162">
      <c r="A1162" s="1">
        <f>Hyperlink("https://www.wallsandfloors.co.uk/craquelure-living-coral-tiles","Product")</f>
        <v/>
      </c>
      <c r="B1162" s="1" t="inlineStr">
        <is>
          <t>41709</t>
        </is>
      </c>
      <c r="C1162" s="1" t="inlineStr">
        <is>
          <t>Craquelure Living Coral Tiles</t>
        </is>
      </c>
      <c r="D1162" s="1" t="inlineStr">
        <is>
          <t>200x100x6.8mm</t>
        </is>
      </c>
      <c r="E1162" s="1" t="n">
        <v>35.95</v>
      </c>
      <c r="F1162" s="1" t="n">
        <v>0</v>
      </c>
      <c r="G1162" s="1" t="inlineStr">
        <is>
          <t>SQM</t>
        </is>
      </c>
      <c r="H1162" s="1" t="inlineStr">
        <is>
          <t>Ceramic</t>
        </is>
      </c>
      <c r="I1162" s="1" t="inlineStr">
        <is>
          <t>Gloss</t>
        </is>
      </c>
      <c r="J1162" t="n">
        <v>35.95</v>
      </c>
      <c r="K1162" t="n">
        <v>35.95</v>
      </c>
      <c r="L1162" t="n">
        <v>35.95</v>
      </c>
    </row>
    <row r="1163">
      <c r="A1163" s="1">
        <f>Hyperlink("https://www.wallsandfloors.co.uk/craquelure-kingfisher-tiles","Product")</f>
        <v/>
      </c>
      <c r="B1163" s="1" t="inlineStr">
        <is>
          <t>41707</t>
        </is>
      </c>
      <c r="C1163" s="1" t="inlineStr">
        <is>
          <t>Craquelure Kingfisher Tiles</t>
        </is>
      </c>
      <c r="D1163" s="1" t="inlineStr">
        <is>
          <t>200x100x6.8mm</t>
        </is>
      </c>
      <c r="E1163" s="1" t="n">
        <v>30.95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Gloss</t>
        </is>
      </c>
      <c r="J1163" t="n">
        <v>30.95</v>
      </c>
      <c r="K1163" t="n">
        <v>30.95</v>
      </c>
      <c r="L1163" t="n">
        <v>30.95</v>
      </c>
    </row>
    <row r="1164">
      <c r="A1164" s="1">
        <f>Hyperlink("https://www.wallsandfloors.co.uk/craquelure-ash-tiles","Product")</f>
        <v/>
      </c>
      <c r="B1164" s="1" t="inlineStr">
        <is>
          <t>41706</t>
        </is>
      </c>
      <c r="C1164" s="1" t="inlineStr">
        <is>
          <t>Craquelure Ash Tiles</t>
        </is>
      </c>
      <c r="D1164" s="1" t="inlineStr">
        <is>
          <t>200x100x6.8mm</t>
        </is>
      </c>
      <c r="E1164" s="1" t="n">
        <v>30.95</v>
      </c>
      <c r="F1164" s="1" t="n">
        <v>0</v>
      </c>
      <c r="G1164" s="1" t="inlineStr">
        <is>
          <t>SQM</t>
        </is>
      </c>
      <c r="H1164" s="1" t="inlineStr">
        <is>
          <t>Ceramic</t>
        </is>
      </c>
      <c r="I1164" s="1" t="inlineStr">
        <is>
          <t>Gloss</t>
        </is>
      </c>
      <c r="J1164" t="inlineStr"/>
      <c r="K1164" t="inlineStr"/>
      <c r="L1164" t="n">
        <v>30.95</v>
      </c>
    </row>
    <row r="1165">
      <c r="A1165" s="1">
        <f>Hyperlink("https://www.wallsandfloors.co.uk/bococa-paintwash-wood-effect-tiles-azure-painted-chevron-wood-tiles","Product")</f>
        <v/>
      </c>
      <c r="B1165" s="1" t="inlineStr">
        <is>
          <t>15649</t>
        </is>
      </c>
      <c r="C1165" s="1" t="inlineStr">
        <is>
          <t>BoCoCa Azure Painted Chevron Wood Tiles</t>
        </is>
      </c>
      <c r="D1165" s="1" t="inlineStr">
        <is>
          <t>900x450x9mm</t>
        </is>
      </c>
      <c r="E1165" s="1" t="n">
        <v>40.95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40.95</v>
      </c>
      <c r="K1165" t="inlineStr"/>
      <c r="L1165" t="n">
        <v>40.95</v>
      </c>
    </row>
    <row r="1166">
      <c r="A1166" s="1">
        <f>Hyperlink("https://www.wallsandfloors.co.uk/bococa-paintwash-wood-effect-tiles-azure-painted-90x15-wood-tiles","Product")</f>
        <v/>
      </c>
      <c r="B1166" s="1" t="inlineStr">
        <is>
          <t>15647</t>
        </is>
      </c>
      <c r="C1166" s="1" t="inlineStr">
        <is>
          <t>BoCoCa Azure Painted Wood Tiles</t>
        </is>
      </c>
      <c r="D1166" s="1" t="inlineStr">
        <is>
          <t>900x150x9mm</t>
        </is>
      </c>
      <c r="E1166" s="1" t="n">
        <v>40.95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n">
        <v>40.95</v>
      </c>
      <c r="K1166" t="n">
        <v>40.95</v>
      </c>
      <c r="L1166" t="n">
        <v>40.95</v>
      </c>
    </row>
    <row r="1167">
      <c r="A1167" s="1">
        <f>Hyperlink("https://www.wallsandfloors.co.uk/boccino-dark-grey-wall-floor-tiles","Product")</f>
        <v/>
      </c>
      <c r="B1167" s="1" t="inlineStr">
        <is>
          <t>44481</t>
        </is>
      </c>
      <c r="C1167" s="1" t="inlineStr">
        <is>
          <t>Boccino Dark Grey Wall &amp; Floor Tiles</t>
        </is>
      </c>
      <c r="D1167" s="1" t="inlineStr">
        <is>
          <t>600x300x8.8mm</t>
        </is>
      </c>
      <c r="E1167" s="1" t="n">
        <v>14.95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14.95</v>
      </c>
      <c r="K1167" t="n">
        <v>14.95</v>
      </c>
      <c r="L1167" t="n">
        <v>14.95</v>
      </c>
    </row>
    <row r="1168">
      <c r="A1168" s="1">
        <f>Hyperlink("https://www.wallsandfloors.co.uk/antique-smooth-crackle-metro-tiles-les-sablons-blue-crackle-metro-tiles","Product")</f>
        <v/>
      </c>
      <c r="B1168" s="1" t="inlineStr">
        <is>
          <t>11340</t>
        </is>
      </c>
      <c r="C1168" s="1" t="inlineStr">
        <is>
          <t>Les Sablons Blue Flat Crackle Metro Tiles</t>
        </is>
      </c>
      <c r="D1168" s="1" t="inlineStr">
        <is>
          <t>150x75x7mm</t>
        </is>
      </c>
      <c r="E1168" s="1" t="n">
        <v>40.95</v>
      </c>
      <c r="F1168" s="1" t="n">
        <v>0</v>
      </c>
      <c r="G1168" s="1" t="inlineStr">
        <is>
          <t>SQM</t>
        </is>
      </c>
      <c r="H1168" s="1" t="inlineStr">
        <is>
          <t>Ceramic</t>
        </is>
      </c>
      <c r="I1168" s="1" t="inlineStr">
        <is>
          <t>Gloss</t>
        </is>
      </c>
      <c r="J1168" t="n">
        <v>40.95</v>
      </c>
      <c r="K1168" t="inlineStr"/>
      <c r="L1168" t="n">
        <v>40.95</v>
      </c>
    </row>
    <row r="1169">
      <c r="A1169" s="1">
        <f>Hyperlink("https://www.wallsandfloors.co.uk/antique-smooth-crackle-metro-tiles-le-vert-de-maisons-green-crackle-metro-tiles","Product")</f>
        <v/>
      </c>
      <c r="B1169" s="1" t="inlineStr">
        <is>
          <t>12346</t>
        </is>
      </c>
      <c r="C1169" s="1" t="inlineStr">
        <is>
          <t>Le Vert De Maisons Green Crackle Flat Metro Tiles</t>
        </is>
      </c>
      <c r="D1169" s="1" t="inlineStr">
        <is>
          <t>150x75x7mm</t>
        </is>
      </c>
      <c r="E1169" s="1" t="n">
        <v>40.95</v>
      </c>
      <c r="F1169" s="1" t="n">
        <v>0</v>
      </c>
      <c r="G1169" s="1" t="inlineStr">
        <is>
          <t>SQM</t>
        </is>
      </c>
      <c r="H1169" s="1" t="inlineStr">
        <is>
          <t>Ceramic</t>
        </is>
      </c>
      <c r="I1169" s="1" t="inlineStr">
        <is>
          <t>Gloss</t>
        </is>
      </c>
      <c r="J1169" t="n">
        <v>40.95</v>
      </c>
      <c r="K1169" t="inlineStr"/>
      <c r="L1169" t="n">
        <v>40.95</v>
      </c>
    </row>
    <row r="1170">
      <c r="A1170" s="1">
        <f>Hyperlink("https://www.wallsandfloors.co.uk/antique-smooth-crackle-metro-tiles-le-vert-de-maisons-crackle-green-moldura-border-tiles","Product")</f>
        <v/>
      </c>
      <c r="B1170" s="1" t="inlineStr">
        <is>
          <t>13196</t>
        </is>
      </c>
      <c r="C1170" s="1" t="inlineStr">
        <is>
          <t>Le Vert De Maisons Crackle Green Moldura Border Tiles</t>
        </is>
      </c>
      <c r="D1170" s="1" t="inlineStr">
        <is>
          <t>150x50x7mm</t>
        </is>
      </c>
      <c r="E1170" s="1" t="n">
        <v>4.95</v>
      </c>
      <c r="F1170" s="1" t="n">
        <v>0</v>
      </c>
      <c r="G1170" s="1" t="inlineStr">
        <is>
          <t>SQM</t>
        </is>
      </c>
      <c r="H1170" s="1" t="inlineStr">
        <is>
          <t>Ceramic</t>
        </is>
      </c>
      <c r="I1170" s="1" t="inlineStr">
        <is>
          <t>Gloss</t>
        </is>
      </c>
      <c r="J1170" t="n">
        <v>4.95</v>
      </c>
      <c r="K1170" t="n">
        <v>4.95</v>
      </c>
      <c r="L1170" t="n">
        <v>4.95</v>
      </c>
    </row>
    <row r="1171">
      <c r="A1171" s="1">
        <f>Hyperlink("https://www.wallsandfloors.co.uk/antique-smooth-crackle-metro-tiles-jourdain-green-crackle-metro-tiles","Product")</f>
        <v/>
      </c>
      <c r="B1171" s="1" t="inlineStr">
        <is>
          <t>13115</t>
        </is>
      </c>
      <c r="C1171" s="1" t="inlineStr">
        <is>
          <t>Jourdain Green Crackle Flat Mini Metro Tiles</t>
        </is>
      </c>
      <c r="D1171" s="1" t="inlineStr">
        <is>
          <t>150x75x7mm</t>
        </is>
      </c>
      <c r="E1171" s="1" t="n">
        <v>40.95</v>
      </c>
      <c r="F1171" s="1" t="n">
        <v>0</v>
      </c>
      <c r="G1171" s="1" t="inlineStr">
        <is>
          <t>SQM</t>
        </is>
      </c>
      <c r="H1171" s="1" t="inlineStr">
        <is>
          <t>Ceramic</t>
        </is>
      </c>
      <c r="I1171" s="1" t="inlineStr">
        <is>
          <t>Gloss</t>
        </is>
      </c>
      <c r="J1171" t="n">
        <v>40.95</v>
      </c>
      <c r="K1171" t="n">
        <v>40.95</v>
      </c>
      <c r="L1171" t="n">
        <v>40.95</v>
      </c>
    </row>
    <row r="1172">
      <c r="A1172" s="1">
        <f>Hyperlink("https://www.wallsandfloors.co.uk/antique-smooth-crackle-metro-tiles-jourdain-crackle-green-moldura-border-tiles","Product")</f>
        <v/>
      </c>
      <c r="B1172" s="1" t="inlineStr">
        <is>
          <t>13194</t>
        </is>
      </c>
      <c r="C1172" s="1" t="inlineStr">
        <is>
          <t>Jourdain Crackle Green Moldura Border Tiles</t>
        </is>
      </c>
      <c r="D1172" s="1" t="inlineStr">
        <is>
          <t>150x50x7mm</t>
        </is>
      </c>
      <c r="E1172" s="1" t="n">
        <v>4.95</v>
      </c>
      <c r="F1172" s="1" t="n">
        <v>0</v>
      </c>
      <c r="G1172" s="1" t="inlineStr">
        <is>
          <t>Tile</t>
        </is>
      </c>
      <c r="H1172" s="1" t="inlineStr">
        <is>
          <t>Ceramic</t>
        </is>
      </c>
      <c r="I1172" s="1" t="inlineStr">
        <is>
          <t>Gloss</t>
        </is>
      </c>
      <c r="J1172" t="n">
        <v>4.95</v>
      </c>
      <c r="K1172" t="n">
        <v>4.95</v>
      </c>
      <c r="L1172" t="n">
        <v>4.95</v>
      </c>
    </row>
    <row r="1173">
      <c r="A1173" s="1">
        <f>Hyperlink("https://www.wallsandfloors.co.uk/antique-smooth-crackle-metro-tiles-jourdain-crackle-green-floral-border-tiles","Product")</f>
        <v/>
      </c>
      <c r="B1173" s="1" t="inlineStr">
        <is>
          <t>13176</t>
        </is>
      </c>
      <c r="C1173" s="1" t="inlineStr">
        <is>
          <t>Jourdain Crackle Green Floral Border Tiles</t>
        </is>
      </c>
      <c r="D1173" s="1" t="inlineStr">
        <is>
          <t>150x75x7mm</t>
        </is>
      </c>
      <c r="E1173" s="1" t="n">
        <v>5.75</v>
      </c>
      <c r="F1173" s="1" t="n">
        <v>0</v>
      </c>
      <c r="G1173" s="1" t="inlineStr">
        <is>
          <t>Tile</t>
        </is>
      </c>
      <c r="H1173" s="1" t="inlineStr">
        <is>
          <t>Ceramic</t>
        </is>
      </c>
      <c r="I1173" s="1" t="inlineStr">
        <is>
          <t>Gloss</t>
        </is>
      </c>
      <c r="J1173" t="inlineStr"/>
      <c r="K1173" t="n">
        <v>5.75</v>
      </c>
      <c r="L1173" t="n">
        <v>5.75</v>
      </c>
    </row>
    <row r="1174">
      <c r="A1174" s="1">
        <f>Hyperlink("https://www.wallsandfloors.co.uk/antique-smooth-crackle-metro-tiles-charmarande-crackle-cream-moldura-border-tiles","Product")</f>
        <v/>
      </c>
      <c r="B1174" s="1" t="inlineStr">
        <is>
          <t>13191</t>
        </is>
      </c>
      <c r="C1174" s="1" t="inlineStr">
        <is>
          <t>Charmarande Crackle Cream Moldura Border Tiles</t>
        </is>
      </c>
      <c r="D1174" s="1" t="inlineStr">
        <is>
          <t>150x50x7mm</t>
        </is>
      </c>
      <c r="E1174" s="1" t="n">
        <v>4.95</v>
      </c>
      <c r="F1174" s="1" t="n">
        <v>0</v>
      </c>
      <c r="G1174" s="1" t="inlineStr">
        <is>
          <t>Tile</t>
        </is>
      </c>
      <c r="H1174" s="1" t="inlineStr">
        <is>
          <t>Ceramic</t>
        </is>
      </c>
      <c r="I1174" s="1" t="inlineStr">
        <is>
          <t>Gloss</t>
        </is>
      </c>
      <c r="J1174" t="n">
        <v>4.95</v>
      </c>
      <c r="K1174" t="n">
        <v>4.95</v>
      </c>
      <c r="L1174" t="n">
        <v>4.95</v>
      </c>
    </row>
    <row r="1175">
      <c r="A1175" s="1">
        <f>Hyperlink("https://www.wallsandfloors.co.uk/antique-smooth-crackle-metro-tiles-bastille-white-crackle-metro-tiles","Product")</f>
        <v/>
      </c>
      <c r="B1175" s="1" t="inlineStr">
        <is>
          <t>11339</t>
        </is>
      </c>
      <c r="C1175" s="1" t="inlineStr">
        <is>
          <t>Bastille White Smooth Crackle Mini Metro Tiles</t>
        </is>
      </c>
      <c r="D1175" s="1" t="inlineStr">
        <is>
          <t>150x75x7mm</t>
        </is>
      </c>
      <c r="E1175" s="1" t="n">
        <v>35.95</v>
      </c>
      <c r="F1175" s="1" t="n">
        <v>0</v>
      </c>
      <c r="G1175" s="1" t="inlineStr">
        <is>
          <t>SQM</t>
        </is>
      </c>
      <c r="H1175" s="1" t="inlineStr">
        <is>
          <t>Ceramic</t>
        </is>
      </c>
      <c r="I1175" s="1" t="inlineStr">
        <is>
          <t>Gloss</t>
        </is>
      </c>
      <c r="J1175" t="n">
        <v>35.95</v>
      </c>
      <c r="K1175" t="n">
        <v>35.95</v>
      </c>
      <c r="L1175" t="n">
        <v>35.95</v>
      </c>
    </row>
    <row r="1176">
      <c r="A1176" s="1">
        <f>Hyperlink("https://www.wallsandfloors.co.uk/antique-smooth-crackle-metro-tiles-bastille-crackle-white-nave-border-tiles","Product")</f>
        <v/>
      </c>
      <c r="B1176" s="1" t="inlineStr">
        <is>
          <t>13201</t>
        </is>
      </c>
      <c r="C1176" s="1" t="inlineStr">
        <is>
          <t>Bastille Crackle White Nave Border Tiles</t>
        </is>
      </c>
      <c r="D1176" s="1" t="inlineStr">
        <is>
          <t>150x75x7mm</t>
        </is>
      </c>
      <c r="E1176" s="1" t="n">
        <v>5.75</v>
      </c>
      <c r="F1176" s="1" t="n">
        <v>0</v>
      </c>
      <c r="G1176" s="1" t="inlineStr">
        <is>
          <t>Tile</t>
        </is>
      </c>
      <c r="H1176" s="1" t="inlineStr">
        <is>
          <t>Ceramic</t>
        </is>
      </c>
      <c r="I1176" s="1" t="inlineStr">
        <is>
          <t>Gloss</t>
        </is>
      </c>
      <c r="J1176" t="inlineStr"/>
      <c r="K1176" t="n">
        <v>5.75</v>
      </c>
      <c r="L1176" t="n">
        <v>5.75</v>
      </c>
    </row>
    <row r="1177">
      <c r="A1177" s="1">
        <f>Hyperlink("https://www.wallsandfloors.co.uk/antique-smooth-crackle-metro-tiles-bastille-crackle-white-moldura-border-tiles","Product")</f>
        <v/>
      </c>
      <c r="B1177" s="1" t="inlineStr">
        <is>
          <t>13193</t>
        </is>
      </c>
      <c r="C1177" s="1" t="inlineStr">
        <is>
          <t>Bastille Crackle White Moldura Border Tiles</t>
        </is>
      </c>
      <c r="D1177" s="1" t="inlineStr">
        <is>
          <t>150x50x7mm</t>
        </is>
      </c>
      <c r="E1177" s="1" t="n">
        <v>4.95</v>
      </c>
      <c r="F1177" s="1" t="n">
        <v>0</v>
      </c>
      <c r="G1177" s="1" t="inlineStr">
        <is>
          <t>Tile</t>
        </is>
      </c>
      <c r="H1177" s="1" t="inlineStr">
        <is>
          <t>Ceramic</t>
        </is>
      </c>
      <c r="I1177" s="1" t="inlineStr">
        <is>
          <t>Gloss</t>
        </is>
      </c>
      <c r="J1177" t="n">
        <v>4.95</v>
      </c>
      <c r="K1177" t="n">
        <v>4.95</v>
      </c>
      <c r="L1177" t="n">
        <v>4.95</v>
      </c>
    </row>
    <row r="1178">
      <c r="A1178" s="1">
        <f>Hyperlink("https://www.wallsandfloors.co.uk/antique-smooth-crackle-metro-tiles-les-sablons-crackle-blue-floral-border-tiles","Product")</f>
        <v/>
      </c>
      <c r="B1178" s="1" t="inlineStr">
        <is>
          <t>13170</t>
        </is>
      </c>
      <c r="C1178" s="1" t="inlineStr">
        <is>
          <t>Les Sablons Crackle Blue Floral Border Tiles</t>
        </is>
      </c>
      <c r="D1178" s="1" t="inlineStr">
        <is>
          <t>150x75x7mm</t>
        </is>
      </c>
      <c r="E1178" s="1" t="n">
        <v>5.75</v>
      </c>
      <c r="F1178" s="1" t="n">
        <v>0</v>
      </c>
      <c r="G1178" s="1" t="inlineStr">
        <is>
          <t>Tile</t>
        </is>
      </c>
      <c r="H1178" s="1" t="inlineStr">
        <is>
          <t>Ceramic</t>
        </is>
      </c>
      <c r="I1178" s="1" t="inlineStr">
        <is>
          <t>Gloss</t>
        </is>
      </c>
      <c r="J1178" t="n">
        <v>5.75</v>
      </c>
      <c r="K1178" t="inlineStr"/>
      <c r="L1178" t="n">
        <v>5.75</v>
      </c>
    </row>
    <row r="1179">
      <c r="A1179" s="1">
        <f>Hyperlink("https://www.wallsandfloors.co.uk/antique-glass-mosaic-tiles-crystal-tiles","Product")</f>
        <v/>
      </c>
      <c r="B1179" s="1" t="inlineStr">
        <is>
          <t>7608</t>
        </is>
      </c>
      <c r="C1179" s="1" t="inlineStr">
        <is>
          <t>Antique Glass Crystal Mosaic Tiles</t>
        </is>
      </c>
      <c r="D1179" s="1" t="inlineStr">
        <is>
          <t>310x310x8mm</t>
        </is>
      </c>
      <c r="E1179" s="1" t="n">
        <v>3.95</v>
      </c>
      <c r="F1179" s="1" t="n">
        <v>0</v>
      </c>
      <c r="G1179" s="1" t="inlineStr">
        <is>
          <t>Sheet</t>
        </is>
      </c>
      <c r="H1179" s="1" t="inlineStr">
        <is>
          <t>Glass</t>
        </is>
      </c>
      <c r="I1179" s="1" t="inlineStr">
        <is>
          <t>Mixed</t>
        </is>
      </c>
      <c r="J1179" t="n">
        <v>3.95</v>
      </c>
      <c r="K1179" t="n">
        <v>3.95</v>
      </c>
      <c r="L1179" t="n">
        <v>3.95</v>
      </c>
    </row>
    <row r="1180">
      <c r="A1180" s="1">
        <f>Hyperlink("https://www.wallsandfloors.co.uk/antique-crackle-metro-tiles-varenne-crackle-teal-tiles","Product")</f>
        <v/>
      </c>
      <c r="B1180" s="1" t="inlineStr">
        <is>
          <t>14450</t>
        </is>
      </c>
      <c r="C1180" s="1" t="inlineStr">
        <is>
          <t>Varenne Crackle Teal Tiles</t>
        </is>
      </c>
      <c r="D1180" s="1" t="inlineStr">
        <is>
          <t>150x75x7mm</t>
        </is>
      </c>
      <c r="E1180" s="1" t="n">
        <v>40.95</v>
      </c>
      <c r="F1180" s="1" t="n">
        <v>0</v>
      </c>
      <c r="G1180" s="1" t="inlineStr">
        <is>
          <t>SQM</t>
        </is>
      </c>
      <c r="H1180" s="1" t="inlineStr">
        <is>
          <t>Ceramic</t>
        </is>
      </c>
      <c r="I1180" s="1" t="inlineStr">
        <is>
          <t>Gloss</t>
        </is>
      </c>
      <c r="J1180" t="inlineStr"/>
      <c r="K1180" t="n">
        <v>40.95</v>
      </c>
      <c r="L1180" t="n">
        <v>40.95</v>
      </c>
    </row>
    <row r="1181">
      <c r="A1181" s="1">
        <f>Hyperlink("https://www.wallsandfloors.co.uk/antique-crackle-metro-tiles-tuileries-cream-crackle-metro-tiles","Product")</f>
        <v/>
      </c>
      <c r="B1181" s="1" t="inlineStr">
        <is>
          <t>11042</t>
        </is>
      </c>
      <c r="C1181" s="1" t="inlineStr">
        <is>
          <t>Tuileries Cream Crackle Metro Tiles</t>
        </is>
      </c>
      <c r="D1181" s="1" t="inlineStr">
        <is>
          <t>150x75x7mm</t>
        </is>
      </c>
      <c r="E1181" s="1" t="n">
        <v>40.95</v>
      </c>
      <c r="F1181" s="1" t="n">
        <v>0</v>
      </c>
      <c r="G1181" s="1" t="inlineStr">
        <is>
          <t>SQM</t>
        </is>
      </c>
      <c r="H1181" s="1" t="inlineStr">
        <is>
          <t>Ceramic</t>
        </is>
      </c>
      <c r="I1181" s="1" t="inlineStr">
        <is>
          <t>Gloss</t>
        </is>
      </c>
      <c r="J1181" t="n">
        <v>40.95</v>
      </c>
      <c r="K1181" t="n">
        <v>40.95</v>
      </c>
      <c r="L1181" t="n">
        <v>40.95</v>
      </c>
    </row>
    <row r="1182">
      <c r="A1182" s="1">
        <f>Hyperlink("https://www.wallsandfloors.co.uk/antique-crackle-metro-tiles-porte-maillot-grey-crackle-metro-tiles","Product")</f>
        <v/>
      </c>
      <c r="B1182" s="1" t="inlineStr">
        <is>
          <t>11043</t>
        </is>
      </c>
      <c r="C1182" s="1" t="inlineStr">
        <is>
          <t>Porte Maillot Grey Crackle Metro Tiles</t>
        </is>
      </c>
      <c r="D1182" s="1" t="inlineStr">
        <is>
          <t>150x75x7mm</t>
        </is>
      </c>
      <c r="E1182" s="1" t="n">
        <v>40.95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Gloss</t>
        </is>
      </c>
      <c r="J1182" t="n">
        <v>40.95</v>
      </c>
      <c r="K1182" t="n">
        <v>40.95</v>
      </c>
      <c r="L1182" t="n">
        <v>40.95</v>
      </c>
    </row>
    <row r="1183">
      <c r="A1183" s="1">
        <f>Hyperlink("https://www.wallsandfloors.co.uk/antique-crackle-metro-tiles-monceau-blue-crackle-tiles","Product")</f>
        <v/>
      </c>
      <c r="B1183" s="1" t="inlineStr">
        <is>
          <t>14449</t>
        </is>
      </c>
      <c r="C1183" s="1" t="inlineStr">
        <is>
          <t>Monceau Teal Crackle Tiles</t>
        </is>
      </c>
      <c r="D1183" s="1" t="inlineStr">
        <is>
          <t>150x75x7mm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Ceramic</t>
        </is>
      </c>
      <c r="I1183" s="1" t="inlineStr">
        <is>
          <t>Gloss</t>
        </is>
      </c>
      <c r="J1183" t="n">
        <v>40.95</v>
      </c>
      <c r="K1183" t="n">
        <v>40.95</v>
      </c>
      <c r="L1183" t="n">
        <v>40.95</v>
      </c>
    </row>
    <row r="1184">
      <c r="A1184" s="1">
        <f>Hyperlink("https://www.wallsandfloors.co.uk/antique-crackle-metro-tiles-madeleine-purple-crackle-metro-tiles","Product")</f>
        <v/>
      </c>
      <c r="B1184" s="1" t="inlineStr">
        <is>
          <t>13119</t>
        </is>
      </c>
      <c r="C1184" s="1" t="inlineStr">
        <is>
          <t>Madeleine Purple Crackle Metro Tiles</t>
        </is>
      </c>
      <c r="D1184" s="1" t="inlineStr">
        <is>
          <t>150x75x7mm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Ceramic</t>
        </is>
      </c>
      <c r="I1184" s="1" t="inlineStr">
        <is>
          <t>Gloss</t>
        </is>
      </c>
      <c r="J1184" t="inlineStr"/>
      <c r="K1184" t="n">
        <v>40.95</v>
      </c>
      <c r="L1184" t="n">
        <v>40.95</v>
      </c>
    </row>
    <row r="1185">
      <c r="A1185" s="1">
        <f>Hyperlink("https://www.wallsandfloors.co.uk/antique-crackle-metro-tiles-les-sablons-blue-crackle-metro-tiles","Product")</f>
        <v/>
      </c>
      <c r="B1185" s="1" t="inlineStr">
        <is>
          <t>11040</t>
        </is>
      </c>
      <c r="C1185" s="1" t="inlineStr">
        <is>
          <t>Antique Les Sablons Blue Crackle Metro Tiles</t>
        </is>
      </c>
      <c r="D1185" s="1" t="inlineStr">
        <is>
          <t>150x75x7mm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Ceramic</t>
        </is>
      </c>
      <c r="I1185" s="1" t="inlineStr">
        <is>
          <t>Gloss</t>
        </is>
      </c>
      <c r="J1185" t="n">
        <v>40.95</v>
      </c>
      <c r="K1185" t="n">
        <v>40.95</v>
      </c>
      <c r="L1185" t="n">
        <v>40.95</v>
      </c>
    </row>
    <row r="1186">
      <c r="A1186" s="1">
        <f>Hyperlink("https://www.wallsandfloors.co.uk/antique-crackle-metro-tiles-le-vert-de-maisons-green-crackle-metro-tiles","Product")</f>
        <v/>
      </c>
      <c r="B1186" s="1" t="inlineStr">
        <is>
          <t>12344</t>
        </is>
      </c>
      <c r="C1186" s="1" t="inlineStr">
        <is>
          <t>Le Vert De Maisons Green Crackle Metro Tiles</t>
        </is>
      </c>
      <c r="D1186" s="1" t="inlineStr">
        <is>
          <t>150x75x7mm</t>
        </is>
      </c>
      <c r="E1186" s="1" t="n">
        <v>40.95</v>
      </c>
      <c r="F1186" s="1" t="n">
        <v>0</v>
      </c>
      <c r="G1186" s="1" t="inlineStr">
        <is>
          <t>SQM</t>
        </is>
      </c>
      <c r="H1186" s="1" t="inlineStr">
        <is>
          <t>Ceramic</t>
        </is>
      </c>
      <c r="I1186" s="1" t="inlineStr">
        <is>
          <t>Gloss</t>
        </is>
      </c>
      <c r="J1186" t="n">
        <v>40.95</v>
      </c>
      <c r="K1186" t="n">
        <v>40.95</v>
      </c>
      <c r="L1186" t="n">
        <v>40.95</v>
      </c>
    </row>
    <row r="1187">
      <c r="A1187" s="1">
        <f>Hyperlink("https://www.wallsandfloors.co.uk/antique-crackle-metro-tiles-hotel-de-ville-blue-crackle-tiles","Product")</f>
        <v/>
      </c>
      <c r="B1187" s="1" t="inlineStr">
        <is>
          <t>13583</t>
        </is>
      </c>
      <c r="C1187" s="1" t="inlineStr">
        <is>
          <t>Hotel De Ville Blue Crackle Tiles</t>
        </is>
      </c>
      <c r="D1187" s="1" t="inlineStr">
        <is>
          <t>150x75x7mm</t>
        </is>
      </c>
      <c r="E1187" s="1" t="n">
        <v>40.95</v>
      </c>
      <c r="F1187" s="1" t="n">
        <v>0</v>
      </c>
      <c r="G1187" s="1" t="inlineStr">
        <is>
          <t>SQM</t>
        </is>
      </c>
      <c r="H1187" s="1" t="inlineStr">
        <is>
          <t>Ceramic</t>
        </is>
      </c>
      <c r="I1187" s="1" t="inlineStr">
        <is>
          <t>Gloss</t>
        </is>
      </c>
      <c r="J1187" t="n">
        <v>40.95</v>
      </c>
      <c r="K1187" t="n">
        <v>40.95</v>
      </c>
      <c r="L1187" t="n">
        <v>40.95</v>
      </c>
    </row>
    <row r="1188">
      <c r="A1188" s="1">
        <f>Hyperlink("https://www.wallsandfloors.co.uk/antique-crackle-metro-tiles-chamarande-cream-crackle-metro-tiles","Product")</f>
        <v/>
      </c>
      <c r="B1188" s="1" t="inlineStr">
        <is>
          <t>12343</t>
        </is>
      </c>
      <c r="C1188" s="1" t="inlineStr">
        <is>
          <t>Antique Chamarande Cream Crackle Metro Tiles</t>
        </is>
      </c>
      <c r="D1188" s="1" t="inlineStr">
        <is>
          <t>150x75x7mm</t>
        </is>
      </c>
      <c r="E1188" s="1" t="n">
        <v>40.95</v>
      </c>
      <c r="F1188" s="1" t="n">
        <v>0</v>
      </c>
      <c r="G1188" s="1" t="inlineStr">
        <is>
          <t>SQM</t>
        </is>
      </c>
      <c r="H1188" s="1" t="inlineStr">
        <is>
          <t>Ceramic</t>
        </is>
      </c>
      <c r="I1188" s="1" t="inlineStr">
        <is>
          <t>Gloss</t>
        </is>
      </c>
      <c r="J1188" t="inlineStr"/>
      <c r="K1188" t="n">
        <v>40.95</v>
      </c>
      <c r="L1188" t="n">
        <v>40.95</v>
      </c>
    </row>
    <row r="1189">
      <c r="A1189" s="1">
        <f>Hyperlink("https://www.wallsandfloors.co.uk/antique-crackle-metro-tiles-bastille-white-crackle-metro-tiles","Product")</f>
        <v/>
      </c>
      <c r="B1189" s="1" t="inlineStr">
        <is>
          <t>11041</t>
        </is>
      </c>
      <c r="C1189" s="1" t="inlineStr">
        <is>
          <t>Bastille White Crackle Metro Tiles</t>
        </is>
      </c>
      <c r="D1189" s="1" t="inlineStr">
        <is>
          <t>150x75x7mm</t>
        </is>
      </c>
      <c r="E1189" s="1" t="n">
        <v>36.95</v>
      </c>
      <c r="F1189" s="1" t="n">
        <v>0</v>
      </c>
      <c r="G1189" s="1" t="inlineStr">
        <is>
          <t>SQM</t>
        </is>
      </c>
      <c r="H1189" s="1" t="inlineStr">
        <is>
          <t>Ceramic</t>
        </is>
      </c>
      <c r="I1189" s="1" t="inlineStr">
        <is>
          <t>Gloss</t>
        </is>
      </c>
      <c r="J1189" t="inlineStr"/>
      <c r="K1189" t="n">
        <v>36.95</v>
      </c>
      <c r="L1189" t="n">
        <v>36.95</v>
      </c>
    </row>
    <row r="1190">
      <c r="A1190" s="1">
        <f>Hyperlink("https://www.wallsandfloors.co.uk/antique-delft-tiles-antique-delft-crackle-border-tiles","Product")</f>
        <v/>
      </c>
      <c r="B1190" s="1" t="inlineStr">
        <is>
          <t>13911</t>
        </is>
      </c>
      <c r="C1190" s="1" t="inlineStr">
        <is>
          <t>Antique Delft Crackle Border Tiles</t>
        </is>
      </c>
      <c r="D1190" s="1" t="inlineStr">
        <is>
          <t>150x75x7mm</t>
        </is>
      </c>
      <c r="E1190" s="1" t="n">
        <v>2.45</v>
      </c>
      <c r="F1190" s="1" t="n">
        <v>0</v>
      </c>
      <c r="G1190" s="1" t="inlineStr">
        <is>
          <t>SQM</t>
        </is>
      </c>
      <c r="H1190" s="1" t="inlineStr">
        <is>
          <t>Ceramic</t>
        </is>
      </c>
      <c r="I1190" s="1" t="inlineStr">
        <is>
          <t>Gloss</t>
        </is>
      </c>
      <c r="J1190" t="n">
        <v>2.45</v>
      </c>
      <c r="K1190" t="n">
        <v>2.45</v>
      </c>
      <c r="L1190" t="n">
        <v>2.45</v>
      </c>
    </row>
    <row r="1191">
      <c r="A1191" s="1">
        <f>Hyperlink("https://www.wallsandfloors.co.uk/antique-smooth-crackle-metro-tiles-les-sablons-crackle-blue-moldura-border-tiles","Product")</f>
        <v/>
      </c>
      <c r="B1191" s="1" t="inlineStr">
        <is>
          <t>13179</t>
        </is>
      </c>
      <c r="C1191" s="1" t="inlineStr">
        <is>
          <t>Les Sablons Crackle Blue Moldura Border Tiles</t>
        </is>
      </c>
      <c r="D1191" s="1" t="inlineStr">
        <is>
          <t>150x50x7mm</t>
        </is>
      </c>
      <c r="E1191" s="1" t="n">
        <v>4.95</v>
      </c>
      <c r="F1191" s="1" t="n">
        <v>0</v>
      </c>
      <c r="G1191" s="1" t="inlineStr">
        <is>
          <t>SQM</t>
        </is>
      </c>
      <c r="H1191" s="1" t="inlineStr">
        <is>
          <t>Ceramic</t>
        </is>
      </c>
      <c r="I1191" s="1" t="inlineStr">
        <is>
          <t>Gloss</t>
        </is>
      </c>
      <c r="J1191" t="n">
        <v>4.95</v>
      </c>
      <c r="K1191" t="n">
        <v>4.95</v>
      </c>
      <c r="L1191" t="n">
        <v>4.95</v>
      </c>
    </row>
    <row r="1192">
      <c r="A1192" s="1">
        <f>Hyperlink("https://www.wallsandfloors.co.uk/antique-smooth-crackle-metro-tiles-madeleine-crackle-purple-moldura-border-tiles","Product")</f>
        <v/>
      </c>
      <c r="B1192" s="1" t="inlineStr">
        <is>
          <t>13195</t>
        </is>
      </c>
      <c r="C1192" s="1" t="inlineStr">
        <is>
          <t>Madeleine Crackle Purple Moldura Border Tiles</t>
        </is>
      </c>
      <c r="D1192" s="1" t="inlineStr">
        <is>
          <t>150x50x7mm</t>
        </is>
      </c>
      <c r="E1192" s="1" t="n">
        <v>4.95</v>
      </c>
      <c r="F1192" s="1" t="n">
        <v>0</v>
      </c>
      <c r="G1192" s="1" t="inlineStr">
        <is>
          <t>SQM</t>
        </is>
      </c>
      <c r="H1192" s="1" t="inlineStr">
        <is>
          <t>Ceramic</t>
        </is>
      </c>
      <c r="I1192" s="1" t="inlineStr">
        <is>
          <t>Gloss</t>
        </is>
      </c>
      <c r="J1192" t="inlineStr"/>
      <c r="K1192" t="inlineStr"/>
      <c r="L1192" t="n">
        <v>4.95</v>
      </c>
    </row>
    <row r="1193">
      <c r="A1193" s="1">
        <f>Hyperlink("https://www.wallsandfloors.co.uk/antique-smooth-crackle-metro-tiles-monceau-teal-smooth-crackle-metro-tiles","Product")</f>
        <v/>
      </c>
      <c r="B1193" s="1" t="inlineStr">
        <is>
          <t>14446</t>
        </is>
      </c>
      <c r="C1193" s="1" t="inlineStr">
        <is>
          <t>Monceau Teal Crackle Flat Metro Tiles</t>
        </is>
      </c>
      <c r="D1193" s="1" t="inlineStr">
        <is>
          <t>150x75x7mm</t>
        </is>
      </c>
      <c r="E1193" s="1" t="n">
        <v>40.95</v>
      </c>
      <c r="F1193" s="1" t="n">
        <v>0</v>
      </c>
      <c r="G1193" s="1" t="inlineStr">
        <is>
          <t>SQM</t>
        </is>
      </c>
      <c r="H1193" s="1" t="inlineStr">
        <is>
          <t>Ceramic</t>
        </is>
      </c>
      <c r="I1193" s="1" t="inlineStr">
        <is>
          <t>Gloss</t>
        </is>
      </c>
      <c r="J1193" t="n">
        <v>40.95</v>
      </c>
      <c r="K1193" t="n">
        <v>40.95</v>
      </c>
      <c r="L1193" t="n">
        <v>40.95</v>
      </c>
    </row>
    <row r="1194">
      <c r="A1194" s="1">
        <f>Hyperlink("https://www.wallsandfloors.co.uk/aragon-autumn-brown-quarry-tiles-r-e-15x15-tiles","Product")</f>
        <v/>
      </c>
      <c r="B1194" s="1" t="inlineStr">
        <is>
          <t>11523</t>
        </is>
      </c>
      <c r="C1194" s="1" t="inlineStr">
        <is>
          <t>Aragon Autumn Brown R.E Quarry Tiles</t>
        </is>
      </c>
      <c r="D1194" s="1" t="inlineStr">
        <is>
          <t>150x150x12mm</t>
        </is>
      </c>
      <c r="E1194" s="1" t="n">
        <v>3.95</v>
      </c>
      <c r="F1194" s="1" t="n">
        <v>0</v>
      </c>
      <c r="G1194" s="1" t="inlineStr">
        <is>
          <t>Tile</t>
        </is>
      </c>
      <c r="H1194" s="1" t="inlineStr">
        <is>
          <t>Clay</t>
        </is>
      </c>
      <c r="I1194" s="1" t="inlineStr">
        <is>
          <t>Matt</t>
        </is>
      </c>
      <c r="J1194" t="n">
        <v>3.95</v>
      </c>
      <c r="K1194" t="inlineStr"/>
      <c r="L1194" t="n">
        <v>3.95</v>
      </c>
    </row>
    <row r="1195">
      <c r="A1195" s="1">
        <f>Hyperlink("https://www.wallsandfloors.co.uk/aragon-autumn-brown-quarry-tiles-internal-angle-quarry-tiles","Product")</f>
        <v/>
      </c>
      <c r="B1195" s="1" t="inlineStr">
        <is>
          <t>11522</t>
        </is>
      </c>
      <c r="C1195" s="1" t="inlineStr">
        <is>
          <t>Internal Angle Quarry Tiles</t>
        </is>
      </c>
      <c r="D1195" s="1" t="inlineStr">
        <is>
          <t>115x30x12mm</t>
        </is>
      </c>
      <c r="E1195" s="1" t="n">
        <v>9.949999999999999</v>
      </c>
      <c r="F1195" s="1" t="n">
        <v>0</v>
      </c>
      <c r="G1195" s="1" t="inlineStr">
        <is>
          <t>Tile</t>
        </is>
      </c>
      <c r="H1195" s="1" t="inlineStr">
        <is>
          <t>Clay</t>
        </is>
      </c>
      <c r="I1195" s="1" t="inlineStr">
        <is>
          <t>Matt</t>
        </is>
      </c>
      <c r="J1195" t="inlineStr"/>
      <c r="K1195" t="n">
        <v>9.949999999999999</v>
      </c>
      <c r="L1195" t="n">
        <v>9.949999999999999</v>
      </c>
    </row>
    <row r="1196">
      <c r="A1196" s="1">
        <f>Hyperlink("https://www.wallsandfloors.co.uk/aragon-autumn-brown-quarry-tiles-flat-20x20-tiles","Product")</f>
        <v/>
      </c>
      <c r="B1196" s="1" t="inlineStr">
        <is>
          <t>12111</t>
        </is>
      </c>
      <c r="C1196" s="1" t="inlineStr">
        <is>
          <t>Aragon Flat Brown Quarry Tiles</t>
        </is>
      </c>
      <c r="D1196" s="1" t="inlineStr">
        <is>
          <t>200x200x12mm</t>
        </is>
      </c>
      <c r="E1196" s="1" t="n">
        <v>50.95</v>
      </c>
      <c r="F1196" s="1" t="n">
        <v>0</v>
      </c>
      <c r="G1196" s="1" t="inlineStr">
        <is>
          <t>SQM</t>
        </is>
      </c>
      <c r="H1196" s="1" t="inlineStr">
        <is>
          <t>Clay</t>
        </is>
      </c>
      <c r="I1196" s="1" t="inlineStr">
        <is>
          <t>Matt</t>
        </is>
      </c>
      <c r="J1196" t="n">
        <v>50.95</v>
      </c>
      <c r="K1196" t="n">
        <v>50.95</v>
      </c>
      <c r="L1196" t="n">
        <v>50.95</v>
      </c>
    </row>
    <row r="1197">
      <c r="A1197" s="1">
        <f>Hyperlink("https://www.wallsandfloors.co.uk/aragon-autumn-brown-quarry-tiles-flat-15x15-tiles","Product")</f>
        <v/>
      </c>
      <c r="B1197" s="1" t="inlineStr">
        <is>
          <t>11519</t>
        </is>
      </c>
      <c r="C1197" s="1" t="inlineStr">
        <is>
          <t>Aragon Flat Brown Quarry Tiles</t>
        </is>
      </c>
      <c r="D1197" s="1" t="inlineStr">
        <is>
          <t>150x150x12mm</t>
        </is>
      </c>
      <c r="E1197" s="1" t="n">
        <v>40.95</v>
      </c>
      <c r="F1197" s="1" t="n">
        <v>0</v>
      </c>
      <c r="G1197" s="1" t="inlineStr"/>
      <c r="H1197" s="1" t="inlineStr">
        <is>
          <t>Clay</t>
        </is>
      </c>
      <c r="I1197" s="1" t="inlineStr">
        <is>
          <t>Matt</t>
        </is>
      </c>
      <c r="J1197" t="n">
        <v>40.95</v>
      </c>
      <c r="K1197" t="n">
        <v>40.95</v>
      </c>
      <c r="L1197" t="n">
        <v>40.95</v>
      </c>
    </row>
    <row r="1198">
      <c r="A1198" s="1">
        <f>Hyperlink("https://www.wallsandfloors.co.uk/aragon-autumn-brown-quarry-tiles-external-angle-quarry-tiles","Product")</f>
        <v/>
      </c>
      <c r="B1198" s="1" t="inlineStr">
        <is>
          <t>11521</t>
        </is>
      </c>
      <c r="C1198" s="1" t="inlineStr">
        <is>
          <t>External Angle Quarry Tiles</t>
        </is>
      </c>
      <c r="D1198" s="1" t="inlineStr">
        <is>
          <t>115x30x12mm</t>
        </is>
      </c>
      <c r="E1198" s="1" t="n">
        <v>9.949999999999999</v>
      </c>
      <c r="F1198" s="1" t="n">
        <v>0</v>
      </c>
      <c r="G1198" s="1" t="inlineStr">
        <is>
          <t>Tile</t>
        </is>
      </c>
      <c r="H1198" s="1" t="inlineStr">
        <is>
          <t>Clay</t>
        </is>
      </c>
      <c r="I1198" s="1" t="inlineStr">
        <is>
          <t>Matt</t>
        </is>
      </c>
      <c r="J1198" t="n">
        <v>9.949999999999999</v>
      </c>
      <c r="K1198" t="n">
        <v>9.949999999999999</v>
      </c>
      <c r="L1198" t="n">
        <v>9.949999999999999</v>
      </c>
    </row>
    <row r="1199">
      <c r="A1199" s="1">
        <f>Hyperlink("https://www.wallsandfloors.co.uk/aquarelle-300x100-tiles-wheat-tiles","Product")</f>
        <v/>
      </c>
      <c r="B1199" s="1" t="inlineStr">
        <is>
          <t>15405</t>
        </is>
      </c>
      <c r="C1199" s="1" t="inlineStr">
        <is>
          <t>Aquarelle Wheat Cream Tiles</t>
        </is>
      </c>
      <c r="D1199" s="1" t="inlineStr">
        <is>
          <t>300x100x8mm</t>
        </is>
      </c>
      <c r="E1199" s="1" t="n">
        <v>29.95</v>
      </c>
      <c r="F1199" s="1" t="n">
        <v>0</v>
      </c>
      <c r="G1199" s="1" t="inlineStr">
        <is>
          <t>SQM</t>
        </is>
      </c>
      <c r="H1199" s="1" t="inlineStr">
        <is>
          <t>Ceramic</t>
        </is>
      </c>
      <c r="I1199" s="1" t="inlineStr">
        <is>
          <t>Gloss</t>
        </is>
      </c>
      <c r="J1199" t="inlineStr"/>
      <c r="K1199" t="n">
        <v>29.95</v>
      </c>
      <c r="L1199" t="n">
        <v>29.95</v>
      </c>
    </row>
    <row r="1200">
      <c r="A1200" s="1">
        <f>Hyperlink("https://www.wallsandfloors.co.uk/aquarelle-300x100-tiles-umber-tiles","Product")</f>
        <v/>
      </c>
      <c r="B1200" s="1" t="inlineStr">
        <is>
          <t>15409</t>
        </is>
      </c>
      <c r="C1200" s="1" t="inlineStr">
        <is>
          <t>Aquarelle Umber Grey Tiles</t>
        </is>
      </c>
      <c r="D1200" s="1" t="inlineStr">
        <is>
          <t>300x100x8mm</t>
        </is>
      </c>
      <c r="E1200" s="1" t="n">
        <v>30.95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n">
        <v>30.95</v>
      </c>
      <c r="K1200" t="inlineStr"/>
      <c r="L1200" t="n">
        <v>30.95</v>
      </c>
    </row>
    <row r="1201">
      <c r="A1201" s="1">
        <f>Hyperlink("https://www.wallsandfloors.co.uk/aquarelle-300x100-tiles-oatmeal-tiles","Product")</f>
        <v/>
      </c>
      <c r="B1201" s="1" t="inlineStr">
        <is>
          <t>15406</t>
        </is>
      </c>
      <c r="C1201" s="1" t="inlineStr">
        <is>
          <t>Aquarelle Oatmeal Cream Tiles</t>
        </is>
      </c>
      <c r="D1201" s="1" t="inlineStr">
        <is>
          <t>300x100x8mm</t>
        </is>
      </c>
      <c r="E1201" s="1" t="n">
        <v>29.95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inlineStr"/>
      <c r="K1201" t="n">
        <v>29.95</v>
      </c>
      <c r="L1201" t="n">
        <v>29.95</v>
      </c>
    </row>
    <row r="1202">
      <c r="A1202" s="1">
        <f>Hyperlink("https://www.wallsandfloors.co.uk/aquarelle-300x100-tiles-mocha-tiles","Product")</f>
        <v/>
      </c>
      <c r="B1202" s="1" t="inlineStr">
        <is>
          <t>15680</t>
        </is>
      </c>
      <c r="C1202" s="1" t="inlineStr">
        <is>
          <t>Aquarelle Mocha Brown Tiles</t>
        </is>
      </c>
      <c r="D1202" s="1" t="inlineStr">
        <is>
          <t>300x100x8mm</t>
        </is>
      </c>
      <c r="E1202" s="1" t="n">
        <v>29.95</v>
      </c>
      <c r="F1202" s="1" t="n">
        <v>0</v>
      </c>
      <c r="G1202" s="1" t="inlineStr">
        <is>
          <t>SQM</t>
        </is>
      </c>
      <c r="H1202" s="1" t="inlineStr">
        <is>
          <t>Ceramic</t>
        </is>
      </c>
      <c r="I1202" s="1" t="inlineStr">
        <is>
          <t>Gloss</t>
        </is>
      </c>
      <c r="J1202" t="n">
        <v>29.95</v>
      </c>
      <c r="K1202" t="n">
        <v>29.95</v>
      </c>
      <c r="L1202" t="n">
        <v>29.95</v>
      </c>
    </row>
    <row r="1203">
      <c r="A1203" s="1">
        <f>Hyperlink("https://www.wallsandfloors.co.uk/apollo-hexagon-mosaic-tiles-aurora-mix-hexagon-mosaic-tiles","Product")</f>
        <v/>
      </c>
      <c r="B1203" s="1" t="inlineStr">
        <is>
          <t>14091</t>
        </is>
      </c>
      <c r="C1203" s="1" t="inlineStr">
        <is>
          <t>Apollo Aurora Mix Hexagon Mosaic Tiles</t>
        </is>
      </c>
      <c r="D1203" s="1" t="inlineStr">
        <is>
          <t>301x290x4.4mm</t>
        </is>
      </c>
      <c r="E1203" s="1" t="n">
        <v>13.95</v>
      </c>
      <c r="F1203" s="1" t="n">
        <v>0</v>
      </c>
      <c r="G1203" s="1" t="inlineStr">
        <is>
          <t>Sheet</t>
        </is>
      </c>
      <c r="H1203" s="1" t="inlineStr">
        <is>
          <t>Glass</t>
        </is>
      </c>
      <c r="I1203" s="1" t="inlineStr">
        <is>
          <t>Mixed</t>
        </is>
      </c>
      <c r="J1203" t="n">
        <v>13.95</v>
      </c>
      <c r="K1203" t="inlineStr"/>
      <c r="L1203" t="n">
        <v>13.95</v>
      </c>
    </row>
    <row r="1204">
      <c r="A1204" s="1">
        <f>Hyperlink("https://www.wallsandfloors.co.uk/apennine-flat-gloss-20x10-tiles","Product")</f>
        <v/>
      </c>
      <c r="B1204" s="1" t="inlineStr">
        <is>
          <t>37744</t>
        </is>
      </c>
      <c r="C1204" s="1" t="inlineStr">
        <is>
          <t>Vena Biana Flat Gloss Tiles</t>
        </is>
      </c>
      <c r="D1204" s="1" t="inlineStr">
        <is>
          <t>200x100x6.5mm</t>
        </is>
      </c>
      <c r="E1204" s="1" t="n">
        <v>19.65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Gloss</t>
        </is>
      </c>
      <c r="J1204" t="n">
        <v>19.65</v>
      </c>
      <c r="K1204" t="n">
        <v>19.65</v>
      </c>
      <c r="L1204" t="n">
        <v>19.65</v>
      </c>
    </row>
    <row r="1205">
      <c r="A1205" s="1">
        <f>Hyperlink("https://www.wallsandfloors.co.uk/antoinette-parquet-whiteleaf-jewel-wood-tiles","Product")</f>
        <v/>
      </c>
      <c r="B1205" s="1" t="inlineStr">
        <is>
          <t>38478</t>
        </is>
      </c>
      <c r="C1205" s="1" t="inlineStr">
        <is>
          <t>Antoinette Parquet Whiteleaf Jewel Wood Tiles</t>
        </is>
      </c>
      <c r="D1205" s="1" t="inlineStr">
        <is>
          <t>800x800x10mm</t>
        </is>
      </c>
      <c r="E1205" s="1" t="n">
        <v>43.95</v>
      </c>
      <c r="F1205" s="1" t="n">
        <v>0</v>
      </c>
      <c r="G1205" s="1" t="inlineStr">
        <is>
          <t>SQM</t>
        </is>
      </c>
      <c r="H1205" s="1" t="inlineStr">
        <is>
          <t>Porcelain</t>
        </is>
      </c>
      <c r="I1205" s="1" t="inlineStr">
        <is>
          <t>Matt</t>
        </is>
      </c>
      <c r="J1205" t="n">
        <v>43.95</v>
      </c>
      <c r="K1205" t="n">
        <v>43.95</v>
      </c>
      <c r="L1205" t="n">
        <v>43.95</v>
      </c>
    </row>
    <row r="1206">
      <c r="A1206" s="1">
        <f>Hyperlink("https://www.wallsandfloors.co.uk/antoinette-parquet-whiteleaf-jazz-wood-tiles","Product")</f>
        <v/>
      </c>
      <c r="B1206" s="1" t="inlineStr">
        <is>
          <t>38481</t>
        </is>
      </c>
      <c r="C1206" s="1" t="inlineStr">
        <is>
          <t>Antoinette Parquet Whiteleaf Jazz Wood Tiles</t>
        </is>
      </c>
      <c r="D1206" s="1" t="inlineStr">
        <is>
          <t>800x800x10mm</t>
        </is>
      </c>
      <c r="E1206" s="1" t="n">
        <v>43.95</v>
      </c>
      <c r="F1206" s="1" t="n">
        <v>0</v>
      </c>
      <c r="G1206" s="1" t="inlineStr">
        <is>
          <t>SQM</t>
        </is>
      </c>
      <c r="H1206" s="1" t="inlineStr">
        <is>
          <t>Porcelain</t>
        </is>
      </c>
      <c r="I1206" s="1" t="inlineStr">
        <is>
          <t>Matt</t>
        </is>
      </c>
      <c r="J1206" t="n">
        <v>43.95</v>
      </c>
      <c r="K1206" t="inlineStr"/>
      <c r="L1206" t="n">
        <v>43.95</v>
      </c>
    </row>
    <row r="1207">
      <c r="A1207" s="1">
        <f>Hyperlink("https://www.wallsandfloors.co.uk/antoinette-parquet-maple-jewel-wood-tiles","Product")</f>
        <v/>
      </c>
      <c r="B1207" s="1" t="inlineStr">
        <is>
          <t>38479</t>
        </is>
      </c>
      <c r="C1207" s="1" t="inlineStr">
        <is>
          <t>Antoinette Parquet Maple Jewel Wood Tiles</t>
        </is>
      </c>
      <c r="D1207" s="1" t="inlineStr">
        <is>
          <t>800x800x10mm</t>
        </is>
      </c>
      <c r="E1207" s="1" t="n">
        <v>43.95</v>
      </c>
      <c r="F1207" s="1" t="n">
        <v>0</v>
      </c>
      <c r="G1207" s="1" t="inlineStr">
        <is>
          <t>SQM</t>
        </is>
      </c>
      <c r="H1207" s="1" t="inlineStr">
        <is>
          <t>Porcelain</t>
        </is>
      </c>
      <c r="I1207" s="1" t="inlineStr">
        <is>
          <t>Matt</t>
        </is>
      </c>
      <c r="J1207" t="inlineStr"/>
      <c r="K1207" t="n">
        <v>43.95</v>
      </c>
      <c r="L1207" t="n">
        <v>43.95</v>
      </c>
    </row>
    <row r="1208">
      <c r="A1208" s="1">
        <f>Hyperlink("https://www.wallsandfloors.co.uk/antoinette-parquet-maple-jazz-wood-tiles","Product")</f>
        <v/>
      </c>
      <c r="B1208" s="1" t="inlineStr">
        <is>
          <t>38482</t>
        </is>
      </c>
      <c r="C1208" s="1" t="inlineStr">
        <is>
          <t>Antoinette Parquet Maple Jazz Wood Tiles</t>
        </is>
      </c>
      <c r="D1208" s="1" t="inlineStr">
        <is>
          <t>800x800x10mm</t>
        </is>
      </c>
      <c r="E1208" s="1" t="n">
        <v>43.95</v>
      </c>
      <c r="F1208" s="1" t="n">
        <v>0</v>
      </c>
      <c r="G1208" s="1" t="inlineStr">
        <is>
          <t>SQM</t>
        </is>
      </c>
      <c r="H1208" s="1" t="inlineStr">
        <is>
          <t>Porcelain</t>
        </is>
      </c>
      <c r="I1208" s="1" t="inlineStr">
        <is>
          <t>Matt</t>
        </is>
      </c>
      <c r="J1208" t="n">
        <v>43.95</v>
      </c>
      <c r="K1208" t="n">
        <v>43.95</v>
      </c>
      <c r="L1208" t="n">
        <v>43.95</v>
      </c>
    </row>
    <row r="1209">
      <c r="A1209" s="1">
        <f>Hyperlink("https://www.wallsandfloors.co.uk/antoinette-parquet-cherry-jazz-wood-tiles","Product")</f>
        <v/>
      </c>
      <c r="B1209" s="1" t="inlineStr">
        <is>
          <t>38483</t>
        </is>
      </c>
      <c r="C1209" s="1" t="inlineStr">
        <is>
          <t>Antoinette Parquet Cherry Jazz Wood Tiles</t>
        </is>
      </c>
      <c r="D1209" s="1" t="inlineStr">
        <is>
          <t>800x800x10mm</t>
        </is>
      </c>
      <c r="E1209" s="1" t="n">
        <v>43.95</v>
      </c>
      <c r="F1209" s="1" t="n">
        <v>0</v>
      </c>
      <c r="G1209" s="1" t="inlineStr">
        <is>
          <t>SQM</t>
        </is>
      </c>
      <c r="H1209" s="1" t="inlineStr">
        <is>
          <t>Porcelain</t>
        </is>
      </c>
      <c r="I1209" s="1" t="inlineStr">
        <is>
          <t>Matt</t>
        </is>
      </c>
      <c r="J1209" t="n">
        <v>43.95</v>
      </c>
      <c r="K1209" t="inlineStr"/>
      <c r="L1209" t="n">
        <v>43.95</v>
      </c>
    </row>
    <row r="1210">
      <c r="A1210" s="1">
        <f>Hyperlink("https://www.wallsandfloors.co.uk/antiquity-scintilla-black-tiles","Product")</f>
        <v/>
      </c>
      <c r="B1210" s="1" t="inlineStr">
        <is>
          <t>24746</t>
        </is>
      </c>
      <c r="C1210" s="1" t="inlineStr">
        <is>
          <t>Scintilla Black Star Pattern Tiles</t>
        </is>
      </c>
      <c r="D1210" s="1" t="inlineStr">
        <is>
          <t>450x450x10.5mm</t>
        </is>
      </c>
      <c r="E1210" s="1" t="n">
        <v>19.95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Matt</t>
        </is>
      </c>
      <c r="J1210" t="inlineStr"/>
      <c r="K1210" t="inlineStr"/>
      <c r="L1210" t="n">
        <v>19.95</v>
      </c>
    </row>
    <row r="1211">
      <c r="A1211" s="1">
        <f>Hyperlink("https://www.wallsandfloors.co.uk/antiquity-panoply-tiles","Product")</f>
        <v/>
      </c>
      <c r="B1211" s="1" t="inlineStr">
        <is>
          <t>24741</t>
        </is>
      </c>
      <c r="C1211" s="1" t="inlineStr">
        <is>
          <t>Panoply Tiles</t>
        </is>
      </c>
      <c r="D1211" s="1" t="inlineStr">
        <is>
          <t>450x450x11.5mm</t>
        </is>
      </c>
      <c r="E1211" s="1" t="n">
        <v>26.95</v>
      </c>
      <c r="F1211" s="1" t="n">
        <v>0</v>
      </c>
      <c r="G1211" s="1" t="inlineStr">
        <is>
          <t>SQM</t>
        </is>
      </c>
      <c r="H1211" s="1" t="inlineStr">
        <is>
          <t>Ceramic</t>
        </is>
      </c>
      <c r="I1211" s="1" t="inlineStr">
        <is>
          <t>Matt</t>
        </is>
      </c>
      <c r="J1211" t="n">
        <v>26.95</v>
      </c>
      <c r="K1211" t="inlineStr"/>
      <c r="L1211" t="n">
        <v>26.95</v>
      </c>
    </row>
    <row r="1212">
      <c r="A1212" s="1">
        <f>Hyperlink("https://www.wallsandfloors.co.uk/antiquity-moiety-tiles","Product")</f>
        <v/>
      </c>
      <c r="B1212" s="1" t="inlineStr">
        <is>
          <t>24740</t>
        </is>
      </c>
      <c r="C1212" s="1" t="inlineStr">
        <is>
          <t>Moiety Tiles</t>
        </is>
      </c>
      <c r="D1212" s="1" t="inlineStr">
        <is>
          <t>450x450x11.5mm</t>
        </is>
      </c>
      <c r="E1212" s="1" t="n">
        <v>26.95</v>
      </c>
      <c r="F1212" s="1" t="n">
        <v>0</v>
      </c>
      <c r="G1212" s="1" t="inlineStr">
        <is>
          <t>SQM</t>
        </is>
      </c>
      <c r="H1212" s="1" t="inlineStr">
        <is>
          <t>Ceramic</t>
        </is>
      </c>
      <c r="I1212" s="1" t="inlineStr">
        <is>
          <t>Matt</t>
        </is>
      </c>
      <c r="J1212" t="n">
        <v>26.95</v>
      </c>
      <c r="K1212" t="n">
        <v>26.95</v>
      </c>
      <c r="L1212" t="n">
        <v>26.95</v>
      </c>
    </row>
    <row r="1213">
      <c r="A1213" s="1">
        <f>Hyperlink("https://www.wallsandfloors.co.uk/antique-smooth-crackle-square-tiles-bastille-crackle-15x15-white-tiles","Product")</f>
        <v/>
      </c>
      <c r="B1213" s="1" t="inlineStr">
        <is>
          <t>13105</t>
        </is>
      </c>
      <c r="C1213" s="1" t="inlineStr">
        <is>
          <t>Bastille White Square Crackle Tiles</t>
        </is>
      </c>
      <c r="D1213" s="1" t="inlineStr">
        <is>
          <t>150x150x7mm</t>
        </is>
      </c>
      <c r="E1213" s="1" t="n">
        <v>38.95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38.95</v>
      </c>
      <c r="K1213" t="inlineStr"/>
      <c r="L1213" t="n">
        <v>38.95</v>
      </c>
    </row>
    <row r="1214">
      <c r="A1214" s="1">
        <f>Hyperlink("https://www.wallsandfloors.co.uk/antique-smooth-crackle-square-tiles-bastille-crackle-10x10-white-tiles","Product")</f>
        <v/>
      </c>
      <c r="B1214" s="1" t="inlineStr">
        <is>
          <t>13104</t>
        </is>
      </c>
      <c r="C1214" s="1" t="inlineStr">
        <is>
          <t>Bastille Crackle White Tiles</t>
        </is>
      </c>
      <c r="D1214" s="1" t="inlineStr">
        <is>
          <t>100x100x7mm</t>
        </is>
      </c>
      <c r="E1214" s="1" t="n">
        <v>38.95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n">
        <v>38.95</v>
      </c>
      <c r="K1214" t="n">
        <v>38.95</v>
      </c>
      <c r="L1214" t="n">
        <v>38.95</v>
      </c>
    </row>
    <row r="1215">
      <c r="A1215" s="1">
        <f>Hyperlink("https://www.wallsandfloors.co.uk/antique-smooth-crackle-metro-tiles-varenne-teal-smooth-crackle-metro-tiles","Product")</f>
        <v/>
      </c>
      <c r="B1215" s="1" t="inlineStr">
        <is>
          <t>14447</t>
        </is>
      </c>
      <c r="C1215" s="1" t="inlineStr">
        <is>
          <t>Varenne Teal Crackle Flat Metro Tiles</t>
        </is>
      </c>
      <c r="D1215" s="1" t="inlineStr">
        <is>
          <t>150x75x7mm</t>
        </is>
      </c>
      <c r="E1215" s="1" t="n">
        <v>40.95</v>
      </c>
      <c r="F1215" s="1" t="n">
        <v>0</v>
      </c>
      <c r="G1215" s="1" t="inlineStr"/>
      <c r="H1215" s="1" t="inlineStr">
        <is>
          <t>Ceramic</t>
        </is>
      </c>
      <c r="I1215" s="1" t="inlineStr">
        <is>
          <t>Gloss</t>
        </is>
      </c>
      <c r="J1215" t="n">
        <v>40.95</v>
      </c>
      <c r="K1215" t="n">
        <v>40.95</v>
      </c>
      <c r="L1215" t="n">
        <v>40.95</v>
      </c>
    </row>
    <row r="1216">
      <c r="A1216" s="1">
        <f>Hyperlink("https://www.wallsandfloors.co.uk/antique-smooth-crackle-metro-tiles-tuileries-cream-crackle-metro-tiles","Product")</f>
        <v/>
      </c>
      <c r="B1216" s="1" t="inlineStr">
        <is>
          <t>11338</t>
        </is>
      </c>
      <c r="C1216" s="1" t="inlineStr">
        <is>
          <t>Tuileries Cream Crackle Flat Metro Tiles</t>
        </is>
      </c>
      <c r="D1216" s="1" t="inlineStr">
        <is>
          <t>150x75x7mm</t>
        </is>
      </c>
      <c r="E1216" s="1" t="n">
        <v>40.95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inlineStr"/>
      <c r="K1216" t="n">
        <v>40.95</v>
      </c>
      <c r="L1216" t="n">
        <v>40.95</v>
      </c>
    </row>
    <row r="1217">
      <c r="A1217" s="1">
        <f>Hyperlink("https://www.wallsandfloors.co.uk/anti-mould-flexible-tile-grout-white-anti-mould-tile-grout-3kg","Product")</f>
        <v/>
      </c>
      <c r="B1217" s="1" t="inlineStr">
        <is>
          <t>13825</t>
        </is>
      </c>
      <c r="C1217" s="1" t="inlineStr">
        <is>
          <t>White Anti-Mould Tile Grout 3kg</t>
        </is>
      </c>
      <c r="D1217" s="1" t="inlineStr">
        <is>
          <t>3 kg</t>
        </is>
      </c>
      <c r="E1217" s="1" t="n">
        <v>10.95</v>
      </c>
      <c r="F1217" s="1" t="n">
        <v>0</v>
      </c>
      <c r="G1217" s="1" t="inlineStr">
        <is>
          <t>Unit</t>
        </is>
      </c>
      <c r="H1217" s="1" t="inlineStr">
        <is>
          <t>Grout</t>
        </is>
      </c>
      <c r="I1217" s="1" t="inlineStr">
        <is>
          <t>-</t>
        </is>
      </c>
      <c r="J1217" t="n">
        <v>10.95</v>
      </c>
      <c r="K1217" t="n">
        <v>10.95</v>
      </c>
      <c r="L1217" t="n">
        <v>10.95</v>
      </c>
    </row>
    <row r="1218">
      <c r="A1218" s="1">
        <f>Hyperlink("https://www.wallsandfloors.co.uk/anti-mould-flexible-tile-grout-limestone-anti-mould-tile-grout-10kg","Product")</f>
        <v/>
      </c>
      <c r="B1218" s="1" t="inlineStr">
        <is>
          <t>13820</t>
        </is>
      </c>
      <c r="C1218" s="1" t="inlineStr">
        <is>
          <t>Limestone Anti-Mould Tile Grout 10kg</t>
        </is>
      </c>
      <c r="D1218" s="1" t="inlineStr">
        <is>
          <t>10 Kg</t>
        </is>
      </c>
      <c r="E1218" s="1" t="n">
        <v>19.95</v>
      </c>
      <c r="F1218" s="1" t="n">
        <v>0</v>
      </c>
      <c r="G1218" s="1" t="inlineStr">
        <is>
          <t>Unit</t>
        </is>
      </c>
      <c r="H1218" s="1" t="inlineStr">
        <is>
          <t>Grout</t>
        </is>
      </c>
      <c r="I1218" s="1" t="inlineStr">
        <is>
          <t>-</t>
        </is>
      </c>
      <c r="J1218" t="n">
        <v>19.95</v>
      </c>
      <c r="K1218" t="n">
        <v>19.95</v>
      </c>
      <c r="L1218" t="n">
        <v>19.95</v>
      </c>
    </row>
    <row r="1219">
      <c r="A1219" s="1">
        <f>Hyperlink("https://www.wallsandfloors.co.uk/anti-mould-flexible-tile-grout-black-charcoal-anti-mould-tile-grout-10kg","Product")</f>
        <v/>
      </c>
      <c r="B1219" s="1" t="inlineStr">
        <is>
          <t>13813</t>
        </is>
      </c>
      <c r="C1219" s="1" t="inlineStr">
        <is>
          <t>Charcoal Anti-Mould Tile Grout 10kg</t>
        </is>
      </c>
      <c r="D1219" s="1" t="inlineStr">
        <is>
          <t>10 Kg</t>
        </is>
      </c>
      <c r="E1219" s="1" t="n">
        <v>19.95</v>
      </c>
      <c r="F1219" s="1" t="n">
        <v>0</v>
      </c>
      <c r="G1219" s="1" t="inlineStr">
        <is>
          <t>Unit</t>
        </is>
      </c>
      <c r="H1219" s="1" t="inlineStr">
        <is>
          <t>Grout</t>
        </is>
      </c>
      <c r="I1219" s="1" t="inlineStr">
        <is>
          <t>-</t>
        </is>
      </c>
      <c r="J1219" t="n">
        <v>19.95</v>
      </c>
      <c r="K1219" t="inlineStr"/>
      <c r="L1219" t="n">
        <v>19.95</v>
      </c>
    </row>
    <row r="1220">
      <c r="A1220" s="1">
        <f>Hyperlink("https://www.wallsandfloors.co.uk/anthracite-triangle-35x35x50mm-tiles","Product")</f>
        <v/>
      </c>
      <c r="B1220" s="1" t="inlineStr">
        <is>
          <t>990137</t>
        </is>
      </c>
      <c r="C1220" s="1" t="inlineStr">
        <is>
          <t>Anthracite Triangle 35x35x50mm Tiles</t>
        </is>
      </c>
      <c r="D1220" s="1" t="inlineStr">
        <is>
          <t>35x35x50mm</t>
        </is>
      </c>
      <c r="E1220" s="1" t="n">
        <v>1.76</v>
      </c>
      <c r="F1220" s="1" t="n">
        <v>0</v>
      </c>
      <c r="G1220" s="1" t="inlineStr">
        <is>
          <t>SQM</t>
        </is>
      </c>
      <c r="H1220" s="1" t="inlineStr">
        <is>
          <t>Porcelain</t>
        </is>
      </c>
      <c r="I1220" s="1" t="inlineStr">
        <is>
          <t>Matt</t>
        </is>
      </c>
      <c r="J1220" t="inlineStr"/>
      <c r="K1220" t="n">
        <v>1.76</v>
      </c>
      <c r="L1220" t="n">
        <v>1.76</v>
      </c>
    </row>
    <row r="1221">
      <c r="A1221" s="1">
        <f>Hyperlink("https://www.wallsandfloors.co.uk/achilles-seashell-tiles","Product")</f>
        <v/>
      </c>
      <c r="B1221" s="1" t="inlineStr">
        <is>
          <t>41393</t>
        </is>
      </c>
      <c r="C1221" s="1" t="inlineStr">
        <is>
          <t>Achilles Seashell Marble Effect Fish Scale Tiles</t>
        </is>
      </c>
      <c r="D1221" s="1" t="inlineStr">
        <is>
          <t>307x307x10mm</t>
        </is>
      </c>
      <c r="E1221" s="1" t="n">
        <v>39.95</v>
      </c>
      <c r="F1221" s="1" t="n">
        <v>0</v>
      </c>
      <c r="G1221" s="1" t="inlineStr">
        <is>
          <t>SQM</t>
        </is>
      </c>
      <c r="H1221" s="1" t="inlineStr">
        <is>
          <t>Porcelain</t>
        </is>
      </c>
      <c r="I1221" s="1" t="inlineStr">
        <is>
          <t>Matt</t>
        </is>
      </c>
      <c r="J1221" t="n">
        <v>39.95</v>
      </c>
      <c r="K1221" t="n">
        <v>39.95</v>
      </c>
      <c r="L1221" t="n">
        <v>39.95</v>
      </c>
    </row>
    <row r="1222">
      <c r="A1222" s="1">
        <f>Hyperlink("https://www.wallsandfloors.co.uk/accessories-for-manual-tile-cutters-scoring-wheel-kit","Product")</f>
        <v/>
      </c>
      <c r="B1222" s="1" t="inlineStr">
        <is>
          <t>9175</t>
        </is>
      </c>
      <c r="C1222" s="1" t="inlineStr">
        <is>
          <t>Scoring Wheel Kit</t>
        </is>
      </c>
      <c r="D1222" s="1" t="inlineStr">
        <is>
          <t>6 8 10 18 and 22mm</t>
        </is>
      </c>
      <c r="E1222" s="1" t="n">
        <v>50.25</v>
      </c>
      <c r="F1222" s="1" t="n">
        <v>0</v>
      </c>
      <c r="G1222" s="1" t="inlineStr">
        <is>
          <t>Unit</t>
        </is>
      </c>
      <c r="H1222" s="1" t="inlineStr">
        <is>
          <t>Spare Wheels and Parts</t>
        </is>
      </c>
      <c r="I1222" s="1" t="inlineStr">
        <is>
          <t>-</t>
        </is>
      </c>
      <c r="J1222" t="n">
        <v>50.25</v>
      </c>
      <c r="K1222" t="inlineStr"/>
      <c r="L1222" t="n">
        <v>50.25</v>
      </c>
    </row>
    <row r="1223">
      <c r="A1223" s="1">
        <f>Hyperlink("https://www.wallsandfloors.co.uk/accessories-for-manual-tile-cutters-rubi-scoring-wheel-tx-tm-9174","Product")</f>
        <v/>
      </c>
      <c r="B1223" s="1" t="inlineStr">
        <is>
          <t>9174</t>
        </is>
      </c>
      <c r="C1223" s="1" t="inlineStr">
        <is>
          <t>Rubi Scoring Wheel (TX &amp; TM)</t>
        </is>
      </c>
      <c r="D1223" s="1" t="inlineStr">
        <is>
          <t>22mm</t>
        </is>
      </c>
      <c r="E1223" s="1" t="n">
        <v>28.75</v>
      </c>
      <c r="F1223" s="1" t="n">
        <v>0</v>
      </c>
      <c r="G1223" s="1" t="inlineStr">
        <is>
          <t>Unit</t>
        </is>
      </c>
      <c r="H1223" s="1" t="inlineStr">
        <is>
          <t>Spare Wheels and Parts</t>
        </is>
      </c>
      <c r="I1223" s="1" t="inlineStr">
        <is>
          <t>-</t>
        </is>
      </c>
      <c r="J1223" t="n">
        <v>28.75</v>
      </c>
      <c r="K1223" t="inlineStr"/>
      <c r="L1223" t="n">
        <v>28.75</v>
      </c>
    </row>
    <row r="1224">
      <c r="A1224" s="1">
        <f>Hyperlink("https://www.wallsandfloors.co.uk/accessories-for-manual-tile-cutters-rubi-scoring-wheel-tx-tm-9173","Product")</f>
        <v/>
      </c>
      <c r="B1224" s="1" t="inlineStr">
        <is>
          <t>9173</t>
        </is>
      </c>
      <c r="C1224" s="1" t="inlineStr">
        <is>
          <t>Rubi Scoring Wheel (TX &amp; TZ)</t>
        </is>
      </c>
      <c r="D1224" s="1" t="inlineStr">
        <is>
          <t>18mm</t>
        </is>
      </c>
      <c r="E1224" s="1" t="n">
        <v>20.75</v>
      </c>
      <c r="F1224" s="1" t="n">
        <v>0</v>
      </c>
      <c r="G1224" s="1" t="inlineStr">
        <is>
          <t>Unit</t>
        </is>
      </c>
      <c r="H1224" s="1" t="inlineStr">
        <is>
          <t>Spare Wheels and Parts</t>
        </is>
      </c>
      <c r="I1224" s="1" t="inlineStr">
        <is>
          <t>-</t>
        </is>
      </c>
      <c r="J1224" t="n">
        <v>20.75</v>
      </c>
      <c r="K1224" t="n">
        <v>20.75</v>
      </c>
      <c r="L1224" t="n">
        <v>20.75</v>
      </c>
    </row>
    <row r="1225">
      <c r="A1225" s="1">
        <f>Hyperlink("https://www.wallsandfloors.co.uk/accessories-for-manual-tile-cutters-rubi-scoring-wheel-tx-tm-9172","Product")</f>
        <v/>
      </c>
      <c r="B1225" s="1" t="inlineStr">
        <is>
          <t>9172</t>
        </is>
      </c>
      <c r="C1225" s="1" t="inlineStr">
        <is>
          <t>Rubi Scoring Wheel (TX &amp; TM)</t>
        </is>
      </c>
      <c r="D1225" s="1" t="inlineStr">
        <is>
          <t>10mm</t>
        </is>
      </c>
      <c r="E1225" s="1" t="n">
        <v>15.46</v>
      </c>
      <c r="F1225" s="1" t="n">
        <v>0</v>
      </c>
      <c r="G1225" s="1" t="inlineStr">
        <is>
          <t>Unit</t>
        </is>
      </c>
      <c r="H1225" s="1" t="inlineStr">
        <is>
          <t>Spare Wheels and Parts</t>
        </is>
      </c>
      <c r="I1225" s="1" t="inlineStr">
        <is>
          <t>-</t>
        </is>
      </c>
      <c r="J1225" t="inlineStr"/>
      <c r="K1225" t="n">
        <v>15.46</v>
      </c>
      <c r="L1225" t="n">
        <v>15.46</v>
      </c>
    </row>
    <row r="1226">
      <c r="A1226" s="1">
        <f>Hyperlink("https://www.wallsandfloors.co.uk/accessories-for-manual-tile-cutters-rubi-scoring-wheel-tx-tm","Product")</f>
        <v/>
      </c>
      <c r="B1226" s="1" t="inlineStr">
        <is>
          <t>9171</t>
        </is>
      </c>
      <c r="C1226" s="1" t="inlineStr">
        <is>
          <t>Rubi Scoring Wheel (TX &amp; TM)</t>
        </is>
      </c>
      <c r="D1226" s="1" t="inlineStr">
        <is>
          <t>8mm</t>
        </is>
      </c>
      <c r="E1226" s="1" t="n">
        <v>14.95</v>
      </c>
      <c r="F1226" s="1" t="n">
        <v>0</v>
      </c>
      <c r="G1226" s="1" t="inlineStr">
        <is>
          <t>Unit</t>
        </is>
      </c>
      <c r="H1226" s="1" t="inlineStr">
        <is>
          <t>Spare Wheels and Parts</t>
        </is>
      </c>
      <c r="I1226" s="1" t="inlineStr">
        <is>
          <t>-</t>
        </is>
      </c>
      <c r="J1226" t="n">
        <v>14.95</v>
      </c>
      <c r="K1226" t="n">
        <v>14.95</v>
      </c>
      <c r="L1226" t="n">
        <v>14.95</v>
      </c>
    </row>
    <row r="1227">
      <c r="A1227" s="1">
        <f>Hyperlink("https://www.wallsandfloors.co.uk/accessories-for-manual-tile-cutters-maintenance-kit","Product")</f>
        <v/>
      </c>
      <c r="B1227" s="1" t="inlineStr">
        <is>
          <t>9682</t>
        </is>
      </c>
      <c r="C1227" s="1" t="inlineStr">
        <is>
          <t>Maintenance Kit</t>
        </is>
      </c>
      <c r="D1227" s="1" t="inlineStr">
        <is>
          <t>1 Size</t>
        </is>
      </c>
      <c r="E1227" s="1" t="n">
        <v>10.8</v>
      </c>
      <c r="F1227" s="1" t="n">
        <v>0</v>
      </c>
      <c r="G1227" s="1" t="inlineStr">
        <is>
          <t>Unit</t>
        </is>
      </c>
      <c r="H1227" s="1" t="inlineStr">
        <is>
          <t>-</t>
        </is>
      </c>
      <c r="I1227" s="1" t="inlineStr">
        <is>
          <t>-</t>
        </is>
      </c>
      <c r="J1227" t="inlineStr"/>
      <c r="K1227" t="n">
        <v>10.8</v>
      </c>
      <c r="L1227" t="n">
        <v>10.8</v>
      </c>
    </row>
    <row r="1228">
      <c r="A1228" s="1">
        <f>Hyperlink("https://www.wallsandfloors.co.uk/accessories-for-manual-tile-cutters-8mm-scoring-wheel-ts-tr-tf-and-star","Product")</f>
        <v/>
      </c>
      <c r="B1228" s="1" t="inlineStr">
        <is>
          <t>9166</t>
        </is>
      </c>
      <c r="C1228" s="1" t="inlineStr">
        <is>
          <t>8mm Scoring Wheel (TS, TR TF and STAR)</t>
        </is>
      </c>
      <c r="D1228" s="1" t="inlineStr">
        <is>
          <t>8mm</t>
        </is>
      </c>
      <c r="E1228" s="1" t="n">
        <v>11.95</v>
      </c>
      <c r="F1228" s="1" t="n">
        <v>0</v>
      </c>
      <c r="G1228" s="1" t="inlineStr">
        <is>
          <t>Unit</t>
        </is>
      </c>
      <c r="H1228" s="1" t="inlineStr">
        <is>
          <t>-</t>
        </is>
      </c>
      <c r="I1228" s="1" t="inlineStr">
        <is>
          <t>-</t>
        </is>
      </c>
      <c r="J1228" t="n">
        <v>11.95</v>
      </c>
      <c r="K1228" t="inlineStr"/>
      <c r="L1228" t="n">
        <v>11.95</v>
      </c>
    </row>
    <row r="1229">
      <c r="A1229" s="1">
        <f>Hyperlink("https://www.wallsandfloors.co.uk/accessories-for-manual-tile-cutters-6mm-scoring-wheel-ts-tr-tf-and-star","Product")</f>
        <v/>
      </c>
      <c r="B1229" s="1" t="inlineStr">
        <is>
          <t>9076</t>
        </is>
      </c>
      <c r="C1229" s="1" t="inlineStr">
        <is>
          <t>6mm Scoring Wheel (TS, TR TF and STAR)</t>
        </is>
      </c>
      <c r="D1229" s="1" t="inlineStr">
        <is>
          <t>6mm</t>
        </is>
      </c>
      <c r="E1229" s="1" t="n">
        <v>9.949999999999999</v>
      </c>
      <c r="F1229" s="1" t="n">
        <v>0</v>
      </c>
      <c r="G1229" s="1" t="inlineStr">
        <is>
          <t>Unit</t>
        </is>
      </c>
      <c r="H1229" s="1" t="inlineStr">
        <is>
          <t>Spare Wheels and Parts</t>
        </is>
      </c>
      <c r="I1229" s="1" t="inlineStr">
        <is>
          <t>-</t>
        </is>
      </c>
      <c r="J1229" t="n">
        <v>9.949999999999999</v>
      </c>
      <c r="K1229" t="inlineStr"/>
      <c r="L1229" t="n">
        <v>9.949999999999999</v>
      </c>
    </row>
    <row r="1230">
      <c r="A1230" s="1">
        <f>Hyperlink("https://www.wallsandfloors.co.uk/accessories-for-manual-tile-cutters-18mm-scoring-wheel-ts-tr-and-tf","Product")</f>
        <v/>
      </c>
      <c r="B1230" s="1" t="inlineStr">
        <is>
          <t>9168</t>
        </is>
      </c>
      <c r="C1230" s="1" t="inlineStr">
        <is>
          <t>18mm Scoring Wheel (TS, TR and TF)</t>
        </is>
      </c>
      <c r="D1230" s="1" t="inlineStr">
        <is>
          <t>18mm</t>
        </is>
      </c>
      <c r="E1230" s="1" t="n">
        <v>17.95</v>
      </c>
      <c r="F1230" s="1" t="n">
        <v>0</v>
      </c>
      <c r="G1230" s="1" t="inlineStr">
        <is>
          <t>Unit</t>
        </is>
      </c>
      <c r="H1230" s="1" t="inlineStr">
        <is>
          <t>Spare Wheels and Parts</t>
        </is>
      </c>
      <c r="I1230" s="1" t="inlineStr">
        <is>
          <t>-</t>
        </is>
      </c>
      <c r="J1230" t="inlineStr"/>
      <c r="K1230" t="inlineStr"/>
      <c r="L1230" t="n">
        <v>17.95</v>
      </c>
    </row>
    <row r="1231">
      <c r="A1231" s="1">
        <f>Hyperlink("https://www.wallsandfloors.co.uk/accessories-for-manual-tile-cutters-10mm-scoring-wheel-ts-tr-and-tf","Product")</f>
        <v/>
      </c>
      <c r="B1231" s="1" t="inlineStr">
        <is>
          <t>9167</t>
        </is>
      </c>
      <c r="C1231" s="1" t="inlineStr">
        <is>
          <t>10mm Scoring Wheel (TS, TR and TF)</t>
        </is>
      </c>
      <c r="D1231" s="1" t="inlineStr">
        <is>
          <t>10mm</t>
        </is>
      </c>
      <c r="E1231" s="1" t="n">
        <v>12.95</v>
      </c>
      <c r="F1231" s="1" t="n">
        <v>0</v>
      </c>
      <c r="G1231" s="1" t="inlineStr">
        <is>
          <t>Unit</t>
        </is>
      </c>
      <c r="H1231" s="1" t="inlineStr">
        <is>
          <t>Spare Wheels and Parts</t>
        </is>
      </c>
      <c r="I1231" s="1" t="inlineStr">
        <is>
          <t>-</t>
        </is>
      </c>
      <c r="J1231" t="inlineStr"/>
      <c r="K1231" t="n">
        <v>12.95</v>
      </c>
      <c r="L1231" t="n">
        <v>12.95</v>
      </c>
    </row>
    <row r="1232">
      <c r="A1232" s="1">
        <f>Hyperlink("https://www.wallsandfloors.co.uk/abrade-wood-effect-tiles-umber-sanded-wood-effect-tile","Product")</f>
        <v/>
      </c>
      <c r="B1232" s="1" t="inlineStr">
        <is>
          <t>14832</t>
        </is>
      </c>
      <c r="C1232" s="1" t="inlineStr">
        <is>
          <t>Abrade Umber Sanded Wood Effect Tiles</t>
        </is>
      </c>
      <c r="D1232" s="1" t="inlineStr">
        <is>
          <t>500x175x8mm</t>
        </is>
      </c>
      <c r="E1232" s="1" t="n">
        <v>13.95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Matt</t>
        </is>
      </c>
      <c r="J1232" t="n">
        <v>13.95</v>
      </c>
      <c r="K1232" t="n">
        <v>13.95</v>
      </c>
      <c r="L1232" t="n">
        <v>13.95</v>
      </c>
    </row>
    <row r="1233">
      <c r="A1233" s="1">
        <f>Hyperlink("https://www.wallsandfloors.co.uk/abrade-wood-effect-tiles-argent-sanded-wood-effect-tiles","Product")</f>
        <v/>
      </c>
      <c r="B1233" s="1" t="inlineStr">
        <is>
          <t>14831</t>
        </is>
      </c>
      <c r="C1233" s="1" t="inlineStr">
        <is>
          <t>Abrade Argent Sanded Wood Effect Tiles</t>
        </is>
      </c>
      <c r="D1233" s="1" t="inlineStr">
        <is>
          <t>500x175x8mm</t>
        </is>
      </c>
      <c r="E1233" s="1" t="n">
        <v>13.95</v>
      </c>
      <c r="F1233" s="1" t="n">
        <v>0</v>
      </c>
      <c r="G1233" s="1" t="inlineStr">
        <is>
          <t>SQM</t>
        </is>
      </c>
      <c r="H1233" s="1" t="inlineStr">
        <is>
          <t>Ceramic</t>
        </is>
      </c>
      <c r="I1233" s="1" t="inlineStr">
        <is>
          <t>Matt</t>
        </is>
      </c>
      <c r="J1233" t="n">
        <v>13.95</v>
      </c>
      <c r="K1233" t="n">
        <v>13.95</v>
      </c>
      <c r="L1233" t="n">
        <v>13.95</v>
      </c>
    </row>
    <row r="1234">
      <c r="A1234" s="1">
        <f>Hyperlink("https://www.wallsandfloors.co.uk/abbiocco-sands-moon-grey-linear-wall-tiles","Product")</f>
        <v/>
      </c>
      <c r="B1234" s="1" t="inlineStr">
        <is>
          <t>34746</t>
        </is>
      </c>
      <c r="C1234" s="1" t="inlineStr">
        <is>
          <t>Moon Grey Linear Wall Tiles</t>
        </is>
      </c>
      <c r="D1234" s="1" t="inlineStr">
        <is>
          <t>400x250x7.5mm</t>
        </is>
      </c>
      <c r="E1234" s="1" t="n">
        <v>13.85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Matt</t>
        </is>
      </c>
      <c r="J1234" t="n">
        <v>13.85</v>
      </c>
      <c r="K1234" t="n">
        <v>13.85</v>
      </c>
      <c r="L1234" t="n">
        <v>13.85</v>
      </c>
    </row>
    <row r="1235">
      <c r="A1235" s="1">
        <f>Hyperlink("https://www.wallsandfloors.co.uk/abbiocco-sands-clay-grey-linear-wall-tiles","Product")</f>
        <v/>
      </c>
      <c r="B1235" s="1" t="inlineStr">
        <is>
          <t>34743</t>
        </is>
      </c>
      <c r="C1235" s="1" t="inlineStr">
        <is>
          <t>Clay Grey Linear Wall Tiles</t>
        </is>
      </c>
      <c r="D1235" s="1" t="inlineStr">
        <is>
          <t>400x250x7.5mm</t>
        </is>
      </c>
      <c r="E1235" s="1" t="n">
        <v>12.45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Matt</t>
        </is>
      </c>
      <c r="J1235" t="inlineStr"/>
      <c r="K1235" t="inlineStr"/>
      <c r="L1235" t="n">
        <v>12.45</v>
      </c>
    </row>
    <row r="1236">
      <c r="A1236" s="1">
        <f>Hyperlink("https://www.wallsandfloors.co.uk/4-into-1-wall-floor-tile-grout-oxford-stone-41370","Product")</f>
        <v/>
      </c>
      <c r="B1236" s="1" t="inlineStr">
        <is>
          <t>37112</t>
        </is>
      </c>
      <c r="C1236" s="1" t="inlineStr">
        <is>
          <t>Norcros 4 into 1 Wall &amp; Floor Oxford Stone Tile Grout</t>
        </is>
      </c>
      <c r="D1236" s="1" t="inlineStr">
        <is>
          <t>5kg</t>
        </is>
      </c>
      <c r="E1236" s="1" t="n">
        <v>10.95</v>
      </c>
      <c r="F1236" s="1" t="n">
        <v>0</v>
      </c>
      <c r="G1236" s="1" t="inlineStr">
        <is>
          <t>Unit</t>
        </is>
      </c>
      <c r="H1236" s="1" t="inlineStr">
        <is>
          <t>Grout</t>
        </is>
      </c>
      <c r="I1236" s="1" t="inlineStr">
        <is>
          <t>-</t>
        </is>
      </c>
      <c r="J1236" t="n">
        <v>10.95</v>
      </c>
      <c r="K1236" t="n">
        <v>10.95</v>
      </c>
      <c r="L1236" t="n">
        <v>10.95</v>
      </c>
    </row>
    <row r="1237">
      <c r="A1237" s="1">
        <f>Hyperlink("https://www.wallsandfloors.co.uk/4-into-1-wall-floor-tile-grout-blanched-almond-41359","Product")</f>
        <v/>
      </c>
      <c r="B1237" s="1" t="inlineStr">
        <is>
          <t>37100</t>
        </is>
      </c>
      <c r="C1237" s="1" t="inlineStr">
        <is>
          <t>Norcros 4 into 1 Wall &amp; Floor Blanched Almond Tile Grout</t>
        </is>
      </c>
      <c r="D1237" s="1" t="inlineStr">
        <is>
          <t>5kg</t>
        </is>
      </c>
      <c r="E1237" s="1" t="n">
        <v>10.95</v>
      </c>
      <c r="F1237" s="1" t="n">
        <v>0</v>
      </c>
      <c r="G1237" s="1" t="inlineStr">
        <is>
          <t>Unit</t>
        </is>
      </c>
      <c r="H1237" s="1" t="inlineStr">
        <is>
          <t>Grout</t>
        </is>
      </c>
      <c r="I1237" s="1" t="inlineStr">
        <is>
          <t>-</t>
        </is>
      </c>
      <c r="J1237" t="n">
        <v>10.95</v>
      </c>
      <c r="K1237" t="n">
        <v>10.95</v>
      </c>
      <c r="L1237" t="n">
        <v>10.95</v>
      </c>
    </row>
    <row r="1238">
      <c r="A1238" s="1">
        <f>Hyperlink("https://www.wallsandfloors.co.uk/4-into-1-silicone-steel-grey","Product")</f>
        <v/>
      </c>
      <c r="B1238" s="1" t="inlineStr">
        <is>
          <t>33513</t>
        </is>
      </c>
      <c r="C1238" s="1" t="inlineStr">
        <is>
          <t>Norcros 4 into 1 Silicone Steel Grey</t>
        </is>
      </c>
      <c r="D1238" s="1" t="inlineStr">
        <is>
          <t>310ml</t>
        </is>
      </c>
      <c r="E1238" s="1" t="n">
        <v>6.95</v>
      </c>
      <c r="F1238" s="1" t="n">
        <v>0</v>
      </c>
      <c r="G1238" s="1" t="inlineStr">
        <is>
          <t>Unit</t>
        </is>
      </c>
      <c r="H1238" s="1" t="inlineStr">
        <is>
          <t>Silicone</t>
        </is>
      </c>
      <c r="I1238" s="1" t="inlineStr">
        <is>
          <t>-</t>
        </is>
      </c>
      <c r="J1238" t="n">
        <v>6.95</v>
      </c>
      <c r="K1238" t="inlineStr"/>
      <c r="L1238" t="n">
        <v>6.95</v>
      </c>
    </row>
    <row r="1239">
      <c r="A1239" s="1">
        <f>Hyperlink("https://www.wallsandfloors.co.uk/4-into-1-silicone-slate-grey-41193","Product")</f>
        <v/>
      </c>
      <c r="B1239" s="1" t="inlineStr">
        <is>
          <t>38010</t>
        </is>
      </c>
      <c r="C1239" s="1" t="inlineStr">
        <is>
          <t>Norcros 4 into 1 Silicone Slate Grey</t>
        </is>
      </c>
      <c r="D1239" s="1" t="inlineStr">
        <is>
          <t>310ml</t>
        </is>
      </c>
      <c r="E1239" s="1" t="n">
        <v>6.95</v>
      </c>
      <c r="F1239" s="1" t="n">
        <v>0</v>
      </c>
      <c r="G1239" s="1" t="inlineStr">
        <is>
          <t>Unit</t>
        </is>
      </c>
      <c r="H1239" s="1" t="inlineStr">
        <is>
          <t>Silicone</t>
        </is>
      </c>
      <c r="I1239" s="1" t="inlineStr">
        <is>
          <t>-</t>
        </is>
      </c>
      <c r="J1239" t="n">
        <v>6.95</v>
      </c>
      <c r="K1239" t="n">
        <v>6.95</v>
      </c>
      <c r="L1239" t="n">
        <v>6.95</v>
      </c>
    </row>
    <row r="1240">
      <c r="A1240" s="1">
        <f>Hyperlink("https://www.wallsandfloors.co.uk/4-into-1-silicone-midnight-coal","Product")</f>
        <v/>
      </c>
      <c r="B1240" s="1" t="inlineStr">
        <is>
          <t>38008</t>
        </is>
      </c>
      <c r="C1240" s="1" t="inlineStr">
        <is>
          <t>Norcros 4 into 1 Silicone Midnight Coal</t>
        </is>
      </c>
      <c r="D1240" s="1" t="inlineStr">
        <is>
          <t>310ml</t>
        </is>
      </c>
      <c r="E1240" s="1" t="n">
        <v>6.95</v>
      </c>
      <c r="F1240" s="1" t="n">
        <v>0</v>
      </c>
      <c r="G1240" s="1" t="inlineStr">
        <is>
          <t>Unit</t>
        </is>
      </c>
      <c r="H1240" s="1" t="inlineStr">
        <is>
          <t>Silicone</t>
        </is>
      </c>
      <c r="I1240" s="1" t="inlineStr">
        <is>
          <t>-</t>
        </is>
      </c>
      <c r="J1240" t="n">
        <v>6.95</v>
      </c>
      <c r="K1240" t="n">
        <v>6.95</v>
      </c>
      <c r="L1240" t="n">
        <v>6.95</v>
      </c>
    </row>
    <row r="1241">
      <c r="A1241" s="1">
        <f>Hyperlink("https://www.wallsandfloors.co.uk/4-into-1-silicone-golden-jasmine","Product")</f>
        <v/>
      </c>
      <c r="B1241" s="1" t="inlineStr">
        <is>
          <t>33514</t>
        </is>
      </c>
      <c r="C1241" s="1" t="inlineStr">
        <is>
          <t>Norcros 4 into 1 Silicone Golden Jasmine</t>
        </is>
      </c>
      <c r="D1241" s="1" t="inlineStr">
        <is>
          <t>310ml</t>
        </is>
      </c>
      <c r="E1241" s="1" t="n">
        <v>6.95</v>
      </c>
      <c r="F1241" s="1" t="n">
        <v>0</v>
      </c>
      <c r="G1241" s="1" t="inlineStr">
        <is>
          <t>Unit</t>
        </is>
      </c>
      <c r="H1241" s="1" t="inlineStr">
        <is>
          <t>Silicone</t>
        </is>
      </c>
      <c r="I1241" s="1" t="inlineStr">
        <is>
          <t>-</t>
        </is>
      </c>
      <c r="J1241" t="n">
        <v>6.95</v>
      </c>
      <c r="K1241" t="inlineStr"/>
      <c r="L1241" t="n">
        <v>6.95</v>
      </c>
    </row>
    <row r="1242">
      <c r="A1242" s="1">
        <f>Hyperlink("https://www.wallsandfloors.co.uk/4-into-1-silicone-cornish-clear","Product")</f>
        <v/>
      </c>
      <c r="B1242" s="1" t="inlineStr">
        <is>
          <t>38009</t>
        </is>
      </c>
      <c r="C1242" s="1" t="inlineStr">
        <is>
          <t>Norcros 4 into 1 Silicone Clear</t>
        </is>
      </c>
      <c r="D1242" s="1" t="inlineStr">
        <is>
          <t>310ml</t>
        </is>
      </c>
      <c r="E1242" s="1" t="n">
        <v>6.95</v>
      </c>
      <c r="F1242" s="1" t="n">
        <v>0</v>
      </c>
      <c r="G1242" s="1" t="inlineStr">
        <is>
          <t>Unit</t>
        </is>
      </c>
      <c r="H1242" s="1" t="inlineStr">
        <is>
          <t>Silicone</t>
        </is>
      </c>
      <c r="I1242" s="1" t="inlineStr">
        <is>
          <t>-</t>
        </is>
      </c>
      <c r="J1242" t="n">
        <v>6.95</v>
      </c>
      <c r="K1242" t="n">
        <v>6.95</v>
      </c>
      <c r="L1242" t="n">
        <v>6.95</v>
      </c>
    </row>
    <row r="1243">
      <c r="A1243" s="1">
        <f>Hyperlink("https://www.wallsandfloors.co.uk/4-in-1-silicone-arctic-white","Product")</f>
        <v/>
      </c>
      <c r="B1243" s="1" t="inlineStr">
        <is>
          <t>38012</t>
        </is>
      </c>
      <c r="C1243" s="1" t="inlineStr">
        <is>
          <t>Norcros 4 in 1 Silicone Arctic White</t>
        </is>
      </c>
      <c r="D1243" s="1" t="inlineStr">
        <is>
          <t>310ml</t>
        </is>
      </c>
      <c r="E1243" s="1" t="n">
        <v>6.95</v>
      </c>
      <c r="F1243" s="1" t="n">
        <v>0</v>
      </c>
      <c r="G1243" s="1" t="inlineStr">
        <is>
          <t>Unit</t>
        </is>
      </c>
      <c r="H1243" s="1" t="inlineStr">
        <is>
          <t>Silicone</t>
        </is>
      </c>
      <c r="I1243" s="1" t="inlineStr">
        <is>
          <t>-</t>
        </is>
      </c>
      <c r="J1243" t="n">
        <v>6.95</v>
      </c>
      <c r="K1243" t="n">
        <v>6.95</v>
      </c>
      <c r="L1243" t="n">
        <v>6.95</v>
      </c>
    </row>
    <row r="1244">
      <c r="A1244" s="1">
        <f>Hyperlink("https://www.wallsandfloors.co.uk/achilles-snow-tiles","Product")</f>
        <v/>
      </c>
      <c r="B1244" s="1" t="inlineStr">
        <is>
          <t>41394</t>
        </is>
      </c>
      <c r="C1244" s="1" t="inlineStr">
        <is>
          <t>Achilles Snow Fish Scale Tiles</t>
        </is>
      </c>
      <c r="D1244" s="1" t="inlineStr">
        <is>
          <t>307x307x10mm</t>
        </is>
      </c>
      <c r="E1244" s="1" t="n">
        <v>39.95</v>
      </c>
      <c r="F1244" s="1" t="n">
        <v>0</v>
      </c>
      <c r="G1244" s="1" t="inlineStr">
        <is>
          <t>SQM</t>
        </is>
      </c>
      <c r="H1244" s="1" t="inlineStr">
        <is>
          <t>Porcelain</t>
        </is>
      </c>
      <c r="I1244" s="1" t="inlineStr">
        <is>
          <t>Gloss</t>
        </is>
      </c>
      <c r="J1244" t="n">
        <v>39.95</v>
      </c>
      <c r="K1244" t="inlineStr"/>
      <c r="L1244" t="n">
        <v>39.95</v>
      </c>
    </row>
    <row r="1245">
      <c r="A1245" s="1">
        <f>Hyperlink("https://www.wallsandfloors.co.uk/aragon-autumn-brown-quarry-tiles-r-e-20x20-tiles","Product")</f>
        <v/>
      </c>
      <c r="B1245" s="1" t="inlineStr">
        <is>
          <t>13723</t>
        </is>
      </c>
      <c r="C1245" s="1" t="inlineStr">
        <is>
          <t>Aragon Autumn Brown R.E Quarry Tiles</t>
        </is>
      </c>
      <c r="D1245" s="1" t="inlineStr">
        <is>
          <t>200x200x12mm</t>
        </is>
      </c>
      <c r="E1245" s="1" t="n">
        <v>4.95</v>
      </c>
      <c r="F1245" s="1" t="n">
        <v>0</v>
      </c>
      <c r="G1245" s="1" t="inlineStr">
        <is>
          <t>Tile</t>
        </is>
      </c>
      <c r="H1245" s="1" t="inlineStr">
        <is>
          <t>Clay</t>
        </is>
      </c>
      <c r="I1245" s="1" t="inlineStr">
        <is>
          <t>Matt</t>
        </is>
      </c>
      <c r="J1245" t="inlineStr"/>
      <c r="K1245" t="n">
        <v>4.95</v>
      </c>
      <c r="L1245" t="n">
        <v>4.95</v>
      </c>
    </row>
    <row r="1246">
      <c r="A1246" s="1">
        <f>Hyperlink("https://www.wallsandfloors.co.uk/achilles-storm-tiles","Product")</f>
        <v/>
      </c>
      <c r="B1246" s="1" t="inlineStr">
        <is>
          <t>41716</t>
        </is>
      </c>
      <c r="C1246" s="1" t="inlineStr">
        <is>
          <t>Achilles Storm Fish Scale Tiles</t>
        </is>
      </c>
      <c r="D1246" s="1" t="inlineStr">
        <is>
          <t>307x307x10mm</t>
        </is>
      </c>
      <c r="E1246" s="1" t="n">
        <v>39.95</v>
      </c>
      <c r="F1246" s="1" t="n">
        <v>0</v>
      </c>
      <c r="G1246" s="1" t="inlineStr">
        <is>
          <t>SQM</t>
        </is>
      </c>
      <c r="H1246" s="1" t="inlineStr">
        <is>
          <t>Porcelain</t>
        </is>
      </c>
      <c r="I1246" s="1" t="inlineStr">
        <is>
          <t>Gloss</t>
        </is>
      </c>
      <c r="J1246" t="n">
        <v>39.95</v>
      </c>
      <c r="K1246" t="n">
        <v>39.95</v>
      </c>
      <c r="L1246" t="n">
        <v>39.95</v>
      </c>
    </row>
    <row r="1247">
      <c r="A1247" s="1">
        <f>Hyperlink("https://www.wallsandfloors.co.uk/ador-white-carrara-marble-tiles","Product")</f>
        <v/>
      </c>
      <c r="B1247" s="1" t="inlineStr">
        <is>
          <t>43234</t>
        </is>
      </c>
      <c r="C1247" s="1" t="inlineStr">
        <is>
          <t>Ador White Carrara Marble Tiles</t>
        </is>
      </c>
      <c r="D1247" s="1" t="inlineStr">
        <is>
          <t>593x98x10mm</t>
        </is>
      </c>
      <c r="E1247" s="1" t="n">
        <v>34.95</v>
      </c>
      <c r="F1247" s="1" t="n">
        <v>0</v>
      </c>
      <c r="G1247" s="1" t="inlineStr">
        <is>
          <t>SQM</t>
        </is>
      </c>
      <c r="H1247" s="1" t="inlineStr">
        <is>
          <t>Porcelain</t>
        </is>
      </c>
      <c r="I1247" s="1" t="inlineStr">
        <is>
          <t>-</t>
        </is>
      </c>
      <c r="J1247" t="inlineStr"/>
      <c r="K1247" t="n">
        <v>34.95</v>
      </c>
      <c r="L1247" t="n">
        <v>34.95</v>
      </c>
    </row>
    <row r="1248">
      <c r="A1248" s="1">
        <f>Hyperlink("https://www.wallsandfloors.co.uk/anthracite-squares-70mm-tiles","Product")</f>
        <v/>
      </c>
      <c r="B1248" s="1" t="inlineStr">
        <is>
          <t>990051</t>
        </is>
      </c>
      <c r="C1248" s="1" t="inlineStr">
        <is>
          <t>Anthracite Squares 70mm Tiles</t>
        </is>
      </c>
      <c r="D1248" s="1" t="inlineStr">
        <is>
          <t>70x70x9-10mm</t>
        </is>
      </c>
      <c r="E1248" s="1" t="n">
        <v>1.3</v>
      </c>
      <c r="F1248" s="1" t="n">
        <v>0</v>
      </c>
      <c r="G1248" s="1" t="inlineStr">
        <is>
          <t>SQM</t>
        </is>
      </c>
      <c r="H1248" s="1" t="inlineStr">
        <is>
          <t>Porcelain</t>
        </is>
      </c>
      <c r="I1248" s="1" t="inlineStr">
        <is>
          <t>Matt</t>
        </is>
      </c>
      <c r="J1248" t="inlineStr"/>
      <c r="K1248" t="n">
        <v>1.3</v>
      </c>
      <c r="L1248" t="n">
        <v>1.3</v>
      </c>
    </row>
    <row r="1249">
      <c r="A1249" s="1">
        <f>Hyperlink("https://www.wallsandfloors.co.uk/anthracite-squares-50mm-tiles","Product")</f>
        <v/>
      </c>
      <c r="B1249" s="1" t="inlineStr">
        <is>
          <t>990076</t>
        </is>
      </c>
      <c r="C1249" s="1" t="inlineStr">
        <is>
          <t>Anthracite Squares 50mm Tiles</t>
        </is>
      </c>
      <c r="D1249" s="1" t="inlineStr">
        <is>
          <t>50x50x9-10mm</t>
        </is>
      </c>
      <c r="E1249" s="1" t="n">
        <v>0.67</v>
      </c>
      <c r="F1249" s="1" t="n">
        <v>0</v>
      </c>
      <c r="G1249" s="1" t="inlineStr">
        <is>
          <t>SQM</t>
        </is>
      </c>
      <c r="H1249" s="1" t="inlineStr">
        <is>
          <t>Porcelain</t>
        </is>
      </c>
      <c r="I1249" s="1" t="inlineStr">
        <is>
          <t>Matt</t>
        </is>
      </c>
      <c r="J1249" t="n">
        <v>0.67</v>
      </c>
      <c r="K1249" t="n">
        <v>0.67</v>
      </c>
      <c r="L1249" t="n">
        <v>0.67</v>
      </c>
    </row>
    <row r="1250">
      <c r="A1250" s="1">
        <f>Hyperlink("https://www.wallsandfloors.co.uk/andra-antiqued-steel-tiles","Product")</f>
        <v/>
      </c>
      <c r="B1250" s="1" t="inlineStr">
        <is>
          <t>36968</t>
        </is>
      </c>
      <c r="C1250" s="1" t="inlineStr">
        <is>
          <t>Andra Antiqued Steel Limestone Tiles</t>
        </is>
      </c>
      <c r="D1250" s="1" t="inlineStr">
        <is>
          <t>600x400x15mm</t>
        </is>
      </c>
      <c r="E1250" s="1" t="n">
        <v>44.95</v>
      </c>
      <c r="F1250" s="1" t="n">
        <v>0</v>
      </c>
      <c r="G1250" s="1" t="inlineStr">
        <is>
          <t>SQM</t>
        </is>
      </c>
      <c r="H1250" s="1" t="inlineStr">
        <is>
          <t>Limestone</t>
        </is>
      </c>
      <c r="I1250" s="1" t="inlineStr">
        <is>
          <t>Satin</t>
        </is>
      </c>
      <c r="J1250" t="n">
        <v>44.95</v>
      </c>
      <c r="K1250" t="n">
        <v>44.95</v>
      </c>
      <c r="L1250" t="n">
        <v>44.95</v>
      </c>
    </row>
    <row r="1251">
      <c r="A1251" s="1">
        <f>Hyperlink("https://www.wallsandfloors.co.uk/andra-antiqued-sand-tiles","Product")</f>
        <v/>
      </c>
      <c r="B1251" s="1" t="inlineStr">
        <is>
          <t>36969</t>
        </is>
      </c>
      <c r="C1251" s="1" t="inlineStr">
        <is>
          <t>Andra Antiqued Sand Tiles</t>
        </is>
      </c>
      <c r="D1251" s="1" t="inlineStr">
        <is>
          <t>600x400x15mm</t>
        </is>
      </c>
      <c r="E1251" s="1" t="n">
        <v>40.95</v>
      </c>
      <c r="F1251" s="1" t="n">
        <v>0</v>
      </c>
      <c r="G1251" s="1" t="inlineStr">
        <is>
          <t>SQM</t>
        </is>
      </c>
      <c r="H1251" s="1" t="inlineStr">
        <is>
          <t>Limestone</t>
        </is>
      </c>
      <c r="I1251" s="1" t="inlineStr">
        <is>
          <t>Matt</t>
        </is>
      </c>
      <c r="J1251" t="n">
        <v>40.95</v>
      </c>
      <c r="K1251" t="n">
        <v>40.95</v>
      </c>
      <c r="L1251" t="n">
        <v>40.95</v>
      </c>
    </row>
    <row r="1252">
      <c r="A1252" s="1">
        <f>Hyperlink("https://www.wallsandfloors.co.uk/andonized-metallic-tiles-titanium-sheen-60x20-tiles","Product")</f>
        <v/>
      </c>
      <c r="B1252" s="1" t="inlineStr">
        <is>
          <t>15452</t>
        </is>
      </c>
      <c r="C1252" s="1" t="inlineStr">
        <is>
          <t>Andonized Titanium Sheen Tiles</t>
        </is>
      </c>
      <c r="D1252" s="1" t="inlineStr">
        <is>
          <t>600x200x9mm</t>
        </is>
      </c>
      <c r="E1252" s="1" t="n">
        <v>21.5</v>
      </c>
      <c r="F1252" s="1" t="n">
        <v>0</v>
      </c>
      <c r="G1252" s="1" t="inlineStr">
        <is>
          <t>SQM</t>
        </is>
      </c>
      <c r="H1252" s="1" t="inlineStr">
        <is>
          <t>Ceramic</t>
        </is>
      </c>
      <c r="I1252" s="1" t="inlineStr">
        <is>
          <t>Satin</t>
        </is>
      </c>
      <c r="J1252" t="n">
        <v>21.5</v>
      </c>
      <c r="K1252" t="inlineStr"/>
      <c r="L1252" t="n">
        <v>21.5</v>
      </c>
    </row>
    <row r="1253">
      <c r="A1253" s="1">
        <f>Hyperlink("https://www.wallsandfloors.co.uk/andalucia-tiles-rojo-terracotta-tiles-8901","Product")</f>
        <v/>
      </c>
      <c r="B1253" s="1" t="inlineStr">
        <is>
          <t>8901</t>
        </is>
      </c>
      <c r="C1253" s="1" t="inlineStr">
        <is>
          <t>Andaclucia Rojo Terracotta Tiles</t>
        </is>
      </c>
      <c r="D1253" s="1" t="inlineStr">
        <is>
          <t>300x300x14mm</t>
        </is>
      </c>
      <c r="E1253" s="1" t="n">
        <v>40.95</v>
      </c>
      <c r="F1253" s="1" t="n">
        <v>0</v>
      </c>
      <c r="G1253" s="1" t="inlineStr">
        <is>
          <t>SQM</t>
        </is>
      </c>
      <c r="H1253" s="1" t="inlineStr">
        <is>
          <t>Terracotta</t>
        </is>
      </c>
      <c r="I1253" s="1" t="inlineStr">
        <is>
          <t>Matt</t>
        </is>
      </c>
      <c r="J1253" t="n">
        <v>40.95</v>
      </c>
      <c r="K1253" t="n">
        <v>40.95</v>
      </c>
      <c r="L1253" t="n">
        <v>40.95</v>
      </c>
    </row>
    <row r="1254">
      <c r="A1254" s="1">
        <f>Hyperlink("https://www.wallsandfloors.co.uk/andalucia-tiles-rojo-terracotta-tiles","Product")</f>
        <v/>
      </c>
      <c r="B1254" s="1" t="inlineStr">
        <is>
          <t>8900</t>
        </is>
      </c>
      <c r="C1254" s="1" t="inlineStr">
        <is>
          <t>Andalucia Rojo Terracotta Tiles</t>
        </is>
      </c>
      <c r="D1254" s="1" t="inlineStr">
        <is>
          <t>200x200x14mm</t>
        </is>
      </c>
      <c r="E1254" s="1" t="n">
        <v>50.95</v>
      </c>
      <c r="F1254" s="1" t="n">
        <v>0</v>
      </c>
      <c r="G1254" s="1" t="inlineStr">
        <is>
          <t>SQM</t>
        </is>
      </c>
      <c r="H1254" s="1" t="inlineStr">
        <is>
          <t>Terracotta</t>
        </is>
      </c>
      <c r="I1254" s="1" t="inlineStr">
        <is>
          <t>Matt</t>
        </is>
      </c>
      <c r="J1254" t="n">
        <v>50.95</v>
      </c>
      <c r="K1254" t="inlineStr"/>
      <c r="L1254" t="n">
        <v>50.95</v>
      </c>
    </row>
    <row r="1255">
      <c r="A1255" s="1">
        <f>Hyperlink("https://www.wallsandfloors.co.uk/anchor-mix-tiles","Product")</f>
        <v/>
      </c>
      <c r="B1255" s="1" t="inlineStr">
        <is>
          <t>44211</t>
        </is>
      </c>
      <c r="C1255" s="1" t="inlineStr">
        <is>
          <t>Anchor Mix Tin Style Tiles</t>
        </is>
      </c>
      <c r="D1255" s="1" t="inlineStr">
        <is>
          <t>330x330x9mm</t>
        </is>
      </c>
      <c r="E1255" s="1" t="n">
        <v>34.95</v>
      </c>
      <c r="F1255" s="1" t="n">
        <v>0</v>
      </c>
      <c r="G1255" s="1" t="inlineStr">
        <is>
          <t>SQM</t>
        </is>
      </c>
      <c r="H1255" s="1" t="inlineStr">
        <is>
          <t>Porcelain</t>
        </is>
      </c>
      <c r="I1255" s="1" t="inlineStr">
        <is>
          <t>Matt</t>
        </is>
      </c>
      <c r="J1255" t="n">
        <v>34.95</v>
      </c>
      <c r="K1255" t="inlineStr"/>
      <c r="L1255" t="n">
        <v>34.95</v>
      </c>
    </row>
    <row r="1256">
      <c r="A1256" s="1">
        <f>Hyperlink("https://www.wallsandfloors.co.uk/anchor-lis-tiles","Product")</f>
        <v/>
      </c>
      <c r="B1256" s="1" t="inlineStr">
        <is>
          <t>44210</t>
        </is>
      </c>
      <c r="C1256" s="1" t="inlineStr">
        <is>
          <t>Anchor Lis Tin Style Tiles</t>
        </is>
      </c>
      <c r="D1256" s="1" t="inlineStr">
        <is>
          <t>330x330x9mm</t>
        </is>
      </c>
      <c r="E1256" s="1" t="n">
        <v>34.95</v>
      </c>
      <c r="F1256" s="1" t="n">
        <v>0</v>
      </c>
      <c r="G1256" s="1" t="inlineStr">
        <is>
          <t>SQM</t>
        </is>
      </c>
      <c r="H1256" s="1" t="inlineStr">
        <is>
          <t>Porcelain</t>
        </is>
      </c>
      <c r="I1256" s="1" t="inlineStr">
        <is>
          <t>Matt</t>
        </is>
      </c>
      <c r="J1256" t="n">
        <v>34.95</v>
      </c>
      <c r="K1256" t="inlineStr"/>
      <c r="L1256" t="n">
        <v>34.95</v>
      </c>
    </row>
    <row r="1257">
      <c r="A1257" s="1">
        <f>Hyperlink("https://www.wallsandfloors.co.uk/amarillo-brillo-8361","Product")</f>
        <v/>
      </c>
      <c r="B1257" s="1" t="inlineStr">
        <is>
          <t>8361</t>
        </is>
      </c>
      <c r="C1257" s="1" t="inlineStr">
        <is>
          <t>Rhian Amarillo Yellow Gloss Tiles</t>
        </is>
      </c>
      <c r="D1257" s="1" t="inlineStr">
        <is>
          <t>300x100x7mm</t>
        </is>
      </c>
      <c r="E1257" s="1" t="n">
        <v>29.95</v>
      </c>
      <c r="F1257" s="1" t="n">
        <v>0</v>
      </c>
      <c r="G1257" s="1" t="inlineStr">
        <is>
          <t>SQM</t>
        </is>
      </c>
      <c r="H1257" s="1" t="inlineStr">
        <is>
          <t>Ceramic</t>
        </is>
      </c>
      <c r="I1257" s="1" t="inlineStr">
        <is>
          <t>Gloss</t>
        </is>
      </c>
      <c r="J1257" t="n">
        <v>29.95</v>
      </c>
      <c r="K1257" t="n">
        <v>29.95</v>
      </c>
      <c r="L1257" t="n">
        <v>29.95</v>
      </c>
    </row>
    <row r="1258">
      <c r="A1258" s="1">
        <f>Hyperlink("https://www.wallsandfloors.co.uk/aluminium-straight-edge-trim-12mm-brushed-brass-trim","Product")</f>
        <v/>
      </c>
      <c r="B1258" s="1" t="inlineStr">
        <is>
          <t>40095</t>
        </is>
      </c>
      <c r="C1258" s="1" t="inlineStr">
        <is>
          <t>12mm Aluminium Straight Edge Brushed Brass Tile Trim</t>
        </is>
      </c>
      <c r="D1258" s="1" t="inlineStr">
        <is>
          <t>2.5m Length x 12mm Depth</t>
        </is>
      </c>
      <c r="E1258" s="1" t="n">
        <v>11.95</v>
      </c>
      <c r="F1258" s="1" t="n">
        <v>0</v>
      </c>
      <c r="G1258" s="1" t="inlineStr">
        <is>
          <t>Unit</t>
        </is>
      </c>
      <c r="H1258" s="1" t="inlineStr">
        <is>
          <t>Accessories</t>
        </is>
      </c>
      <c r="I1258" s="1" t="inlineStr">
        <is>
          <t>-</t>
        </is>
      </c>
      <c r="J1258" t="n">
        <v>11.95</v>
      </c>
      <c r="K1258" t="inlineStr"/>
      <c r="L1258" t="n">
        <v>11.95</v>
      </c>
    </row>
    <row r="1259">
      <c r="A1259" s="1">
        <f>Hyperlink("https://www.wallsandfloors.co.uk/aluminium-straight-edge-trim-10mm-brushed-copper-trim-46102","Product")</f>
        <v/>
      </c>
      <c r="B1259" s="1" t="inlineStr">
        <is>
          <t>39725</t>
        </is>
      </c>
      <c r="C1259" s="1" t="inlineStr">
        <is>
          <t>10mm Aluminium Straight Edge Brushed Copper Tile Trim</t>
        </is>
      </c>
      <c r="D1259" s="1" t="inlineStr">
        <is>
          <t>2.5m Length x 10mm Depth</t>
        </is>
      </c>
      <c r="E1259" s="1" t="n">
        <v>11.95</v>
      </c>
      <c r="F1259" s="1" t="n">
        <v>0</v>
      </c>
      <c r="G1259" s="1" t="inlineStr"/>
      <c r="H1259" s="1" t="inlineStr">
        <is>
          <t>Accessories</t>
        </is>
      </c>
      <c r="I1259" s="1" t="inlineStr">
        <is>
          <t>-</t>
        </is>
      </c>
      <c r="J1259" t="n">
        <v>11.95</v>
      </c>
      <c r="K1259" t="n">
        <v>11.95</v>
      </c>
      <c r="L1259" t="n">
        <v>11.95</v>
      </c>
    </row>
    <row r="1260">
      <c r="A1260" s="1">
        <f>Hyperlink("https://www.wallsandfloors.co.uk/aluminium-round-edge-trims-bright-silver-08mm-46740","Product")</f>
        <v/>
      </c>
      <c r="B1260" s="1" t="inlineStr">
        <is>
          <t>9570</t>
        </is>
      </c>
      <c r="C1260" s="1" t="inlineStr">
        <is>
          <t>Bright Silver (08mm) Trim</t>
        </is>
      </c>
      <c r="D1260" s="1" t="inlineStr">
        <is>
          <t>2.5m Length x 8mm Depth</t>
        </is>
      </c>
      <c r="E1260" s="1" t="n">
        <v>10.95</v>
      </c>
      <c r="F1260" s="1" t="n">
        <v>0</v>
      </c>
      <c r="G1260" s="1" t="inlineStr">
        <is>
          <t>Unit</t>
        </is>
      </c>
      <c r="H1260" s="1" t="inlineStr">
        <is>
          <t>Metal</t>
        </is>
      </c>
      <c r="I1260" s="1" t="inlineStr">
        <is>
          <t>-</t>
        </is>
      </c>
      <c r="J1260" t="n">
        <v>10.95</v>
      </c>
      <c r="K1260" t="n">
        <v>10.95</v>
      </c>
      <c r="L1260" t="n">
        <v>10.95</v>
      </c>
    </row>
    <row r="1261">
      <c r="A1261" s="1">
        <f>Hyperlink("https://www.wallsandfloors.co.uk/alpine-white-whites-tiles-alpine-white-tiles","Product")</f>
        <v/>
      </c>
      <c r="B1261" s="1" t="inlineStr">
        <is>
          <t>7419</t>
        </is>
      </c>
      <c r="C1261" s="1" t="inlineStr">
        <is>
          <t>Alpine White Wall Tiles</t>
        </is>
      </c>
      <c r="D1261" s="1" t="inlineStr">
        <is>
          <t>300x200x9mm</t>
        </is>
      </c>
      <c r="E1261" s="1" t="n">
        <v>28.45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Gloss</t>
        </is>
      </c>
      <c r="J1261" t="n">
        <v>28.45</v>
      </c>
      <c r="K1261" t="n">
        <v>28.45</v>
      </c>
      <c r="L1261" t="n">
        <v>28.45</v>
      </c>
    </row>
    <row r="1262">
      <c r="A1262" s="1">
        <f>Hyperlink("https://www.wallsandfloors.co.uk/almond-stone-tiles-almond-stone-mosaic-wall-tiles","Product")</f>
        <v/>
      </c>
      <c r="B1262" s="1" t="inlineStr">
        <is>
          <t>14659</t>
        </is>
      </c>
      <c r="C1262" s="1" t="inlineStr">
        <is>
          <t>Almond Stone Mosaic Wall Tiles</t>
        </is>
      </c>
      <c r="D1262" s="1" t="inlineStr">
        <is>
          <t>550x333x8.8mm</t>
        </is>
      </c>
      <c r="E1262" s="1" t="n">
        <v>14.95</v>
      </c>
      <c r="F1262" s="1" t="n">
        <v>0</v>
      </c>
      <c r="G1262" s="1" t="inlineStr">
        <is>
          <t>SQM</t>
        </is>
      </c>
      <c r="H1262" s="1" t="inlineStr">
        <is>
          <t>Ceramic</t>
        </is>
      </c>
      <c r="I1262" s="1" t="inlineStr">
        <is>
          <t>Gloss</t>
        </is>
      </c>
      <c r="J1262" t="n">
        <v>14.95</v>
      </c>
      <c r="K1262" t="n">
        <v>14.95</v>
      </c>
      <c r="L1262" t="n">
        <v>14.95</v>
      </c>
    </row>
    <row r="1263">
      <c r="A1263" s="1">
        <f>Hyperlink("https://www.wallsandfloors.co.uk/allegory-hexagon-tiles-white-novel-hexagon-tiles","Product")</f>
        <v/>
      </c>
      <c r="B1263" s="1" t="inlineStr">
        <is>
          <t>14406</t>
        </is>
      </c>
      <c r="C1263" s="1" t="inlineStr">
        <is>
          <t>White Novel Hexagon Tiles</t>
        </is>
      </c>
      <c r="D1263" s="1" t="inlineStr">
        <is>
          <t>200x175x8mm</t>
        </is>
      </c>
      <c r="E1263" s="1" t="n">
        <v>50.95</v>
      </c>
      <c r="F1263" s="1" t="n">
        <v>0</v>
      </c>
      <c r="G1263" s="1" t="inlineStr">
        <is>
          <t>SQM</t>
        </is>
      </c>
      <c r="H1263" s="1" t="inlineStr">
        <is>
          <t>Porcelain</t>
        </is>
      </c>
      <c r="I1263" s="1" t="inlineStr">
        <is>
          <t>Matt</t>
        </is>
      </c>
      <c r="J1263" t="n">
        <v>50.95</v>
      </c>
      <c r="K1263" t="n">
        <v>50.95</v>
      </c>
      <c r="L1263" t="n">
        <v>50.95</v>
      </c>
    </row>
    <row r="1264">
      <c r="A1264" s="1">
        <f>Hyperlink("https://www.wallsandfloors.co.uk/allegory-hexagon-tiles-grey-tale-hexagon-tiles","Product")</f>
        <v/>
      </c>
      <c r="B1264" s="1" t="inlineStr">
        <is>
          <t>14407</t>
        </is>
      </c>
      <c r="C1264" s="1" t="inlineStr">
        <is>
          <t>Grey Tale Hexagon Tiles</t>
        </is>
      </c>
      <c r="D1264" s="1" t="inlineStr">
        <is>
          <t>200x175x8mm</t>
        </is>
      </c>
      <c r="E1264" s="1" t="n">
        <v>50.95</v>
      </c>
      <c r="F1264" s="1" t="n">
        <v>0</v>
      </c>
      <c r="G1264" s="1" t="inlineStr">
        <is>
          <t>SQM</t>
        </is>
      </c>
      <c r="H1264" s="1" t="inlineStr">
        <is>
          <t>Porcelain</t>
        </is>
      </c>
      <c r="I1264" s="1" t="inlineStr">
        <is>
          <t>Matt</t>
        </is>
      </c>
      <c r="J1264" t="n">
        <v>50.95</v>
      </c>
      <c r="K1264" t="n">
        <v>50.95</v>
      </c>
      <c r="L1264" t="n">
        <v>50.95</v>
      </c>
    </row>
    <row r="1265">
      <c r="A1265" s="1">
        <f>Hyperlink("https://www.wallsandfloors.co.uk/allegory-hexagon-tiles-black-saga-hexagon-tiles","Product")</f>
        <v/>
      </c>
      <c r="B1265" s="1" t="inlineStr">
        <is>
          <t>14408</t>
        </is>
      </c>
      <c r="C1265" s="1" t="inlineStr">
        <is>
          <t>Black Saga Hexagon Tiles</t>
        </is>
      </c>
      <c r="D1265" s="1" t="inlineStr">
        <is>
          <t>200x175x8mm</t>
        </is>
      </c>
      <c r="E1265" s="1" t="n">
        <v>50.95</v>
      </c>
      <c r="F1265" s="1" t="n">
        <v>0</v>
      </c>
      <c r="G1265" s="1" t="inlineStr">
        <is>
          <t>SQM</t>
        </is>
      </c>
      <c r="H1265" s="1" t="inlineStr">
        <is>
          <t>Porcelain</t>
        </is>
      </c>
      <c r="I1265" s="1" t="inlineStr">
        <is>
          <t>Matt</t>
        </is>
      </c>
      <c r="J1265" t="n">
        <v>50.95</v>
      </c>
      <c r="K1265" t="n">
        <v>50.95</v>
      </c>
      <c r="L1265" t="n">
        <v>50.95</v>
      </c>
    </row>
    <row r="1266">
      <c r="A1266" s="1">
        <f>Hyperlink("https://www.wallsandfloors.co.uk/aleutian-tiles-mountain-white-matt-60x60-tiles","Product")</f>
        <v/>
      </c>
      <c r="B1266" s="1" t="inlineStr">
        <is>
          <t>34995</t>
        </is>
      </c>
      <c r="C1266" s="1" t="inlineStr">
        <is>
          <t>Aleutian Mountain White Matt Tiles</t>
        </is>
      </c>
      <c r="D1266" s="1" t="inlineStr">
        <is>
          <t>600x600x10mm</t>
        </is>
      </c>
      <c r="E1266" s="1" t="n">
        <v>17.95</v>
      </c>
      <c r="F1266" s="1" t="n">
        <v>0</v>
      </c>
      <c r="G1266" s="1" t="inlineStr">
        <is>
          <t>SQM</t>
        </is>
      </c>
      <c r="H1266" s="1" t="inlineStr">
        <is>
          <t>Porcelain</t>
        </is>
      </c>
      <c r="I1266" s="1" t="inlineStr">
        <is>
          <t>Matt</t>
        </is>
      </c>
      <c r="J1266" t="n">
        <v>17.95</v>
      </c>
      <c r="K1266" t="n">
        <v>17.95</v>
      </c>
      <c r="L1266" t="n">
        <v>17.95</v>
      </c>
    </row>
    <row r="1267">
      <c r="A1267" s="1">
        <f>Hyperlink("https://www.wallsandfloors.co.uk/aleutian-tiles-mountain-white-matt-60x30-tiles","Product")</f>
        <v/>
      </c>
      <c r="B1267" s="1" t="inlineStr">
        <is>
          <t>34994</t>
        </is>
      </c>
      <c r="C1267" s="1" t="inlineStr">
        <is>
          <t>Aleutian Mountain White Matt Tiles</t>
        </is>
      </c>
      <c r="D1267" s="1" t="inlineStr">
        <is>
          <t>600x300x10mm</t>
        </is>
      </c>
      <c r="E1267" s="1" t="n">
        <v>17.95</v>
      </c>
      <c r="F1267" s="1" t="n">
        <v>0</v>
      </c>
      <c r="G1267" s="1" t="inlineStr">
        <is>
          <t>SQM</t>
        </is>
      </c>
      <c r="H1267" s="1" t="inlineStr">
        <is>
          <t>Porcelain</t>
        </is>
      </c>
      <c r="I1267" s="1" t="inlineStr">
        <is>
          <t>Matt</t>
        </is>
      </c>
      <c r="J1267" t="n">
        <v>17.95</v>
      </c>
      <c r="K1267" t="n">
        <v>17.95</v>
      </c>
      <c r="L1267" t="n">
        <v>17.95</v>
      </c>
    </row>
    <row r="1268">
      <c r="A1268" s="1">
        <f>Hyperlink("https://www.wallsandfloors.co.uk/aleutian-tiles-mountain-white-gloss-tiles","Product")</f>
        <v/>
      </c>
      <c r="B1268" s="1" t="inlineStr">
        <is>
          <t>15249</t>
        </is>
      </c>
      <c r="C1268" s="1" t="inlineStr">
        <is>
          <t>Aleutian Mountain White Gloss Tiles</t>
        </is>
      </c>
      <c r="D1268" s="1" t="inlineStr">
        <is>
          <t>600x600x10mm</t>
        </is>
      </c>
      <c r="E1268" s="1" t="n">
        <v>17.95</v>
      </c>
      <c r="F1268" s="1" t="n">
        <v>0</v>
      </c>
      <c r="G1268" s="1" t="inlineStr">
        <is>
          <t>SQM</t>
        </is>
      </c>
      <c r="H1268" s="1" t="inlineStr">
        <is>
          <t>Porcelain</t>
        </is>
      </c>
      <c r="I1268" s="1" t="inlineStr">
        <is>
          <t>Gloss</t>
        </is>
      </c>
      <c r="J1268" t="n">
        <v>17.95</v>
      </c>
      <c r="K1268" t="n">
        <v>17.95</v>
      </c>
      <c r="L1268" t="n">
        <v>17.95</v>
      </c>
    </row>
    <row r="1269">
      <c r="A1269" s="1">
        <f>Hyperlink("https://www.wallsandfloors.co.uk/aleutian-tiles-mountain-white-gloss-75x75-tiles","Product")</f>
        <v/>
      </c>
      <c r="B1269" s="1" t="inlineStr">
        <is>
          <t>37204</t>
        </is>
      </c>
      <c r="C1269" s="1" t="inlineStr">
        <is>
          <t>Aleutian Mountain White Gloss Tiles</t>
        </is>
      </c>
      <c r="D1269" s="1" t="inlineStr">
        <is>
          <t>750x750x11mm</t>
        </is>
      </c>
      <c r="E1269" s="1" t="n">
        <v>17.95</v>
      </c>
      <c r="F1269" s="1" t="n">
        <v>0</v>
      </c>
      <c r="G1269" s="1" t="inlineStr">
        <is>
          <t>SQM</t>
        </is>
      </c>
      <c r="H1269" s="1" t="inlineStr">
        <is>
          <t>Porcelain</t>
        </is>
      </c>
      <c r="I1269" s="1" t="inlineStr">
        <is>
          <t>Gloss</t>
        </is>
      </c>
      <c r="J1269" t="inlineStr"/>
      <c r="K1269" t="n">
        <v>17.95</v>
      </c>
      <c r="L1269" t="n">
        <v>17.95</v>
      </c>
    </row>
    <row r="1270">
      <c r="A1270" s="1">
        <f>Hyperlink("https://www.wallsandfloors.co.uk/alabaster-white-limestone-effect-marble-mosaic-tiles","Product")</f>
        <v/>
      </c>
      <c r="B1270" s="1" t="inlineStr">
        <is>
          <t>41515</t>
        </is>
      </c>
      <c r="C1270" s="1" t="inlineStr">
        <is>
          <t>Nantlle Valley Alabaster White Limestone Effect Marble Mosaic Tiles</t>
        </is>
      </c>
      <c r="D1270" s="1" t="inlineStr">
        <is>
          <t>300x300x10.3mm</t>
        </is>
      </c>
      <c r="E1270" s="1" t="n">
        <v>9.949999999999999</v>
      </c>
      <c r="F1270" s="1" t="n">
        <v>0</v>
      </c>
      <c r="G1270" s="1" t="inlineStr">
        <is>
          <t>Sheet</t>
        </is>
      </c>
      <c r="H1270" s="1" t="inlineStr">
        <is>
          <t>Porcelain</t>
        </is>
      </c>
      <c r="I1270" s="1" t="inlineStr">
        <is>
          <t>Matt</t>
        </is>
      </c>
      <c r="J1270" t="n">
        <v>9.949999999999999</v>
      </c>
      <c r="K1270" t="n">
        <v>9.949999999999999</v>
      </c>
      <c r="L1270" t="n">
        <v>9.949999999999999</v>
      </c>
    </row>
    <row r="1271">
      <c r="A1271" s="1">
        <f>Hyperlink("https://www.wallsandfloors.co.uk/achilles-teal-mix-tiles","Product")</f>
        <v/>
      </c>
      <c r="B1271" s="1" t="inlineStr">
        <is>
          <t>42627</t>
        </is>
      </c>
      <c r="C1271" s="1" t="inlineStr">
        <is>
          <t>Achilles Teal Mix Fish Scale Tiles</t>
        </is>
      </c>
      <c r="D1271" s="1" t="inlineStr">
        <is>
          <t>307x307x10mm</t>
        </is>
      </c>
      <c r="E1271" s="1" t="n">
        <v>39.95</v>
      </c>
      <c r="F1271" s="1" t="n">
        <v>0</v>
      </c>
      <c r="G1271" s="1" t="inlineStr">
        <is>
          <t>SQM</t>
        </is>
      </c>
      <c r="H1271" s="1" t="inlineStr">
        <is>
          <t>Porcelain</t>
        </is>
      </c>
      <c r="I1271" s="1" t="inlineStr">
        <is>
          <t>Matt</t>
        </is>
      </c>
      <c r="J1271" t="n">
        <v>39.95</v>
      </c>
      <c r="K1271" t="inlineStr"/>
      <c r="L1271" t="n">
        <v>39.95</v>
      </c>
    </row>
    <row r="1272">
      <c r="A1272" s="1">
        <f>Hyperlink("https://www.wallsandfloors.co.uk/aragon-autumn-brown-quarry-tiles-r-e-x-15x15-tiles","Product")</f>
        <v/>
      </c>
      <c r="B1272" s="1" t="inlineStr">
        <is>
          <t>11527</t>
        </is>
      </c>
      <c r="C1272" s="1" t="inlineStr">
        <is>
          <t>Aragon Autumn Brown R.E.X Quarry Tiles</t>
        </is>
      </c>
      <c r="D1272" s="1" t="inlineStr">
        <is>
          <t>150x150x12mm</t>
        </is>
      </c>
      <c r="E1272" s="1" t="n">
        <v>9.949999999999999</v>
      </c>
      <c r="F1272" s="1" t="n">
        <v>0</v>
      </c>
      <c r="G1272" s="1" t="inlineStr">
        <is>
          <t>Tile</t>
        </is>
      </c>
      <c r="H1272" s="1" t="inlineStr">
        <is>
          <t>Clay</t>
        </is>
      </c>
      <c r="I1272" s="1" t="inlineStr">
        <is>
          <t>Matt</t>
        </is>
      </c>
      <c r="J1272" t="inlineStr"/>
      <c r="K1272" t="n">
        <v>9.949999999999999</v>
      </c>
      <c r="L1272" t="n">
        <v>9.949999999999999</v>
      </c>
    </row>
    <row r="1273">
      <c r="A1273" s="1">
        <f>Hyperlink("https://www.wallsandfloors.co.uk/aragon-autumn-brown-quarry-tiles-r-e-x-20x20-tiles","Product")</f>
        <v/>
      </c>
      <c r="B1273" s="1" t="inlineStr">
        <is>
          <t>13724</t>
        </is>
      </c>
      <c r="C1273" s="1" t="inlineStr">
        <is>
          <t>Aragon Autumn Brown R.E.X Quarry Tiles</t>
        </is>
      </c>
      <c r="D1273" s="1" t="inlineStr">
        <is>
          <t>200x200x12mm</t>
        </is>
      </c>
      <c r="E1273" s="1" t="n">
        <v>10.95</v>
      </c>
      <c r="F1273" s="1" t="n">
        <v>0</v>
      </c>
      <c r="G1273" s="1" t="inlineStr">
        <is>
          <t>Tile</t>
        </is>
      </c>
      <c r="H1273" s="1" t="inlineStr">
        <is>
          <t>Clay</t>
        </is>
      </c>
      <c r="I1273" s="1" t="inlineStr">
        <is>
          <t>Matt</t>
        </is>
      </c>
      <c r="J1273" t="n">
        <v>10.95</v>
      </c>
      <c r="K1273" t="n">
        <v>10.95</v>
      </c>
      <c r="L1273" t="n">
        <v>10.95</v>
      </c>
    </row>
    <row r="1274">
      <c r="A1274" s="1">
        <f>Hyperlink("https://www.wallsandfloors.co.uk/aragon-autumn-brown-quarry-tiles-skirting-200-quarry-tiles","Product")</f>
        <v/>
      </c>
      <c r="B1274" s="1" t="inlineStr">
        <is>
          <t>13725</t>
        </is>
      </c>
      <c r="C1274" s="1" t="inlineStr">
        <is>
          <t>Skirting 200 Quarry Tiles</t>
        </is>
      </c>
      <c r="D1274" s="1" t="inlineStr">
        <is>
          <t>115x200x12mm</t>
        </is>
      </c>
      <c r="E1274" s="1" t="n">
        <v>6.95</v>
      </c>
      <c r="F1274" s="1" t="n">
        <v>0</v>
      </c>
      <c r="G1274" s="1" t="inlineStr">
        <is>
          <t>SQM</t>
        </is>
      </c>
      <c r="H1274" s="1" t="inlineStr">
        <is>
          <t>Clay</t>
        </is>
      </c>
      <c r="I1274" s="1" t="inlineStr">
        <is>
          <t>Matt</t>
        </is>
      </c>
      <c r="J1274" t="n">
        <v>6.95</v>
      </c>
      <c r="K1274" t="n">
        <v>6.95</v>
      </c>
      <c r="L1274" t="n">
        <v>6.95</v>
      </c>
    </row>
    <row r="1275">
      <c r="A1275" s="1">
        <f>Hyperlink("https://www.wallsandfloors.co.uk/bijou-swimming-pool-mosaic-tiles-rainforest-mix-tiles","Product")</f>
        <v/>
      </c>
      <c r="B1275" s="1" t="inlineStr">
        <is>
          <t>15448</t>
        </is>
      </c>
      <c r="C1275" s="1" t="inlineStr">
        <is>
          <t>Bijou Square Rainforest Mix Mosaic Tiles</t>
        </is>
      </c>
      <c r="D1275" s="1" t="inlineStr">
        <is>
          <t>305x305x5.2mm</t>
        </is>
      </c>
      <c r="E1275" s="1" t="n">
        <v>2.74</v>
      </c>
      <c r="F1275" s="1" t="n">
        <v>0</v>
      </c>
      <c r="G1275" s="1" t="inlineStr">
        <is>
          <t>Sheet</t>
        </is>
      </c>
      <c r="H1275" s="1" t="inlineStr">
        <is>
          <t>Porcelain</t>
        </is>
      </c>
      <c r="I1275" s="1" t="inlineStr">
        <is>
          <t>Gloss</t>
        </is>
      </c>
      <c r="J1275" t="n">
        <v>2.74</v>
      </c>
      <c r="K1275" t="n">
        <v>2.74</v>
      </c>
      <c r="L1275" t="n">
        <v>2.74</v>
      </c>
    </row>
    <row r="1276">
      <c r="A1276" s="1">
        <f>Hyperlink("https://www.wallsandfloors.co.uk/bijou-square-mosaic-tiles-matt-white-square-large-tiles","Product")</f>
        <v/>
      </c>
      <c r="B1276" s="1" t="inlineStr">
        <is>
          <t>14781</t>
        </is>
      </c>
      <c r="C1276" s="1" t="inlineStr">
        <is>
          <t>Bijou Square Matt White Large Mosaic Tiles</t>
        </is>
      </c>
      <c r="D1276" s="1" t="inlineStr">
        <is>
          <t>316x316x5.2mm</t>
        </is>
      </c>
      <c r="E1276" s="1" t="n">
        <v>1.89</v>
      </c>
      <c r="F1276" s="1" t="n">
        <v>0</v>
      </c>
      <c r="G1276" s="1" t="inlineStr">
        <is>
          <t>Sheet</t>
        </is>
      </c>
      <c r="H1276" s="1" t="inlineStr">
        <is>
          <t>Porcelain</t>
        </is>
      </c>
      <c r="I1276" s="1" t="inlineStr">
        <is>
          <t>Matt</t>
        </is>
      </c>
      <c r="J1276" t="n">
        <v>1.89</v>
      </c>
      <c r="K1276" t="n">
        <v>1.89</v>
      </c>
      <c r="L1276" t="n">
        <v>1.89</v>
      </c>
    </row>
    <row r="1277">
      <c r="A1277" s="1">
        <f>Hyperlink("https://www.wallsandfloors.co.uk/bijou-square-mosaic-tiles-matt-black-square-large-tiles","Product")</f>
        <v/>
      </c>
      <c r="B1277" s="1" t="inlineStr">
        <is>
          <t>14783</t>
        </is>
      </c>
      <c r="C1277" s="1" t="inlineStr">
        <is>
          <t>Bijou Square Matt Black Large Mosaic Tiles</t>
        </is>
      </c>
      <c r="D1277" s="1" t="inlineStr">
        <is>
          <t>316x316x5.2mm</t>
        </is>
      </c>
      <c r="E1277" s="1" t="n">
        <v>2.15</v>
      </c>
      <c r="F1277" s="1" t="n">
        <v>0</v>
      </c>
      <c r="G1277" s="1" t="inlineStr">
        <is>
          <t>Sheet</t>
        </is>
      </c>
      <c r="H1277" s="1" t="inlineStr">
        <is>
          <t>Porcelain</t>
        </is>
      </c>
      <c r="I1277" s="1" t="inlineStr">
        <is>
          <t>Matt</t>
        </is>
      </c>
      <c r="J1277" t="n">
        <v>2.15</v>
      </c>
      <c r="K1277" t="n">
        <v>2.15</v>
      </c>
      <c r="L1277" t="n">
        <v>2.15</v>
      </c>
    </row>
    <row r="1278">
      <c r="A1278" s="1">
        <f>Hyperlink("https://www.wallsandfloors.co.uk/bijou-square-mosaic-tiles-gloss-black-square-large-tiles","Product")</f>
        <v/>
      </c>
      <c r="B1278" s="1" t="inlineStr">
        <is>
          <t>14782</t>
        </is>
      </c>
      <c r="C1278" s="1" t="inlineStr">
        <is>
          <t>Bijou Square Gloss Black Large Mosaic Tiles</t>
        </is>
      </c>
      <c r="D1278" s="1" t="inlineStr">
        <is>
          <t>316x316x6.5mm</t>
        </is>
      </c>
      <c r="E1278" s="1" t="n">
        <v>2.15</v>
      </c>
      <c r="F1278" s="1" t="n">
        <v>0</v>
      </c>
      <c r="G1278" s="1" t="inlineStr"/>
      <c r="H1278" s="1" t="inlineStr">
        <is>
          <t>Porcelain</t>
        </is>
      </c>
      <c r="I1278" s="1" t="inlineStr">
        <is>
          <t>Gloss</t>
        </is>
      </c>
      <c r="J1278" t="n">
        <v>2.15</v>
      </c>
      <c r="K1278" t="inlineStr"/>
      <c r="L1278" t="n">
        <v>2.15</v>
      </c>
    </row>
    <row r="1279">
      <c r="A1279" s="1">
        <f>Hyperlink("https://www.wallsandfloors.co.uk/bijou-mosaic-chequer-hexagon-white-black-gloss-96085","Product")</f>
        <v/>
      </c>
      <c r="B1279" s="1" t="inlineStr">
        <is>
          <t>27155</t>
        </is>
      </c>
      <c r="C1279" s="1" t="inlineStr">
        <is>
          <t>Bijou Gloss Chequer Hexagon Mosaic Tiles</t>
        </is>
      </c>
      <c r="D1279" s="1" t="inlineStr">
        <is>
          <t>335x292x4mm</t>
        </is>
      </c>
      <c r="E1279" s="1" t="n">
        <v>2.12</v>
      </c>
      <c r="F1279" s="1" t="n">
        <v>0</v>
      </c>
      <c r="G1279" s="1" t="inlineStr"/>
      <c r="H1279" s="1" t="inlineStr">
        <is>
          <t>Porcelain</t>
        </is>
      </c>
      <c r="I1279" s="1" t="inlineStr">
        <is>
          <t>Gloss</t>
        </is>
      </c>
      <c r="J1279" t="n">
        <v>2.12</v>
      </c>
      <c r="K1279" t="n">
        <v>2.12</v>
      </c>
      <c r="L1279" t="n">
        <v>2.12</v>
      </c>
    </row>
    <row r="1280">
      <c r="A1280" s="1">
        <f>Hyperlink("https://www.wallsandfloors.co.uk/bijou-herringbone-mosaic-white-matt-herringbone-mosaic-tiles","Product")</f>
        <v/>
      </c>
      <c r="B1280" s="1" t="inlineStr">
        <is>
          <t>15450</t>
        </is>
      </c>
      <c r="C1280" s="1" t="inlineStr">
        <is>
          <t>Pixel White Herringbone Matt 22x73 Mosaic Tiles</t>
        </is>
      </c>
      <c r="D1280" s="1" t="inlineStr">
        <is>
          <t>316x277x6mm</t>
        </is>
      </c>
      <c r="E1280" s="1" t="n">
        <v>4.95</v>
      </c>
      <c r="F1280" s="1" t="n">
        <v>0</v>
      </c>
      <c r="G1280" s="1" t="inlineStr">
        <is>
          <t>Sheet</t>
        </is>
      </c>
      <c r="H1280" s="1" t="inlineStr">
        <is>
          <t>Porcelain</t>
        </is>
      </c>
      <c r="I1280" s="1" t="inlineStr">
        <is>
          <t>Matt</t>
        </is>
      </c>
      <c r="J1280" t="n">
        <v>4.95</v>
      </c>
      <c r="K1280" t="n">
        <v>4.95</v>
      </c>
      <c r="L1280" t="n">
        <v>4.95</v>
      </c>
    </row>
    <row r="1281">
      <c r="A1281" s="1">
        <f>Hyperlink("https://www.wallsandfloors.co.uk/bijou-herringbone-mosaic-white-gloss-herringbone-mosaic-tiles","Product")</f>
        <v/>
      </c>
      <c r="B1281" s="1" t="inlineStr">
        <is>
          <t>44484</t>
        </is>
      </c>
      <c r="C1281" s="1" t="inlineStr">
        <is>
          <t>Pixel White Herringbone Gloss 22x73 Mosaic Tiles</t>
        </is>
      </c>
      <c r="D1281" s="1" t="inlineStr">
        <is>
          <t>316x277x6mm</t>
        </is>
      </c>
      <c r="E1281" s="1" t="n">
        <v>4.95</v>
      </c>
      <c r="F1281" s="1" t="n">
        <v>0</v>
      </c>
      <c r="G1281" s="1" t="inlineStr">
        <is>
          <t>Sheet</t>
        </is>
      </c>
      <c r="H1281" s="1" t="inlineStr">
        <is>
          <t>Porcelain</t>
        </is>
      </c>
      <c r="I1281" s="1" t="inlineStr">
        <is>
          <t>Gloss</t>
        </is>
      </c>
      <c r="J1281" t="n">
        <v>4.95</v>
      </c>
      <c r="K1281" t="n">
        <v>4.95</v>
      </c>
      <c r="L1281" t="n">
        <v>4.95</v>
      </c>
    </row>
    <row r="1282">
      <c r="A1282" s="1">
        <f>Hyperlink("https://www.wallsandfloors.co.uk/bijou-checkered-mosaic-tiles-black-and-white-chequer-gloss-mosaic-tiles","Product")</f>
        <v/>
      </c>
      <c r="B1282" s="1" t="inlineStr">
        <is>
          <t>14897</t>
        </is>
      </c>
      <c r="C1282" s="1" t="inlineStr">
        <is>
          <t>Black and White Chequer Gloss Mosaic Tiles</t>
        </is>
      </c>
      <c r="D1282" s="1" t="inlineStr">
        <is>
          <t>312x312x5.2mm</t>
        </is>
      </c>
      <c r="E1282" s="1" t="n">
        <v>2.49</v>
      </c>
      <c r="F1282" s="1" t="n">
        <v>0</v>
      </c>
      <c r="G1282" s="1" t="inlineStr">
        <is>
          <t>Sheet</t>
        </is>
      </c>
      <c r="H1282" s="1" t="inlineStr">
        <is>
          <t>Porcelain</t>
        </is>
      </c>
      <c r="I1282" s="1" t="inlineStr">
        <is>
          <t>Gloss</t>
        </is>
      </c>
      <c r="J1282" t="n">
        <v>2.49</v>
      </c>
      <c r="K1282" t="n">
        <v>2.49</v>
      </c>
      <c r="L1282" t="n">
        <v>2.49</v>
      </c>
    </row>
    <row r="1283">
      <c r="A1283" s="1">
        <f>Hyperlink("https://www.wallsandfloors.co.uk/bijou-brick-mosaic-tiles-matt-grey-brick-bond-mosaic-tiles","Product")</f>
        <v/>
      </c>
      <c r="B1283" s="1" t="inlineStr">
        <is>
          <t>15045</t>
        </is>
      </c>
      <c r="C1283" s="1" t="inlineStr">
        <is>
          <t>Bijou Brick Matt Grey Brickbond Mosaic Tiles</t>
        </is>
      </c>
      <c r="D1283" s="1" t="inlineStr">
        <is>
          <t>300x295x5.2mm</t>
        </is>
      </c>
      <c r="E1283" s="1" t="n">
        <v>1.92</v>
      </c>
      <c r="F1283" s="1" t="n">
        <v>0</v>
      </c>
      <c r="G1283" s="1" t="inlineStr">
        <is>
          <t>Sheet</t>
        </is>
      </c>
      <c r="H1283" s="1" t="inlineStr">
        <is>
          <t>Porcelain</t>
        </is>
      </c>
      <c r="I1283" s="1" t="inlineStr">
        <is>
          <t>Matt</t>
        </is>
      </c>
      <c r="J1283" t="n">
        <v>1.92</v>
      </c>
      <c r="K1283" t="n">
        <v>1.92</v>
      </c>
      <c r="L1283" t="n">
        <v>1.92</v>
      </c>
    </row>
    <row r="1284">
      <c r="A1284" s="1">
        <f>Hyperlink("https://www.wallsandfloors.co.uk/bijou-brick-mosaic-tiles-gloss-white-brick-mosaic-tiles","Product")</f>
        <v/>
      </c>
      <c r="B1284" s="1" t="inlineStr">
        <is>
          <t>15012</t>
        </is>
      </c>
      <c r="C1284" s="1" t="inlineStr">
        <is>
          <t>Bijou Brick Gloss White Mosaic Tiles</t>
        </is>
      </c>
      <c r="D1284" s="1" t="inlineStr">
        <is>
          <t>300x295x5.2mm</t>
        </is>
      </c>
      <c r="E1284" s="1" t="n">
        <v>1.7</v>
      </c>
      <c r="F1284" s="1" t="n">
        <v>0</v>
      </c>
      <c r="G1284" s="1" t="inlineStr">
        <is>
          <t>Sheet</t>
        </is>
      </c>
      <c r="H1284" s="1" t="inlineStr">
        <is>
          <t>Porcelain</t>
        </is>
      </c>
      <c r="I1284" s="1" t="inlineStr">
        <is>
          <t>Gloss</t>
        </is>
      </c>
      <c r="J1284" t="n">
        <v>1.7</v>
      </c>
      <c r="K1284" t="n">
        <v>1.7</v>
      </c>
      <c r="L1284" t="n">
        <v>1.7</v>
      </c>
    </row>
    <row r="1285">
      <c r="A1285" s="1">
        <f>Hyperlink("https://www.wallsandfloors.co.uk/bevelled-white-tiles-alba-blanco-bevelled-white-wall-tiles","Product")</f>
        <v/>
      </c>
      <c r="B1285" s="1" t="inlineStr">
        <is>
          <t>2920</t>
        </is>
      </c>
      <c r="C1285" s="1" t="inlineStr">
        <is>
          <t>Alba Blanco Bevelled White Wall Tiles</t>
        </is>
      </c>
      <c r="D1285" s="1" t="inlineStr">
        <is>
          <t>400x250x8mm</t>
        </is>
      </c>
      <c r="E1285" s="1" t="n">
        <v>12.95</v>
      </c>
      <c r="F1285" s="1" t="n">
        <v>0</v>
      </c>
      <c r="G1285" s="1" t="inlineStr">
        <is>
          <t>SQM</t>
        </is>
      </c>
      <c r="H1285" s="1" t="inlineStr">
        <is>
          <t>Ceramic</t>
        </is>
      </c>
      <c r="I1285" s="1" t="inlineStr">
        <is>
          <t>Gloss</t>
        </is>
      </c>
      <c r="J1285" t="n">
        <v>12.95</v>
      </c>
      <c r="K1285" t="n">
        <v>12.95</v>
      </c>
      <c r="L1285" t="n">
        <v>12.95</v>
      </c>
    </row>
    <row r="1286">
      <c r="A1286" s="1">
        <f>Hyperlink("https://www.wallsandfloors.co.uk/beige-500x250-wall-tiles","Product")</f>
        <v/>
      </c>
      <c r="B1286" s="1" t="inlineStr">
        <is>
          <t>13746</t>
        </is>
      </c>
      <c r="C1286" s="1" t="inlineStr">
        <is>
          <t>Athena Beige Wall Tiles</t>
        </is>
      </c>
      <c r="D1286" s="1" t="inlineStr">
        <is>
          <t>500x250x8mm</t>
        </is>
      </c>
      <c r="E1286" s="1" t="n">
        <v>13.95</v>
      </c>
      <c r="F1286" s="1" t="n">
        <v>0</v>
      </c>
      <c r="G1286" s="1" t="inlineStr">
        <is>
          <t>SQM</t>
        </is>
      </c>
      <c r="H1286" s="1" t="inlineStr">
        <is>
          <t>Ceramic</t>
        </is>
      </c>
      <c r="I1286" s="1" t="inlineStr">
        <is>
          <t>Gloss</t>
        </is>
      </c>
      <c r="J1286" t="n">
        <v>13.95</v>
      </c>
      <c r="K1286" t="n">
        <v>13.95</v>
      </c>
      <c r="L1286" t="n">
        <v>13.95</v>
      </c>
    </row>
    <row r="1287">
      <c r="A1287" s="1">
        <f>Hyperlink("https://www.wallsandfloors.co.uk/baycliff-tiles-mineral-slate-effect-tiles","Product")</f>
        <v/>
      </c>
      <c r="B1287" s="1" t="inlineStr">
        <is>
          <t>14596</t>
        </is>
      </c>
      <c r="C1287" s="1" t="inlineStr">
        <is>
          <t>Mineral Slate Effect Tiles</t>
        </is>
      </c>
      <c r="D1287" s="1" t="inlineStr">
        <is>
          <t>360x275x9mm</t>
        </is>
      </c>
      <c r="E1287" s="1" t="n">
        <v>24.95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Matt</t>
        </is>
      </c>
      <c r="J1287" t="n">
        <v>24.95</v>
      </c>
      <c r="K1287" t="inlineStr"/>
      <c r="L1287" t="n">
        <v>24.95</v>
      </c>
    </row>
    <row r="1288">
      <c r="A1288" s="1">
        <f>Hyperlink("https://www.wallsandfloors.co.uk/baycliff-tiles-bramble-slate-effect-tiles","Product")</f>
        <v/>
      </c>
      <c r="B1288" s="1" t="inlineStr">
        <is>
          <t>14595</t>
        </is>
      </c>
      <c r="C1288" s="1" t="inlineStr">
        <is>
          <t>Bramble Slate Effect Tiles</t>
        </is>
      </c>
      <c r="D1288" s="1" t="inlineStr">
        <is>
          <t>360x275x9mm</t>
        </is>
      </c>
      <c r="E1288" s="1" t="n">
        <v>24.95</v>
      </c>
      <c r="F1288" s="1" t="n">
        <v>0</v>
      </c>
      <c r="G1288" s="1" t="inlineStr">
        <is>
          <t>SQM</t>
        </is>
      </c>
      <c r="H1288" s="1" t="inlineStr">
        <is>
          <t>Ceramic</t>
        </is>
      </c>
      <c r="I1288" s="1" t="inlineStr">
        <is>
          <t>Matt</t>
        </is>
      </c>
      <c r="J1288" t="n">
        <v>24.95</v>
      </c>
      <c r="K1288" t="n">
        <v>24.95</v>
      </c>
      <c r="L1288" t="n">
        <v>24.95</v>
      </c>
    </row>
    <row r="1289">
      <c r="A1289" s="1">
        <f>Hyperlink("https://www.wallsandfloors.co.uk/basic-60-with-lateral-stop-and-45-square-manual-cutter","Product")</f>
        <v/>
      </c>
      <c r="B1289" s="1" t="inlineStr">
        <is>
          <t>40396</t>
        </is>
      </c>
      <c r="C1289" s="1" t="inlineStr">
        <is>
          <t>BASIC-60 Manual Cutter with Lateral Stop &amp; 45º Square</t>
        </is>
      </c>
      <c r="D1289" s="1" t="n">
        <v>1</v>
      </c>
      <c r="E1289" s="1" t="n">
        <v>37.25</v>
      </c>
      <c r="F1289" s="1" t="n">
        <v>0</v>
      </c>
      <c r="G1289" s="1" t="inlineStr">
        <is>
          <t>Unit</t>
        </is>
      </c>
      <c r="H1289" s="1" t="inlineStr">
        <is>
          <t>Accessories</t>
        </is>
      </c>
      <c r="I1289" s="1" t="inlineStr">
        <is>
          <t>-</t>
        </is>
      </c>
      <c r="J1289" t="n">
        <v>37.25</v>
      </c>
      <c r="K1289" t="n">
        <v>37.25</v>
      </c>
      <c r="L1289" t="n">
        <v>37.25</v>
      </c>
    </row>
    <row r="1290">
      <c r="A1290" s="1">
        <f>Hyperlink("https://www.wallsandfloors.co.uk/barolo-summer-blue-tiles","Product")</f>
        <v/>
      </c>
      <c r="B1290" s="1" t="inlineStr">
        <is>
          <t>39068</t>
        </is>
      </c>
      <c r="C1290" s="1" t="inlineStr">
        <is>
          <t>Barolo Summer Blue Tiles</t>
        </is>
      </c>
      <c r="D1290" s="1" t="inlineStr">
        <is>
          <t>330x330x9.5mm</t>
        </is>
      </c>
      <c r="E1290" s="1" t="n">
        <v>27.95</v>
      </c>
      <c r="F1290" s="1" t="n">
        <v>0</v>
      </c>
      <c r="G1290" s="1" t="inlineStr">
        <is>
          <t>SQM</t>
        </is>
      </c>
      <c r="H1290" s="1" t="inlineStr">
        <is>
          <t>Ceramic</t>
        </is>
      </c>
      <c r="I1290" s="1" t="inlineStr">
        <is>
          <t>Matt</t>
        </is>
      </c>
      <c r="J1290" t="n">
        <v>27.95</v>
      </c>
      <c r="K1290" t="inlineStr"/>
      <c r="L1290" t="n">
        <v>27.95</v>
      </c>
    </row>
    <row r="1291">
      <c r="A1291" s="1">
        <f>Hyperlink("https://www.wallsandfloors.co.uk/barolo-antique-white-tiles","Product")</f>
        <v/>
      </c>
      <c r="B1291" s="1" t="inlineStr">
        <is>
          <t>39069</t>
        </is>
      </c>
      <c r="C1291" s="1" t="inlineStr">
        <is>
          <t>Barolo Antique White Tiles</t>
        </is>
      </c>
      <c r="D1291" s="1" t="inlineStr">
        <is>
          <t>330x330x9.5mm</t>
        </is>
      </c>
      <c r="E1291" s="1" t="n">
        <v>27.95</v>
      </c>
      <c r="F1291" s="1" t="n">
        <v>0</v>
      </c>
      <c r="G1291" s="1" t="inlineStr">
        <is>
          <t>SQM</t>
        </is>
      </c>
      <c r="H1291" s="1" t="inlineStr">
        <is>
          <t>Ceramic</t>
        </is>
      </c>
      <c r="I1291" s="1" t="inlineStr">
        <is>
          <t>Matt</t>
        </is>
      </c>
      <c r="J1291" t="inlineStr"/>
      <c r="K1291" t="n">
        <v>27.95</v>
      </c>
      <c r="L1291" t="n">
        <v>27.95</v>
      </c>
    </row>
    <row r="1292">
      <c r="A1292" s="1">
        <f>Hyperlink("https://www.wallsandfloors.co.uk/barolo-amber-tiles","Product")</f>
        <v/>
      </c>
      <c r="B1292" s="1" t="inlineStr">
        <is>
          <t>39070</t>
        </is>
      </c>
      <c r="C1292" s="1" t="inlineStr">
        <is>
          <t>Barolo Amber Tiles</t>
        </is>
      </c>
      <c r="D1292" s="1" t="inlineStr">
        <is>
          <t>330x330x9.5mm</t>
        </is>
      </c>
      <c r="E1292" s="1" t="n">
        <v>27.95</v>
      </c>
      <c r="F1292" s="1" t="n">
        <v>0</v>
      </c>
      <c r="G1292" s="1" t="inlineStr">
        <is>
          <t>SQM</t>
        </is>
      </c>
      <c r="H1292" s="1" t="inlineStr">
        <is>
          <t>Ceramic</t>
        </is>
      </c>
      <c r="I1292" s="1" t="inlineStr">
        <is>
          <t>Matt</t>
        </is>
      </c>
      <c r="J1292" t="inlineStr"/>
      <c r="K1292" t="n">
        <v>27.95</v>
      </c>
      <c r="L1292" t="n">
        <v>27.95</v>
      </c>
    </row>
    <row r="1293">
      <c r="A1293" s="1">
        <f>Hyperlink("https://www.wallsandfloors.co.uk/bally-octagon-mosaic-tiles-green-octagon-mosaic-tiles-29206","Product")</f>
        <v/>
      </c>
      <c r="B1293" s="1" t="inlineStr">
        <is>
          <t>14204</t>
        </is>
      </c>
      <c r="C1293" s="1" t="inlineStr">
        <is>
          <t>Bally Green Octagon Mosaic Tiles</t>
        </is>
      </c>
      <c r="D1293" s="1" t="inlineStr">
        <is>
          <t>292x292x4mm</t>
        </is>
      </c>
      <c r="E1293" s="1" t="n">
        <v>1.9</v>
      </c>
      <c r="F1293" s="1" t="n">
        <v>0</v>
      </c>
      <c r="G1293" s="1" t="inlineStr">
        <is>
          <t>Sheet</t>
        </is>
      </c>
      <c r="H1293" s="1" t="inlineStr">
        <is>
          <t>Porcelain</t>
        </is>
      </c>
      <c r="I1293" s="1" t="inlineStr">
        <is>
          <t>Gloss</t>
        </is>
      </c>
      <c r="J1293" t="n">
        <v>1.9</v>
      </c>
      <c r="K1293" t="n">
        <v>1.9</v>
      </c>
      <c r="L1293" t="n">
        <v>1.9</v>
      </c>
    </row>
    <row r="1294">
      <c r="A1294" s="1">
        <f>Hyperlink("https://www.wallsandfloors.co.uk/bal-wall-tile-grout-micromax2-manilla-wall-and-floor-grout","Product")</f>
        <v/>
      </c>
      <c r="B1294" s="1" t="inlineStr">
        <is>
          <t>10782</t>
        </is>
      </c>
      <c r="C1294" s="1" t="inlineStr">
        <is>
          <t>Micromax2 Manilla Wall and Floor Grout</t>
        </is>
      </c>
      <c r="D1294" s="1" t="inlineStr">
        <is>
          <t>2.5 Kg</t>
        </is>
      </c>
      <c r="E1294" s="1" t="n">
        <v>14.95</v>
      </c>
      <c r="F1294" s="1" t="n">
        <v>0</v>
      </c>
      <c r="G1294" s="1" t="inlineStr">
        <is>
          <t>Units</t>
        </is>
      </c>
      <c r="H1294" s="1" t="inlineStr">
        <is>
          <t>Grout</t>
        </is>
      </c>
      <c r="I1294" s="1" t="inlineStr">
        <is>
          <t>-</t>
        </is>
      </c>
      <c r="J1294" t="n">
        <v>14.95</v>
      </c>
      <c r="K1294" t="n">
        <v>14.95</v>
      </c>
      <c r="L1294" t="n">
        <v>14.95</v>
      </c>
    </row>
    <row r="1295">
      <c r="A1295" s="1">
        <f>Hyperlink("https://www.wallsandfloors.co.uk/bal-tile-tools-prep-maintenance-wp1-tape-9256","Product")</f>
        <v/>
      </c>
      <c r="B1295" s="1" t="inlineStr">
        <is>
          <t>9256</t>
        </is>
      </c>
      <c r="C1295" s="1" t="inlineStr">
        <is>
          <t>WP1 Tape</t>
        </is>
      </c>
      <c r="D1295" s="1" t="inlineStr">
        <is>
          <t>5m</t>
        </is>
      </c>
      <c r="E1295" s="1" t="n">
        <v>21.95</v>
      </c>
      <c r="F1295" s="1" t="n">
        <v>0</v>
      </c>
      <c r="G1295" s="1" t="inlineStr">
        <is>
          <t>Units</t>
        </is>
      </c>
      <c r="H1295" s="1" t="inlineStr">
        <is>
          <t>Preparation Products</t>
        </is>
      </c>
      <c r="I1295" s="1" t="inlineStr">
        <is>
          <t>-</t>
        </is>
      </c>
      <c r="J1295" t="n">
        <v>21.95</v>
      </c>
      <c r="K1295" t="n">
        <v>21.95</v>
      </c>
      <c r="L1295" t="n">
        <v>21.95</v>
      </c>
    </row>
    <row r="1296">
      <c r="A1296" s="1">
        <f>Hyperlink("https://www.wallsandfloors.co.uk/bal-tile-tools-prep-maintenance-protective-sealer","Product")</f>
        <v/>
      </c>
      <c r="B1296" s="1" t="inlineStr">
        <is>
          <t>9207</t>
        </is>
      </c>
      <c r="C1296" s="1" t="inlineStr">
        <is>
          <t>Protective Sealer</t>
        </is>
      </c>
      <c r="D1296" s="1" t="inlineStr">
        <is>
          <t>2.5 Ltr</t>
        </is>
      </c>
      <c r="E1296" s="1" t="n">
        <v>25.95</v>
      </c>
      <c r="F1296" s="1" t="n">
        <v>0</v>
      </c>
      <c r="G1296" s="1" t="inlineStr">
        <is>
          <t>Units</t>
        </is>
      </c>
      <c r="H1296" s="1" t="inlineStr">
        <is>
          <t>Preparation Products</t>
        </is>
      </c>
      <c r="I1296" s="1" t="inlineStr">
        <is>
          <t>-</t>
        </is>
      </c>
      <c r="J1296" t="n">
        <v>25.95</v>
      </c>
      <c r="K1296" t="inlineStr"/>
      <c r="L1296" t="n">
        <v>25.95</v>
      </c>
    </row>
    <row r="1297">
      <c r="A1297" s="1">
        <f>Hyperlink("https://www.wallsandfloors.co.uk/bal-tile-tools-prep-maintenance-micromax-manilla-wall-and-floor-sealant","Product")</f>
        <v/>
      </c>
      <c r="B1297" s="1" t="inlineStr">
        <is>
          <t>10795</t>
        </is>
      </c>
      <c r="C1297" s="1" t="inlineStr">
        <is>
          <t>Micromax Manilla Wall and Floor Sealant</t>
        </is>
      </c>
      <c r="D1297" s="1" t="inlineStr">
        <is>
          <t>310ml</t>
        </is>
      </c>
      <c r="E1297" s="1" t="n">
        <v>5.95</v>
      </c>
      <c r="F1297" s="1" t="n">
        <v>0</v>
      </c>
      <c r="G1297" s="1" t="inlineStr">
        <is>
          <t>Units</t>
        </is>
      </c>
      <c r="H1297" s="1" t="inlineStr">
        <is>
          <t>Sealers and Protectors</t>
        </is>
      </c>
      <c r="I1297" s="1" t="inlineStr">
        <is>
          <t>-</t>
        </is>
      </c>
      <c r="J1297" t="n">
        <v>5.95</v>
      </c>
      <c r="K1297" t="n">
        <v>5.95</v>
      </c>
      <c r="L1297" t="n">
        <v>5.95</v>
      </c>
    </row>
    <row r="1298">
      <c r="A1298" s="1">
        <f>Hyperlink("https://www.wallsandfloors.co.uk/black-gloss-small-andprg6-538","Product")</f>
        <v/>
      </c>
      <c r="B1298" s="1" t="inlineStr">
        <is>
          <t>538</t>
        </is>
      </c>
      <c r="C1298" s="1" t="inlineStr">
        <is>
          <t>Prismatics Gloss PRG6 Black Wall Tiles</t>
        </is>
      </c>
      <c r="D1298" s="1" t="inlineStr">
        <is>
          <t>100x100x6.5mm</t>
        </is>
      </c>
      <c r="E1298" s="1" t="n">
        <v>54.95</v>
      </c>
      <c r="F1298" s="1" t="n">
        <v>0</v>
      </c>
      <c r="G1298" s="1" t="inlineStr">
        <is>
          <t>SQM</t>
        </is>
      </c>
      <c r="H1298" s="1" t="inlineStr">
        <is>
          <t>Ceramic</t>
        </is>
      </c>
      <c r="I1298" s="1" t="inlineStr">
        <is>
          <t>Gloss</t>
        </is>
      </c>
      <c r="J1298" t="inlineStr"/>
      <c r="K1298" t="inlineStr"/>
      <c r="L1298" t="n">
        <v>54.95</v>
      </c>
    </row>
    <row r="1299">
      <c r="A1299" s="1">
        <f>Hyperlink("https://www.wallsandfloors.co.uk/bal-floor-tile-adhesive-powders-single-part-flexible-grey-tile-adhesive","Product")</f>
        <v/>
      </c>
      <c r="B1299" s="1" t="inlineStr">
        <is>
          <t>9013</t>
        </is>
      </c>
      <c r="C1299" s="1" t="inlineStr">
        <is>
          <t>Single Part Flexible Grey Tile Adhesive</t>
        </is>
      </c>
      <c r="D1299" s="1" t="inlineStr">
        <is>
          <t>20 Kg</t>
        </is>
      </c>
      <c r="E1299" s="1" t="n">
        <v>41.95</v>
      </c>
      <c r="F1299" s="1" t="n">
        <v>0</v>
      </c>
      <c r="G1299" s="1" t="inlineStr">
        <is>
          <t>Units</t>
        </is>
      </c>
      <c r="H1299" s="1" t="inlineStr">
        <is>
          <t>Adhesive</t>
        </is>
      </c>
      <c r="I1299" s="1" t="inlineStr">
        <is>
          <t>-</t>
        </is>
      </c>
      <c r="J1299" t="n">
        <v>41.95</v>
      </c>
      <c r="K1299" t="n">
        <v>41.95</v>
      </c>
      <c r="L1299" t="n">
        <v>41.95</v>
      </c>
    </row>
    <row r="1300">
      <c r="A1300" s="1">
        <f>Hyperlink("https://www.wallsandfloors.co.uk/black-octagon-100mm-tiles","Product")</f>
        <v/>
      </c>
      <c r="B1300" s="1" t="inlineStr">
        <is>
          <t>990296</t>
        </is>
      </c>
      <c r="C1300" s="1" t="inlineStr">
        <is>
          <t>Black Octagon 100mm Tiles</t>
        </is>
      </c>
      <c r="D1300" s="1" t="inlineStr">
        <is>
          <t>100x100x9-10mm</t>
        </is>
      </c>
      <c r="E1300" s="1" t="n">
        <v>2.63</v>
      </c>
      <c r="F1300" s="1" t="n">
        <v>0</v>
      </c>
      <c r="G1300" s="1" t="inlineStr">
        <is>
          <t>SQM</t>
        </is>
      </c>
      <c r="H1300" s="1" t="inlineStr">
        <is>
          <t>Porcelain</t>
        </is>
      </c>
      <c r="I1300" s="1" t="inlineStr">
        <is>
          <t>Matt</t>
        </is>
      </c>
      <c r="J1300" t="n">
        <v>2.63</v>
      </c>
      <c r="K1300" t="n">
        <v>2.63</v>
      </c>
      <c r="L1300" t="n">
        <v>2.63</v>
      </c>
    </row>
    <row r="1301">
      <c r="A1301" s="1">
        <f>Hyperlink("https://www.wallsandfloors.co.uk/black-slate-effect-30x60-tiles","Product")</f>
        <v/>
      </c>
      <c r="B1301" s="1" t="inlineStr">
        <is>
          <t>14695</t>
        </is>
      </c>
      <c r="C1301" s="1" t="inlineStr">
        <is>
          <t>Valley Black Slate Effect Tiles</t>
        </is>
      </c>
      <c r="D1301" s="1" t="inlineStr">
        <is>
          <t>600x300x8mm</t>
        </is>
      </c>
      <c r="E1301" s="1" t="n">
        <v>13.95</v>
      </c>
      <c r="F1301" s="1" t="n">
        <v>0</v>
      </c>
      <c r="G1301" s="1" t="inlineStr">
        <is>
          <t>SQM</t>
        </is>
      </c>
      <c r="H1301" s="1" t="inlineStr">
        <is>
          <t>Porcelain</t>
        </is>
      </c>
      <c r="I1301" s="1" t="inlineStr">
        <is>
          <t>Matt</t>
        </is>
      </c>
      <c r="J1301" t="n">
        <v>13.95</v>
      </c>
      <c r="K1301" t="n">
        <v>13.95</v>
      </c>
      <c r="L1301" t="n">
        <v>13.95</v>
      </c>
    </row>
    <row r="1302">
      <c r="A1302" s="1">
        <f>Hyperlink("https://www.wallsandfloors.co.uk/boccino-crema-wall-floor-tiles","Product")</f>
        <v/>
      </c>
      <c r="B1302" s="1" t="inlineStr">
        <is>
          <t>44480</t>
        </is>
      </c>
      <c r="C1302" s="1" t="inlineStr">
        <is>
          <t>Boccino Crema Wall &amp; Floor Tiles</t>
        </is>
      </c>
      <c r="D1302" s="1" t="inlineStr">
        <is>
          <t>600x300x8.8mm</t>
        </is>
      </c>
      <c r="E1302" s="1" t="n">
        <v>14.95</v>
      </c>
      <c r="F1302" s="1" t="n">
        <v>0</v>
      </c>
      <c r="G1302" s="1" t="inlineStr">
        <is>
          <t>SQM</t>
        </is>
      </c>
      <c r="H1302" s="1" t="inlineStr">
        <is>
          <t>Porcelain</t>
        </is>
      </c>
      <c r="I1302" s="1" t="inlineStr">
        <is>
          <t>Matt</t>
        </is>
      </c>
      <c r="J1302" t="n">
        <v>14.95</v>
      </c>
      <c r="K1302" t="n">
        <v>14.95</v>
      </c>
      <c r="L1302" t="n">
        <v>14.95</v>
      </c>
    </row>
    <row r="1303">
      <c r="A1303" s="1">
        <f>Hyperlink("https://www.wallsandfloors.co.uk/blue-triangle-50x50x70mm-tiles","Product")</f>
        <v/>
      </c>
      <c r="B1303" s="1" t="inlineStr">
        <is>
          <t>990163</t>
        </is>
      </c>
      <c r="C1303" s="1" t="inlineStr">
        <is>
          <t>Blue Triangle Tiles</t>
        </is>
      </c>
      <c r="D1303" s="1" t="inlineStr">
        <is>
          <t>50x50x70mm</t>
        </is>
      </c>
      <c r="E1303" s="1" t="n">
        <v>2.03</v>
      </c>
      <c r="F1303" s="1" t="n">
        <v>0</v>
      </c>
      <c r="G1303" s="1" t="inlineStr">
        <is>
          <t>SQM</t>
        </is>
      </c>
      <c r="H1303" s="1" t="inlineStr">
        <is>
          <t>Porcelain</t>
        </is>
      </c>
      <c r="I1303" s="1" t="inlineStr">
        <is>
          <t>Matt</t>
        </is>
      </c>
      <c r="J1303" t="n">
        <v>2.03</v>
      </c>
      <c r="K1303" t="n">
        <v>2.03</v>
      </c>
      <c r="L1303" t="n">
        <v>2.03</v>
      </c>
    </row>
    <row r="1304">
      <c r="A1304" s="1">
        <f>Hyperlink("https://www.wallsandfloors.co.uk/blue-triangle-35x35x50mm-tiles","Product")</f>
        <v/>
      </c>
      <c r="B1304" s="1" t="inlineStr">
        <is>
          <t>990139</t>
        </is>
      </c>
      <c r="C1304" s="1" t="inlineStr">
        <is>
          <t>Blue Triangle 35x35x50mm Tiles</t>
        </is>
      </c>
      <c r="D1304" s="1" t="inlineStr">
        <is>
          <t>35x35x50mm</t>
        </is>
      </c>
      <c r="E1304" s="1" t="n">
        <v>1.76</v>
      </c>
      <c r="F1304" s="1" t="n">
        <v>0</v>
      </c>
      <c r="G1304" s="1" t="inlineStr">
        <is>
          <t>SQM</t>
        </is>
      </c>
      <c r="H1304" s="1" t="inlineStr">
        <is>
          <t>Porcelain</t>
        </is>
      </c>
      <c r="I1304" s="1" t="inlineStr">
        <is>
          <t>Matt</t>
        </is>
      </c>
      <c r="J1304" t="n">
        <v>1.76</v>
      </c>
      <c r="K1304" t="n">
        <v>1.76</v>
      </c>
      <c r="L1304" t="n">
        <v>1.76</v>
      </c>
    </row>
    <row r="1305">
      <c r="A1305" s="1">
        <f>Hyperlink("https://www.wallsandfloors.co.uk/blue-triangle-100x100x140mm-tiles","Product")</f>
        <v/>
      </c>
      <c r="B1305" s="1" t="inlineStr">
        <is>
          <t>990213</t>
        </is>
      </c>
      <c r="C1305" s="1" t="inlineStr">
        <is>
          <t>Blue Triangle Tiles</t>
        </is>
      </c>
      <c r="D1305" s="1" t="inlineStr">
        <is>
          <t>100x100x140mm</t>
        </is>
      </c>
      <c r="E1305" s="1" t="n">
        <v>4.46</v>
      </c>
      <c r="F1305" s="1" t="n">
        <v>0</v>
      </c>
      <c r="G1305" s="1" t="inlineStr">
        <is>
          <t>SQM</t>
        </is>
      </c>
      <c r="H1305" s="1" t="inlineStr">
        <is>
          <t>Porcelain</t>
        </is>
      </c>
      <c r="I1305" s="1" t="inlineStr">
        <is>
          <t>Matt</t>
        </is>
      </c>
      <c r="J1305" t="inlineStr"/>
      <c r="K1305" t="n">
        <v>4.46</v>
      </c>
      <c r="L1305" t="n">
        <v>4.46</v>
      </c>
    </row>
    <row r="1306">
      <c r="A1306" s="1">
        <f>Hyperlink("https://www.wallsandfloors.co.uk/blue-strip-150x50mm-tiles","Product")</f>
        <v/>
      </c>
      <c r="B1306" s="1" t="inlineStr">
        <is>
          <t>990263</t>
        </is>
      </c>
      <c r="C1306" s="1" t="inlineStr">
        <is>
          <t>Blue Strip Tiles</t>
        </is>
      </c>
      <c r="D1306" s="1" t="inlineStr">
        <is>
          <t>150x50x9-10mm</t>
        </is>
      </c>
      <c r="E1306" s="1" t="n">
        <v>3.2</v>
      </c>
      <c r="F1306" s="1" t="n">
        <v>0</v>
      </c>
      <c r="G1306" s="1" t="inlineStr">
        <is>
          <t>SQM</t>
        </is>
      </c>
      <c r="H1306" s="1" t="inlineStr">
        <is>
          <t>Porcelain</t>
        </is>
      </c>
      <c r="I1306" s="1" t="inlineStr">
        <is>
          <t>Matt</t>
        </is>
      </c>
      <c r="J1306" t="n">
        <v>3.2</v>
      </c>
      <c r="K1306" t="n">
        <v>3.2</v>
      </c>
      <c r="L1306" t="n">
        <v>3.2</v>
      </c>
    </row>
    <row r="1307">
      <c r="A1307" s="1">
        <f>Hyperlink("https://www.wallsandfloors.co.uk/blue-squares-70mm-tiles","Product")</f>
        <v/>
      </c>
      <c r="B1307" s="1" t="inlineStr">
        <is>
          <t>990053</t>
        </is>
      </c>
      <c r="C1307" s="1" t="inlineStr">
        <is>
          <t>Blue Squares 70mm Tiles</t>
        </is>
      </c>
      <c r="D1307" s="1" t="inlineStr">
        <is>
          <t>70x70x9-10mm</t>
        </is>
      </c>
      <c r="E1307" s="1" t="n">
        <v>1.3</v>
      </c>
      <c r="F1307" s="1" t="n">
        <v>0</v>
      </c>
      <c r="G1307" s="1" t="inlineStr">
        <is>
          <t>SQM</t>
        </is>
      </c>
      <c r="H1307" s="1" t="inlineStr">
        <is>
          <t>Porcelain</t>
        </is>
      </c>
      <c r="I1307" s="1" t="inlineStr">
        <is>
          <t>Matt</t>
        </is>
      </c>
      <c r="J1307" t="n">
        <v>1.3</v>
      </c>
      <c r="K1307" t="n">
        <v>1.3</v>
      </c>
      <c r="L1307" t="n">
        <v>1.3</v>
      </c>
    </row>
    <row r="1308">
      <c r="A1308" s="1">
        <f>Hyperlink("https://www.wallsandfloors.co.uk/blue-squares-50mm-tiles","Product")</f>
        <v/>
      </c>
      <c r="B1308" s="1" t="inlineStr">
        <is>
          <t>990078</t>
        </is>
      </c>
      <c r="C1308" s="1" t="inlineStr">
        <is>
          <t>Blue Squares 50mm Tiles</t>
        </is>
      </c>
      <c r="D1308" s="1" t="inlineStr">
        <is>
          <t>50x50x9-10mm</t>
        </is>
      </c>
      <c r="E1308" s="1" t="n">
        <v>1.3</v>
      </c>
      <c r="F1308" s="1" t="n">
        <v>0</v>
      </c>
      <c r="G1308" s="1" t="inlineStr">
        <is>
          <t>SQM</t>
        </is>
      </c>
      <c r="H1308" s="1" t="inlineStr">
        <is>
          <t>Porcelain</t>
        </is>
      </c>
      <c r="I1308" s="1" t="inlineStr">
        <is>
          <t>Matt</t>
        </is>
      </c>
      <c r="J1308" t="n">
        <v>1.3</v>
      </c>
      <c r="K1308" t="n">
        <v>1.3</v>
      </c>
      <c r="L1308" t="n">
        <v>1.3</v>
      </c>
    </row>
    <row r="1309">
      <c r="A1309" s="1">
        <f>Hyperlink("https://www.wallsandfloors.co.uk/blue-squares-35mm-tiles","Product")</f>
        <v/>
      </c>
      <c r="B1309" s="1" t="inlineStr">
        <is>
          <t>990103</t>
        </is>
      </c>
      <c r="C1309" s="1" t="inlineStr">
        <is>
          <t>Blue Squares 35mm Tiles</t>
        </is>
      </c>
      <c r="D1309" s="1" t="inlineStr">
        <is>
          <t>35x35x9-10mm</t>
        </is>
      </c>
      <c r="E1309" s="1" t="n">
        <v>0.52</v>
      </c>
      <c r="F1309" s="1" t="n">
        <v>0</v>
      </c>
      <c r="G1309" s="1" t="inlineStr">
        <is>
          <t>SQM</t>
        </is>
      </c>
      <c r="H1309" s="1" t="inlineStr">
        <is>
          <t>Porcelain</t>
        </is>
      </c>
      <c r="I1309" s="1" t="inlineStr">
        <is>
          <t>Matt</t>
        </is>
      </c>
      <c r="J1309" t="n">
        <v>0.52</v>
      </c>
      <c r="K1309" t="n">
        <v>0.52</v>
      </c>
      <c r="L1309" t="n">
        <v>0.52</v>
      </c>
    </row>
    <row r="1310">
      <c r="A1310" s="1">
        <f>Hyperlink("https://www.wallsandfloors.co.uk/blue-square-natural-tiles","Product")</f>
        <v/>
      </c>
      <c r="B1310" s="1" t="inlineStr">
        <is>
          <t>44016</t>
        </is>
      </c>
      <c r="C1310" s="1" t="inlineStr">
        <is>
          <t>Ritz Blue Square Natural Geometric Pattern Tiles</t>
        </is>
      </c>
      <c r="D1310" s="1" t="inlineStr">
        <is>
          <t>200x200x8.5mm</t>
        </is>
      </c>
      <c r="E1310" s="1" t="n">
        <v>40.95</v>
      </c>
      <c r="F1310" s="1" t="n">
        <v>0</v>
      </c>
      <c r="G1310" s="1" t="inlineStr">
        <is>
          <t>SQM</t>
        </is>
      </c>
      <c r="H1310" s="1" t="inlineStr">
        <is>
          <t>Porcelain</t>
        </is>
      </c>
      <c r="I1310" s="1" t="inlineStr">
        <is>
          <t>Matt</t>
        </is>
      </c>
      <c r="J1310" t="n">
        <v>40.95</v>
      </c>
      <c r="K1310" t="n">
        <v>40.95</v>
      </c>
      <c r="L1310" t="n">
        <v>40.95</v>
      </c>
    </row>
    <row r="1311">
      <c r="A1311" s="1">
        <f>Hyperlink("https://www.wallsandfloors.co.uk/blue-octagon-150mm-tiles","Product")</f>
        <v/>
      </c>
      <c r="B1311" s="1" t="inlineStr">
        <is>
          <t>990127</t>
        </is>
      </c>
      <c r="C1311" s="1" t="inlineStr">
        <is>
          <t>Blue Octagon Tiles</t>
        </is>
      </c>
      <c r="D1311" s="1" t="inlineStr">
        <is>
          <t>150x150x9-10mm</t>
        </is>
      </c>
      <c r="E1311" s="1" t="n">
        <v>2.66</v>
      </c>
      <c r="F1311" s="1" t="n">
        <v>0</v>
      </c>
      <c r="G1311" s="1" t="inlineStr">
        <is>
          <t>SQM</t>
        </is>
      </c>
      <c r="H1311" s="1" t="inlineStr">
        <is>
          <t>Porcelain</t>
        </is>
      </c>
      <c r="I1311" s="1" t="inlineStr">
        <is>
          <t>Matt</t>
        </is>
      </c>
      <c r="J1311" t="inlineStr"/>
      <c r="K1311" t="n">
        <v>2.66</v>
      </c>
      <c r="L1311" t="n">
        <v>2.66</v>
      </c>
    </row>
    <row r="1312">
      <c r="A1312" s="1">
        <f>Hyperlink("https://www.wallsandfloors.co.uk/bliss-linear-opal-gloss-decor-tiles","Product")</f>
        <v/>
      </c>
      <c r="B1312" s="1" t="inlineStr">
        <is>
          <t>38440</t>
        </is>
      </c>
      <c r="C1312" s="1" t="inlineStr">
        <is>
          <t>Bliss Linear Opal Gloss Decor Tiles</t>
        </is>
      </c>
      <c r="D1312" s="1" t="inlineStr">
        <is>
          <t>900x300x10.4mm</t>
        </is>
      </c>
      <c r="E1312" s="1" t="n">
        <v>29.95</v>
      </c>
      <c r="F1312" s="1" t="n">
        <v>0</v>
      </c>
      <c r="G1312" s="1" t="inlineStr"/>
      <c r="H1312" s="1" t="inlineStr">
        <is>
          <t>Ceramic</t>
        </is>
      </c>
      <c r="I1312" s="1" t="inlineStr">
        <is>
          <t>Gloss</t>
        </is>
      </c>
      <c r="J1312" t="n">
        <v>29.95</v>
      </c>
      <c r="K1312" t="n">
        <v>29.95</v>
      </c>
      <c r="L1312" t="n">
        <v>29.95</v>
      </c>
    </row>
    <row r="1313">
      <c r="A1313" s="1">
        <f>Hyperlink("https://www.wallsandfloors.co.uk/blengdale-natural-wood-effect-tiles","Product")</f>
        <v/>
      </c>
      <c r="B1313" s="1" t="inlineStr">
        <is>
          <t>41844</t>
        </is>
      </c>
      <c r="C1313" s="1" t="inlineStr">
        <is>
          <t>Blengdale Natural Wood Effect Tiles</t>
        </is>
      </c>
      <c r="D1313" s="1" t="inlineStr">
        <is>
          <t>1195x225x8.7mm</t>
        </is>
      </c>
      <c r="E1313" s="1" t="n">
        <v>27.95</v>
      </c>
      <c r="F1313" s="1" t="n">
        <v>0</v>
      </c>
      <c r="G1313" s="1" t="inlineStr"/>
      <c r="H1313" s="1" t="inlineStr">
        <is>
          <t>Porcelain</t>
        </is>
      </c>
      <c r="I1313" s="1" t="inlineStr">
        <is>
          <t>Matt</t>
        </is>
      </c>
      <c r="J1313" t="n">
        <v>27.95</v>
      </c>
      <c r="K1313" t="n">
        <v>27.95</v>
      </c>
      <c r="L1313" t="n">
        <v>27.95</v>
      </c>
    </row>
    <row r="1314">
      <c r="A1314" s="1">
        <f>Hyperlink("https://www.wallsandfloors.co.uk/blengdale-haya-wood-effect-tiles","Product")</f>
        <v/>
      </c>
      <c r="B1314" s="1" t="inlineStr">
        <is>
          <t>41843</t>
        </is>
      </c>
      <c r="C1314" s="1" t="inlineStr">
        <is>
          <t>Blengdale Haya Wood Effect Tiles</t>
        </is>
      </c>
      <c r="D1314" s="1" t="inlineStr">
        <is>
          <t>1195x225x8.7mm</t>
        </is>
      </c>
      <c r="E1314" s="1" t="n">
        <v>27.95</v>
      </c>
      <c r="F1314" s="1" t="n">
        <v>0</v>
      </c>
      <c r="G1314" s="1" t="inlineStr">
        <is>
          <t>SQM</t>
        </is>
      </c>
      <c r="H1314" s="1" t="inlineStr">
        <is>
          <t>Porcelain</t>
        </is>
      </c>
      <c r="I1314" s="1" t="inlineStr">
        <is>
          <t>Matt</t>
        </is>
      </c>
      <c r="J1314" t="n">
        <v>27.95</v>
      </c>
      <c r="K1314" t="n">
        <v>27.95</v>
      </c>
      <c r="L1314" t="n">
        <v>27.95</v>
      </c>
    </row>
    <row r="1315">
      <c r="A1315" s="1">
        <f>Hyperlink("https://www.wallsandfloors.co.uk/blengdale-gris-wood-effect-tiles","Product")</f>
        <v/>
      </c>
      <c r="B1315" s="1" t="inlineStr">
        <is>
          <t>41842</t>
        </is>
      </c>
      <c r="C1315" s="1" t="inlineStr">
        <is>
          <t>Blengdale Gris Wood Effect Tiles</t>
        </is>
      </c>
      <c r="D1315" s="1" t="inlineStr">
        <is>
          <t>1195x225x8.7mm</t>
        </is>
      </c>
      <c r="E1315" s="1" t="n">
        <v>27.95</v>
      </c>
      <c r="F1315" s="1" t="n">
        <v>0</v>
      </c>
      <c r="G1315" s="1" t="inlineStr">
        <is>
          <t>SQM</t>
        </is>
      </c>
      <c r="H1315" s="1" t="inlineStr">
        <is>
          <t>Porcelain</t>
        </is>
      </c>
      <c r="I1315" s="1" t="inlineStr">
        <is>
          <t>Matt</t>
        </is>
      </c>
      <c r="J1315" t="n">
        <v>27.95</v>
      </c>
      <c r="K1315" t="n">
        <v>27.95</v>
      </c>
      <c r="L1315" t="n">
        <v>27.95</v>
      </c>
    </row>
    <row r="1316">
      <c r="A1316" s="1">
        <f>Hyperlink("https://www.wallsandfloors.co.uk/blengdale-cerezo-wood-effect-tiles-53117","Product")</f>
        <v/>
      </c>
      <c r="B1316" s="1" t="inlineStr">
        <is>
          <t>41841</t>
        </is>
      </c>
      <c r="C1316" s="1" t="inlineStr">
        <is>
          <t>Blengdale Cerezo Wood Effect Tiles</t>
        </is>
      </c>
      <c r="D1316" s="1" t="inlineStr">
        <is>
          <t>1195x225x8.7mm</t>
        </is>
      </c>
      <c r="E1316" s="1" t="n">
        <v>27.95</v>
      </c>
      <c r="F1316" s="1" t="n">
        <v>0</v>
      </c>
      <c r="G1316" s="1" t="inlineStr">
        <is>
          <t>SQM</t>
        </is>
      </c>
      <c r="H1316" s="1" t="inlineStr">
        <is>
          <t>Porcelain</t>
        </is>
      </c>
      <c r="I1316" s="1" t="inlineStr">
        <is>
          <t>Matt</t>
        </is>
      </c>
      <c r="J1316" t="inlineStr"/>
      <c r="K1316" t="inlineStr"/>
      <c r="L1316" t="n">
        <v>27.95</v>
      </c>
    </row>
    <row r="1317">
      <c r="A1317" s="1">
        <f>Hyperlink("https://www.wallsandfloors.co.uk/blengdale-arce-wood-effect-tiles","Product")</f>
        <v/>
      </c>
      <c r="B1317" s="1" t="inlineStr">
        <is>
          <t>41840</t>
        </is>
      </c>
      <c r="C1317" s="1" t="inlineStr">
        <is>
          <t>Blengdale Arce Wood Effect Tiles</t>
        </is>
      </c>
      <c r="D1317" s="1" t="inlineStr">
        <is>
          <t>225x1195x8.7mm</t>
        </is>
      </c>
      <c r="E1317" s="1" t="n">
        <v>27.95</v>
      </c>
      <c r="F1317" s="1" t="n">
        <v>0</v>
      </c>
      <c r="G1317" s="1" t="inlineStr">
        <is>
          <t>SQM</t>
        </is>
      </c>
      <c r="H1317" s="1" t="inlineStr">
        <is>
          <t>Porcelain</t>
        </is>
      </c>
      <c r="I1317" s="1" t="inlineStr">
        <is>
          <t>Matt</t>
        </is>
      </c>
      <c r="J1317" t="n">
        <v>27.95</v>
      </c>
      <c r="K1317" t="inlineStr"/>
      <c r="L1317" t="n">
        <v>27.95</v>
      </c>
    </row>
    <row r="1318">
      <c r="A1318" s="1">
        <f>Hyperlink("https://www.wallsandfloors.co.uk/blackheath-matt-black-metro-tiles-150x75","Product")</f>
        <v/>
      </c>
      <c r="B1318" s="1" t="inlineStr">
        <is>
          <t>11244</t>
        </is>
      </c>
      <c r="C1318" s="1" t="inlineStr">
        <is>
          <t>Blackheath Matt Black Mini Metro Tiles</t>
        </is>
      </c>
      <c r="D1318" s="1" t="inlineStr">
        <is>
          <t>150x75x7mm</t>
        </is>
      </c>
      <c r="E1318" s="1" t="n">
        <v>25.95</v>
      </c>
      <c r="F1318" s="1" t="n">
        <v>0</v>
      </c>
      <c r="G1318" s="1" t="inlineStr">
        <is>
          <t>SQM</t>
        </is>
      </c>
      <c r="H1318" s="1" t="inlineStr">
        <is>
          <t>Ceramic</t>
        </is>
      </c>
      <c r="I1318" s="1" t="inlineStr">
        <is>
          <t>Matt</t>
        </is>
      </c>
      <c r="J1318" t="n">
        <v>25.95</v>
      </c>
      <c r="K1318" t="n">
        <v>25.95</v>
      </c>
      <c r="L1318" t="n">
        <v>25.95</v>
      </c>
    </row>
    <row r="1319">
      <c r="A1319" s="1">
        <f>Hyperlink("https://www.wallsandfloors.co.uk/black-triangle-70x70x100mm-tiles","Product")</f>
        <v/>
      </c>
      <c r="B1319" s="1" t="inlineStr">
        <is>
          <t>990187</t>
        </is>
      </c>
      <c r="C1319" s="1" t="inlineStr">
        <is>
          <t>Black Triangle 70x70x100mm Tiles</t>
        </is>
      </c>
      <c r="D1319" s="1" t="inlineStr">
        <is>
          <t>70x70x100mm</t>
        </is>
      </c>
      <c r="E1319" s="1" t="n">
        <v>1.63</v>
      </c>
      <c r="F1319" s="1" t="n">
        <v>0</v>
      </c>
      <c r="G1319" s="1" t="inlineStr">
        <is>
          <t>SQM</t>
        </is>
      </c>
      <c r="H1319" s="1" t="inlineStr">
        <is>
          <t>Porcelain</t>
        </is>
      </c>
      <c r="I1319" s="1" t="inlineStr">
        <is>
          <t>Matt</t>
        </is>
      </c>
      <c r="J1319" t="n">
        <v>1.63</v>
      </c>
      <c r="K1319" t="n">
        <v>1.63</v>
      </c>
      <c r="L1319" t="n">
        <v>1.63</v>
      </c>
    </row>
    <row r="1320">
      <c r="A1320" s="1">
        <f>Hyperlink("https://www.wallsandfloors.co.uk/black-triangle-35x35x50mm-tiles","Product")</f>
        <v/>
      </c>
      <c r="B1320" s="1" t="inlineStr">
        <is>
          <t>990138</t>
        </is>
      </c>
      <c r="C1320" s="1" t="inlineStr">
        <is>
          <t>Black Triangle 35x35x50mm Tiles</t>
        </is>
      </c>
      <c r="D1320" s="1" t="inlineStr">
        <is>
          <t>35x35x50mm</t>
        </is>
      </c>
      <c r="E1320" s="1" t="n">
        <v>1.13</v>
      </c>
      <c r="F1320" s="1" t="n">
        <v>0</v>
      </c>
      <c r="G1320" s="1" t="inlineStr">
        <is>
          <t>SQM</t>
        </is>
      </c>
      <c r="H1320" s="1" t="inlineStr">
        <is>
          <t>Porcelain</t>
        </is>
      </c>
      <c r="I1320" s="1" t="inlineStr">
        <is>
          <t>Matt</t>
        </is>
      </c>
      <c r="J1320" t="n">
        <v>1.13</v>
      </c>
      <c r="K1320" t="n">
        <v>1.13</v>
      </c>
      <c r="L1320" t="n">
        <v>1.13</v>
      </c>
    </row>
    <row r="1321">
      <c r="A1321" s="1">
        <f>Hyperlink("https://www.wallsandfloors.co.uk/black-triangle-100x100x140mm-tiles","Product")</f>
        <v/>
      </c>
      <c r="B1321" s="1" t="inlineStr">
        <is>
          <t>990212</t>
        </is>
      </c>
      <c r="C1321" s="1" t="inlineStr">
        <is>
          <t>Black Triangle Tiles</t>
        </is>
      </c>
      <c r="D1321" s="1" t="inlineStr">
        <is>
          <t>100x100x140mm</t>
        </is>
      </c>
      <c r="E1321" s="1" t="n">
        <v>3.38</v>
      </c>
      <c r="F1321" s="1" t="n">
        <v>0</v>
      </c>
      <c r="G1321" s="1" t="inlineStr">
        <is>
          <t>SQM</t>
        </is>
      </c>
      <c r="H1321" s="1" t="inlineStr">
        <is>
          <t>Porcelain</t>
        </is>
      </c>
      <c r="I1321" s="1" t="inlineStr">
        <is>
          <t>Matt</t>
        </is>
      </c>
      <c r="J1321" t="inlineStr"/>
      <c r="K1321" t="n">
        <v>3.38</v>
      </c>
      <c r="L1321" t="n">
        <v>3.38</v>
      </c>
    </row>
    <row r="1322">
      <c r="A1322" s="1">
        <f>Hyperlink("https://www.wallsandfloors.co.uk/black-tiles-black-tiles","Product")</f>
        <v/>
      </c>
      <c r="B1322" s="1" t="inlineStr">
        <is>
          <t>12606</t>
        </is>
      </c>
      <c r="C1322" s="1" t="inlineStr">
        <is>
          <t>Metalico Black Linear Tiles</t>
        </is>
      </c>
      <c r="D1322" s="1" t="inlineStr">
        <is>
          <t>600x300x8.5mm</t>
        </is>
      </c>
      <c r="E1322" s="1" t="n">
        <v>20.95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20.95</v>
      </c>
      <c r="K1322" t="n">
        <v>20.95</v>
      </c>
      <c r="L1322" t="n">
        <v>20.95</v>
      </c>
    </row>
    <row r="1323">
      <c r="A1323" s="1">
        <f>Hyperlink("https://www.wallsandfloors.co.uk/black-squares-70mm-tiles","Product")</f>
        <v/>
      </c>
      <c r="B1323" s="1" t="inlineStr">
        <is>
          <t>990052</t>
        </is>
      </c>
      <c r="C1323" s="1" t="inlineStr">
        <is>
          <t>Black Squares 70mm Tiles</t>
        </is>
      </c>
      <c r="D1323" s="1" t="inlineStr">
        <is>
          <t>70x70x9-10mm</t>
        </is>
      </c>
      <c r="E1323" s="1" t="n">
        <v>1.5</v>
      </c>
      <c r="F1323" s="1" t="n">
        <v>0</v>
      </c>
      <c r="G1323" s="1" t="inlineStr">
        <is>
          <t>Tile</t>
        </is>
      </c>
      <c r="H1323" s="1" t="inlineStr">
        <is>
          <t>Porcelain</t>
        </is>
      </c>
      <c r="I1323" s="1" t="inlineStr">
        <is>
          <t>Matt</t>
        </is>
      </c>
      <c r="J1323" t="inlineStr"/>
      <c r="K1323" t="n">
        <v>1.5</v>
      </c>
      <c r="L1323" t="n">
        <v>1.5</v>
      </c>
    </row>
    <row r="1324">
      <c r="A1324" s="1">
        <f>Hyperlink("https://www.wallsandfloors.co.uk/black-squares-35mm-tiles","Product")</f>
        <v/>
      </c>
      <c r="B1324" s="1" t="inlineStr">
        <is>
          <t>990102</t>
        </is>
      </c>
      <c r="C1324" s="1" t="inlineStr">
        <is>
          <t>Black Squares 35mm Tiles</t>
        </is>
      </c>
      <c r="D1324" s="1" t="inlineStr">
        <is>
          <t>35x35x9-10mm</t>
        </is>
      </c>
      <c r="E1324" s="1" t="n">
        <v>2.95</v>
      </c>
      <c r="F1324" s="1" t="n">
        <v>0</v>
      </c>
      <c r="G1324" s="1" t="inlineStr">
        <is>
          <t>Tile</t>
        </is>
      </c>
      <c r="H1324" s="1" t="inlineStr">
        <is>
          <t>Porcelain</t>
        </is>
      </c>
      <c r="I1324" s="1" t="inlineStr">
        <is>
          <t>Matt</t>
        </is>
      </c>
      <c r="J1324" t="n">
        <v>2.95</v>
      </c>
      <c r="K1324" t="n">
        <v>2.95</v>
      </c>
      <c r="L1324" t="n">
        <v>2.95</v>
      </c>
    </row>
    <row r="1325">
      <c r="A1325" s="1">
        <f>Hyperlink("https://www.wallsandfloors.co.uk/black-octagon-150mm-tiles","Product")</f>
        <v/>
      </c>
      <c r="B1325" s="1" t="inlineStr">
        <is>
          <t>990126</t>
        </is>
      </c>
      <c r="C1325" s="1" t="inlineStr">
        <is>
          <t>Black Octagon Tiles</t>
        </is>
      </c>
      <c r="D1325" s="1" t="inlineStr">
        <is>
          <t>150x150x9-10mm</t>
        </is>
      </c>
      <c r="E1325" s="1" t="n">
        <v>2.95</v>
      </c>
      <c r="F1325" s="1" t="n">
        <v>0</v>
      </c>
      <c r="G1325" s="1" t="inlineStr">
        <is>
          <t>Tile</t>
        </is>
      </c>
      <c r="H1325" s="1" t="inlineStr">
        <is>
          <t>Porcelain</t>
        </is>
      </c>
      <c r="I1325" s="1" t="inlineStr">
        <is>
          <t>Matt</t>
        </is>
      </c>
      <c r="J1325" t="n">
        <v>2.95</v>
      </c>
      <c r="K1325" t="n">
        <v>2.95</v>
      </c>
      <c r="L1325" t="n">
        <v>2.95</v>
      </c>
    </row>
    <row r="1326">
      <c r="A1326" s="1">
        <f>Hyperlink("https://www.wallsandfloors.co.uk/easy-gres-drill-bit-7-32-6-mm-set","Product")</f>
        <v/>
      </c>
      <c r="B1326" s="1" t="inlineStr">
        <is>
          <t>40410</t>
        </is>
      </c>
      <c r="C1326" s="1" t="inlineStr">
        <is>
          <t>EASYGRES Drill Bit 6mm Kit</t>
        </is>
      </c>
      <c r="D1326" s="1" t="inlineStr">
        <is>
          <t>6mm</t>
        </is>
      </c>
      <c r="E1326" s="1" t="n">
        <v>11.45</v>
      </c>
      <c r="F1326" s="1" t="n">
        <v>0</v>
      </c>
      <c r="G1326" s="1" t="inlineStr">
        <is>
          <t>Unit</t>
        </is>
      </c>
      <c r="H1326" s="1" t="inlineStr">
        <is>
          <t>Accessories</t>
        </is>
      </c>
      <c r="I1326" s="1" t="inlineStr">
        <is>
          <t>-</t>
        </is>
      </c>
      <c r="J1326" t="inlineStr"/>
      <c r="K1326" t="inlineStr"/>
      <c r="L1326" t="n">
        <v>11.45</v>
      </c>
    </row>
    <row r="1327">
      <c r="A1327" s="1">
        <f>Hyperlink("https://www.wallsandfloors.co.uk/bal-floor-tile-adhesive-powders-single-part-fastflex-grey-tile-adhesive","Product")</f>
        <v/>
      </c>
      <c r="B1327" s="1" t="inlineStr">
        <is>
          <t>9832</t>
        </is>
      </c>
      <c r="C1327" s="1" t="inlineStr">
        <is>
          <t>Single Part Fastflex Grey Tile Adhesive</t>
        </is>
      </c>
      <c r="D1327" s="1" t="inlineStr">
        <is>
          <t>12.5 Kg</t>
        </is>
      </c>
      <c r="E1327" s="1" t="n">
        <v>72.95</v>
      </c>
      <c r="F1327" s="1" t="n">
        <v>0</v>
      </c>
      <c r="G1327" s="1" t="inlineStr">
        <is>
          <t>Units</t>
        </is>
      </c>
      <c r="H1327" s="1" t="inlineStr">
        <is>
          <t>Adhesive</t>
        </is>
      </c>
      <c r="I1327" s="1" t="inlineStr">
        <is>
          <t>-</t>
        </is>
      </c>
      <c r="J1327" t="n">
        <v>72.95</v>
      </c>
      <c r="K1327" t="n">
        <v>72.95</v>
      </c>
      <c r="L1327" t="n">
        <v>72.95</v>
      </c>
    </row>
    <row r="1328">
      <c r="A1328" s="1">
        <f>Hyperlink("https://www.wallsandfloors.co.uk/azulejo-tiles-azulejo-monotone-pattern-tiles","Product")</f>
        <v/>
      </c>
      <c r="B1328" s="1" t="inlineStr">
        <is>
          <t>12379</t>
        </is>
      </c>
      <c r="C1328" s="1" t="inlineStr">
        <is>
          <t>Azulejo Monotone Pattern Tiles</t>
        </is>
      </c>
      <c r="D1328" s="1" t="inlineStr">
        <is>
          <t>442x442x10mm</t>
        </is>
      </c>
      <c r="E1328" s="1" t="n">
        <v>30.95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30.95</v>
      </c>
      <c r="K1328" t="n">
        <v>30.95</v>
      </c>
      <c r="L1328" t="n">
        <v>30.95</v>
      </c>
    </row>
    <row r="1329">
      <c r="A1329" s="1">
        <f>Hyperlink("https://www.wallsandfloors.co.uk/aragon-terracotta-red-quarry-tiles-skirting-quarry-150-tiles","Product")</f>
        <v/>
      </c>
      <c r="B1329" s="1" t="inlineStr">
        <is>
          <t>11517</t>
        </is>
      </c>
      <c r="C1329" s="1" t="inlineStr">
        <is>
          <t>Aragon Red Quarry Skirting Tiles</t>
        </is>
      </c>
      <c r="D1329" s="1" t="inlineStr">
        <is>
          <t>115x150x12mm</t>
        </is>
      </c>
      <c r="E1329" s="1" t="n">
        <v>5.95</v>
      </c>
      <c r="F1329" s="1" t="n">
        <v>0</v>
      </c>
      <c r="G1329" s="1" t="inlineStr">
        <is>
          <t>Tile</t>
        </is>
      </c>
      <c r="H1329" s="1" t="inlineStr">
        <is>
          <t>Clay</t>
        </is>
      </c>
      <c r="I1329" s="1" t="inlineStr">
        <is>
          <t>Matt</t>
        </is>
      </c>
      <c r="J1329" t="n">
        <v>5.95</v>
      </c>
      <c r="K1329" t="n">
        <v>5.95</v>
      </c>
      <c r="L1329" t="n">
        <v>5.95</v>
      </c>
    </row>
    <row r="1330">
      <c r="A1330" s="1">
        <f>Hyperlink("https://www.wallsandfloors.co.uk/aragon-terracotta-red-quarry-tiles-r-e-x-20x20-tiles","Product")</f>
        <v/>
      </c>
      <c r="B1330" s="1" t="inlineStr">
        <is>
          <t>13718</t>
        </is>
      </c>
      <c r="C1330" s="1" t="inlineStr">
        <is>
          <t>Aragon R.E.X Red Quarry Tiles</t>
        </is>
      </c>
      <c r="D1330" s="1" t="inlineStr">
        <is>
          <t>200x200x12mm</t>
        </is>
      </c>
      <c r="E1330" s="1" t="n">
        <v>9.949999999999999</v>
      </c>
      <c r="F1330" s="1" t="n">
        <v>0</v>
      </c>
      <c r="G1330" s="1" t="inlineStr">
        <is>
          <t>Tile</t>
        </is>
      </c>
      <c r="H1330" s="1" t="inlineStr">
        <is>
          <t>Clay</t>
        </is>
      </c>
      <c r="I1330" s="1" t="inlineStr">
        <is>
          <t>Matt</t>
        </is>
      </c>
      <c r="J1330" t="n">
        <v>9.949999999999999</v>
      </c>
      <c r="K1330" t="n">
        <v>9.949999999999999</v>
      </c>
      <c r="L1330" t="n">
        <v>9.949999999999999</v>
      </c>
    </row>
    <row r="1331">
      <c r="A1331" s="1">
        <f>Hyperlink("https://www.wallsandfloors.co.uk/aragon-terracotta-red-quarry-tiles-r-e-x-15x15-tiles","Product")</f>
        <v/>
      </c>
      <c r="B1331" s="1" t="inlineStr">
        <is>
          <t>11516</t>
        </is>
      </c>
      <c r="C1331" s="1" t="inlineStr">
        <is>
          <t>Aragon Terracotta Red Quarry R.E.X Tiles</t>
        </is>
      </c>
      <c r="D1331" s="1" t="inlineStr">
        <is>
          <t>150x150x12mm</t>
        </is>
      </c>
      <c r="E1331" s="1" t="n">
        <v>9.949999999999999</v>
      </c>
      <c r="F1331" s="1" t="n">
        <v>0</v>
      </c>
      <c r="G1331" s="1" t="inlineStr">
        <is>
          <t>Tile</t>
        </is>
      </c>
      <c r="H1331" s="1" t="inlineStr">
        <is>
          <t>Clay</t>
        </is>
      </c>
      <c r="I1331" s="1" t="inlineStr">
        <is>
          <t>Matt</t>
        </is>
      </c>
      <c r="J1331" t="n">
        <v>9.949999999999999</v>
      </c>
      <c r="K1331" t="n">
        <v>9.949999999999999</v>
      </c>
      <c r="L1331" t="n">
        <v>9.949999999999999</v>
      </c>
    </row>
    <row r="1332">
      <c r="A1332" s="1">
        <f>Hyperlink("https://www.wallsandfloors.co.uk/aragon-terracotta-red-quarry-tiles-r-e-20x20-tiles","Product")</f>
        <v/>
      </c>
      <c r="B1332" s="1" t="inlineStr">
        <is>
          <t>13717</t>
        </is>
      </c>
      <c r="C1332" s="1" t="inlineStr">
        <is>
          <t>Aragon R.E Red Quarry Tiles</t>
        </is>
      </c>
      <c r="D1332" s="1" t="inlineStr">
        <is>
          <t>200x200x12mm</t>
        </is>
      </c>
      <c r="E1332" s="1" t="n">
        <v>4.75</v>
      </c>
      <c r="F1332" s="1" t="n">
        <v>0</v>
      </c>
      <c r="G1332" s="1" t="inlineStr">
        <is>
          <t>Tile</t>
        </is>
      </c>
      <c r="H1332" s="1" t="inlineStr">
        <is>
          <t>Clay</t>
        </is>
      </c>
      <c r="I1332" s="1" t="inlineStr">
        <is>
          <t>Matt</t>
        </is>
      </c>
      <c r="J1332" t="n">
        <v>4.75</v>
      </c>
      <c r="K1332" t="n">
        <v>4.75</v>
      </c>
      <c r="L1332" t="n">
        <v>4.75</v>
      </c>
    </row>
    <row r="1333">
      <c r="A1333" s="1">
        <f>Hyperlink("https://www.wallsandfloors.co.uk/aragon-terracotta-red-quarry-tiles-r-e-15x15-tiles","Product")</f>
        <v/>
      </c>
      <c r="B1333" s="1" t="inlineStr">
        <is>
          <t>11513</t>
        </is>
      </c>
      <c r="C1333" s="1" t="inlineStr">
        <is>
          <t>Aragon Terracotta R.E Red Quarry Tile</t>
        </is>
      </c>
      <c r="D1333" s="1" t="inlineStr">
        <is>
          <t>150x150x12mm</t>
        </is>
      </c>
      <c r="E1333" s="1" t="n">
        <v>3.95</v>
      </c>
      <c r="F1333" s="1" t="n">
        <v>0</v>
      </c>
      <c r="G1333" s="1" t="inlineStr">
        <is>
          <t>Tile</t>
        </is>
      </c>
      <c r="H1333" s="1" t="inlineStr">
        <is>
          <t>Clay</t>
        </is>
      </c>
      <c r="I1333" s="1" t="inlineStr">
        <is>
          <t>Matt</t>
        </is>
      </c>
      <c r="J1333" t="n">
        <v>3.95</v>
      </c>
      <c r="K1333" t="n">
        <v>3.95</v>
      </c>
      <c r="L1333" t="n">
        <v>3.95</v>
      </c>
    </row>
    <row r="1334">
      <c r="A1334" s="1">
        <f>Hyperlink("https://www.wallsandfloors.co.uk/aragon-terracotta-red-quarry-tiles-internal-angle-quarry-tiles","Product")</f>
        <v/>
      </c>
      <c r="B1334" s="1" t="inlineStr">
        <is>
          <t>11512</t>
        </is>
      </c>
      <c r="C1334" s="1" t="inlineStr">
        <is>
          <t>Internal Angle Quarry Tiles</t>
        </is>
      </c>
      <c r="D1334" s="1" t="inlineStr">
        <is>
          <t>115x30x12mm</t>
        </is>
      </c>
      <c r="E1334" s="1" t="n">
        <v>9.949999999999999</v>
      </c>
      <c r="F1334" s="1" t="n">
        <v>0</v>
      </c>
      <c r="G1334" s="1" t="inlineStr">
        <is>
          <t>Tile</t>
        </is>
      </c>
      <c r="H1334" s="1" t="inlineStr">
        <is>
          <t>Clay</t>
        </is>
      </c>
      <c r="I1334" s="1" t="inlineStr">
        <is>
          <t>Matt</t>
        </is>
      </c>
      <c r="J1334" t="n">
        <v>9.949999999999999</v>
      </c>
      <c r="K1334" t="inlineStr"/>
      <c r="L1334" t="n">
        <v>9.949999999999999</v>
      </c>
    </row>
    <row r="1335">
      <c r="A1335" s="1">
        <f>Hyperlink("https://www.wallsandfloors.co.uk/aragon-terracotta-red-quarry-tiles-flat-15x15-tiles","Product")</f>
        <v/>
      </c>
      <c r="B1335" s="1" t="inlineStr">
        <is>
          <t>11509</t>
        </is>
      </c>
      <c r="C1335" s="1" t="inlineStr">
        <is>
          <t>Aragon Flat Red Quarry Tiles</t>
        </is>
      </c>
      <c r="D1335" s="1" t="inlineStr">
        <is>
          <t>150x150x12mm</t>
        </is>
      </c>
      <c r="E1335" s="1" t="n">
        <v>39.95</v>
      </c>
      <c r="F1335" s="1" t="n">
        <v>0</v>
      </c>
      <c r="G1335" s="1" t="inlineStr">
        <is>
          <t>SQM</t>
        </is>
      </c>
      <c r="H1335" s="1" t="inlineStr">
        <is>
          <t>Clay</t>
        </is>
      </c>
      <c r="I1335" s="1" t="inlineStr">
        <is>
          <t>Matt</t>
        </is>
      </c>
      <c r="J1335" t="n">
        <v>39.95</v>
      </c>
      <c r="K1335" t="inlineStr"/>
      <c r="L1335" t="n">
        <v>39.95</v>
      </c>
    </row>
    <row r="1336">
      <c r="A1336" s="1">
        <f>Hyperlink("https://www.wallsandfloors.co.uk/aragon-terracotta-red-quarry-tiles-external-angle-quarry-tiles","Product")</f>
        <v/>
      </c>
      <c r="B1336" s="1" t="inlineStr">
        <is>
          <t>11511</t>
        </is>
      </c>
      <c r="C1336" s="1" t="inlineStr">
        <is>
          <t>External Angle Quarry Tiles</t>
        </is>
      </c>
      <c r="D1336" s="1" t="inlineStr">
        <is>
          <t>115x30x12mm</t>
        </is>
      </c>
      <c r="E1336" s="1" t="n">
        <v>9.949999999999999</v>
      </c>
      <c r="F1336" s="1" t="n">
        <v>0</v>
      </c>
      <c r="G1336" s="1" t="inlineStr">
        <is>
          <t>Tile</t>
        </is>
      </c>
      <c r="H1336" s="1" t="inlineStr">
        <is>
          <t>Clay</t>
        </is>
      </c>
      <c r="I1336" s="1" t="inlineStr">
        <is>
          <t>Matt</t>
        </is>
      </c>
      <c r="J1336" t="n">
        <v>9.949999999999999</v>
      </c>
      <c r="K1336" t="n">
        <v>9.949999999999999</v>
      </c>
      <c r="L1336" t="n">
        <v>9.949999999999999</v>
      </c>
    </row>
    <row r="1337">
      <c r="A1337" s="1">
        <f>Hyperlink("https://www.wallsandfloors.co.uk/aragon-espresso-brown-quarry-tiles-skirting-quarry-200-tiles","Product")</f>
        <v/>
      </c>
      <c r="B1337" s="1" t="inlineStr">
        <is>
          <t>13722</t>
        </is>
      </c>
      <c r="C1337" s="1" t="inlineStr">
        <is>
          <t>Aragon Espresso Brown 200 Quarry Skirting Tiles</t>
        </is>
      </c>
      <c r="D1337" s="1" t="inlineStr">
        <is>
          <t>115x200x12mm</t>
        </is>
      </c>
      <c r="E1337" s="1" t="n">
        <v>8.449999999999999</v>
      </c>
      <c r="F1337" s="1" t="n">
        <v>0</v>
      </c>
      <c r="G1337" s="1" t="inlineStr">
        <is>
          <t>Tile</t>
        </is>
      </c>
      <c r="H1337" s="1" t="inlineStr">
        <is>
          <t>Clay</t>
        </is>
      </c>
      <c r="I1337" s="1" t="inlineStr">
        <is>
          <t>Matt</t>
        </is>
      </c>
      <c r="J1337" t="n">
        <v>8.449999999999999</v>
      </c>
      <c r="K1337" t="n">
        <v>8.449999999999999</v>
      </c>
      <c r="L1337" t="n">
        <v>8.449999999999999</v>
      </c>
    </row>
    <row r="1338">
      <c r="A1338" s="1">
        <f>Hyperlink("https://www.wallsandfloors.co.uk/aragon-espresso-brown-quarry-tiles-skirting-quarry-150-tiles","Product")</f>
        <v/>
      </c>
      <c r="B1338" s="1" t="inlineStr">
        <is>
          <t>11416</t>
        </is>
      </c>
      <c r="C1338" s="1" t="inlineStr">
        <is>
          <t>Aragon Espresso Brown Quarry Skirting Tiles</t>
        </is>
      </c>
      <c r="D1338" s="1" t="inlineStr">
        <is>
          <t>150x115x12mm</t>
        </is>
      </c>
      <c r="E1338" s="1" t="n">
        <v>7.95</v>
      </c>
      <c r="F1338" s="1" t="n">
        <v>0</v>
      </c>
      <c r="G1338" s="1" t="inlineStr">
        <is>
          <t>Tile</t>
        </is>
      </c>
      <c r="H1338" s="1" t="inlineStr">
        <is>
          <t>Clay</t>
        </is>
      </c>
      <c r="I1338" s="1" t="inlineStr">
        <is>
          <t>Matt</t>
        </is>
      </c>
      <c r="J1338" t="n">
        <v>7.95</v>
      </c>
      <c r="K1338" t="n">
        <v>7.95</v>
      </c>
      <c r="L1338" t="n">
        <v>7.95</v>
      </c>
    </row>
    <row r="1339">
      <c r="A1339" s="1">
        <f>Hyperlink("https://www.wallsandfloors.co.uk/aragon-espresso-brown-quarry-tiles-r-e-x-anti-slip-quarry-tiles","Product")</f>
        <v/>
      </c>
      <c r="B1339" s="1" t="inlineStr">
        <is>
          <t>11415</t>
        </is>
      </c>
      <c r="C1339" s="1" t="inlineStr">
        <is>
          <t>Aragon Espresso Brown R.E.X. Anti Slip Quarry Tiles</t>
        </is>
      </c>
      <c r="D1339" s="1" t="inlineStr">
        <is>
          <t>150x150x12mm</t>
        </is>
      </c>
      <c r="E1339" s="1" t="n">
        <v>12.95</v>
      </c>
      <c r="F1339" s="1" t="n">
        <v>0</v>
      </c>
      <c r="G1339" s="1" t="inlineStr"/>
      <c r="H1339" s="1" t="inlineStr">
        <is>
          <t>Clay</t>
        </is>
      </c>
      <c r="I1339" s="1" t="inlineStr">
        <is>
          <t>Matt</t>
        </is>
      </c>
      <c r="J1339" t="n">
        <v>12.95</v>
      </c>
      <c r="K1339" t="n">
        <v>12.95</v>
      </c>
      <c r="L1339" t="n">
        <v>12.95</v>
      </c>
    </row>
    <row r="1340">
      <c r="A1340" s="1">
        <f>Hyperlink("https://www.wallsandfloors.co.uk/aragon-espresso-brown-quarry-tiles-r-e-x-20x20-tiles","Product")</f>
        <v/>
      </c>
      <c r="B1340" s="1" t="inlineStr">
        <is>
          <t>13721</t>
        </is>
      </c>
      <c r="C1340" s="1" t="inlineStr">
        <is>
          <t>Aragon Espresso Brown R.E.X Quarry Tiles</t>
        </is>
      </c>
      <c r="D1340" s="1" t="inlineStr">
        <is>
          <t>200x200x12mm</t>
        </is>
      </c>
      <c r="E1340" s="1" t="n">
        <v>10.95</v>
      </c>
      <c r="F1340" s="1" t="n">
        <v>0</v>
      </c>
      <c r="G1340" s="1" t="inlineStr">
        <is>
          <t>SQM</t>
        </is>
      </c>
      <c r="H1340" s="1" t="inlineStr">
        <is>
          <t>Clay</t>
        </is>
      </c>
      <c r="I1340" s="1" t="inlineStr">
        <is>
          <t>Matt</t>
        </is>
      </c>
      <c r="J1340" t="n">
        <v>10.95</v>
      </c>
      <c r="K1340" t="n">
        <v>10.95</v>
      </c>
      <c r="L1340" t="n">
        <v>10.95</v>
      </c>
    </row>
    <row r="1341">
      <c r="A1341" s="1">
        <f>Hyperlink("https://www.wallsandfloors.co.uk/aragon-espresso-brown-quarry-tiles-r-e-x-15x15-tiles","Product")</f>
        <v/>
      </c>
      <c r="B1341" s="1" t="inlineStr">
        <is>
          <t>11546</t>
        </is>
      </c>
      <c r="C1341" s="1" t="inlineStr">
        <is>
          <t>Aragon Espresso Brown R.E.X Quarry Tiles</t>
        </is>
      </c>
      <c r="D1341" s="1" t="inlineStr">
        <is>
          <t>150x150x12mm</t>
        </is>
      </c>
      <c r="E1341" s="1" t="n">
        <v>10.95</v>
      </c>
      <c r="F1341" s="1" t="n">
        <v>0</v>
      </c>
      <c r="G1341" s="1" t="inlineStr">
        <is>
          <t>Tile</t>
        </is>
      </c>
      <c r="H1341" s="1" t="inlineStr">
        <is>
          <t>Clay</t>
        </is>
      </c>
      <c r="I1341" s="1" t="inlineStr">
        <is>
          <t>Matt</t>
        </is>
      </c>
      <c r="J1341" t="n">
        <v>10.95</v>
      </c>
      <c r="K1341" t="inlineStr"/>
      <c r="L1341" t="n">
        <v>10.95</v>
      </c>
    </row>
    <row r="1342">
      <c r="A1342" s="1">
        <f>Hyperlink("https://www.wallsandfloors.co.uk/aragon-espresso-brown-quarry-tiles-r-e-anti-slip-quarry-tiles","Product")</f>
        <v/>
      </c>
      <c r="B1342" s="1" t="inlineStr">
        <is>
          <t>11414</t>
        </is>
      </c>
      <c r="C1342" s="1" t="inlineStr">
        <is>
          <t>Aragon Espresso Brown R.E Anti Slip Quarry Tiles</t>
        </is>
      </c>
      <c r="D1342" s="1" t="inlineStr">
        <is>
          <t>150x150x12mm</t>
        </is>
      </c>
      <c r="E1342" s="1" t="n">
        <v>5.95</v>
      </c>
      <c r="F1342" s="1" t="n">
        <v>0</v>
      </c>
      <c r="G1342" s="1" t="inlineStr">
        <is>
          <t>Tile</t>
        </is>
      </c>
      <c r="H1342" s="1" t="inlineStr">
        <is>
          <t>Clay</t>
        </is>
      </c>
      <c r="I1342" s="1" t="inlineStr">
        <is>
          <t>Matt</t>
        </is>
      </c>
      <c r="J1342" t="inlineStr"/>
      <c r="K1342" t="n">
        <v>5.95</v>
      </c>
      <c r="L1342" t="n">
        <v>5.95</v>
      </c>
    </row>
    <row r="1343">
      <c r="A1343" s="1">
        <f>Hyperlink("https://www.wallsandfloors.co.uk/aragon-espresso-brown-quarry-tiles-r-e-20x20-tiles","Product")</f>
        <v/>
      </c>
      <c r="B1343" s="1" t="inlineStr">
        <is>
          <t>13720</t>
        </is>
      </c>
      <c r="C1343" s="1" t="inlineStr">
        <is>
          <t>Aragon Espresso Brown R.E Quarry Tiles</t>
        </is>
      </c>
      <c r="D1343" s="1" t="inlineStr">
        <is>
          <t>200x200x12mm</t>
        </is>
      </c>
      <c r="E1343" s="1" t="n">
        <v>5.95</v>
      </c>
      <c r="F1343" s="1" t="n">
        <v>0</v>
      </c>
      <c r="G1343" s="1" t="inlineStr"/>
      <c r="H1343" s="1" t="inlineStr">
        <is>
          <t>Clay</t>
        </is>
      </c>
      <c r="I1343" s="1" t="inlineStr">
        <is>
          <t>Matt</t>
        </is>
      </c>
      <c r="J1343" t="n">
        <v>5.95</v>
      </c>
      <c r="K1343" t="n">
        <v>5.95</v>
      </c>
      <c r="L1343" t="n">
        <v>5.95</v>
      </c>
    </row>
    <row r="1344">
      <c r="A1344" s="1">
        <f>Hyperlink("https://www.wallsandfloors.co.uk/aragon-espresso-brown-quarry-tiles-r-e-15x15-tiles","Product")</f>
        <v/>
      </c>
      <c r="B1344" s="1" t="inlineStr">
        <is>
          <t>11545</t>
        </is>
      </c>
      <c r="C1344" s="1" t="inlineStr">
        <is>
          <t>Aragon Espresso Brown R.E Quarry Tiles</t>
        </is>
      </c>
      <c r="D1344" s="1" t="inlineStr">
        <is>
          <t>150x150x12mm</t>
        </is>
      </c>
      <c r="E1344" s="1" t="n">
        <v>5.45</v>
      </c>
      <c r="F1344" s="1" t="n">
        <v>0</v>
      </c>
      <c r="G1344" s="1" t="inlineStr">
        <is>
          <t>Tile</t>
        </is>
      </c>
      <c r="H1344" s="1" t="inlineStr">
        <is>
          <t>Clay</t>
        </is>
      </c>
      <c r="I1344" s="1" t="inlineStr">
        <is>
          <t>Matt</t>
        </is>
      </c>
      <c r="J1344" t="n">
        <v>5.45</v>
      </c>
      <c r="K1344" t="n">
        <v>5.45</v>
      </c>
      <c r="L1344" t="n">
        <v>5.45</v>
      </c>
    </row>
    <row r="1345">
      <c r="A1345" s="1">
        <f>Hyperlink("https://www.wallsandfloors.co.uk/aragon-espresso-brown-quarry-tiles-internal-angle-quarry-tiles","Product")</f>
        <v/>
      </c>
      <c r="B1345" s="1" t="inlineStr">
        <is>
          <t>11417</t>
        </is>
      </c>
      <c r="C1345" s="1" t="inlineStr">
        <is>
          <t>Aragon Espresso Brown Internal Angle Quarry Tiles</t>
        </is>
      </c>
      <c r="D1345" s="1" t="inlineStr">
        <is>
          <t>115x30x12mm</t>
        </is>
      </c>
      <c r="E1345" s="1" t="n">
        <v>9.949999999999999</v>
      </c>
      <c r="F1345" s="1" t="n">
        <v>0</v>
      </c>
      <c r="G1345" s="1" t="inlineStr">
        <is>
          <t>Tile</t>
        </is>
      </c>
      <c r="H1345" s="1" t="inlineStr">
        <is>
          <t>Clay</t>
        </is>
      </c>
      <c r="I1345" s="1" t="inlineStr">
        <is>
          <t>Matt</t>
        </is>
      </c>
      <c r="J1345" t="inlineStr"/>
      <c r="K1345" t="n">
        <v>9.949999999999999</v>
      </c>
      <c r="L1345" t="n">
        <v>9.949999999999999</v>
      </c>
    </row>
    <row r="1346">
      <c r="A1346" s="1">
        <f>Hyperlink("https://www.wallsandfloors.co.uk/aragon-espresso-brown-quarry-tiles-flat-20x20-tiles","Product")</f>
        <v/>
      </c>
      <c r="B1346" s="1" t="inlineStr">
        <is>
          <t>11611</t>
        </is>
      </c>
      <c r="C1346" s="1" t="inlineStr">
        <is>
          <t>Aragon Espresso Brown Flat Quarry Tiles</t>
        </is>
      </c>
      <c r="D1346" s="1" t="inlineStr">
        <is>
          <t>200x200x13mm</t>
        </is>
      </c>
      <c r="E1346" s="1" t="n">
        <v>60.95</v>
      </c>
      <c r="F1346" s="1" t="n">
        <v>0</v>
      </c>
      <c r="G1346" s="1" t="inlineStr">
        <is>
          <t>SQM</t>
        </is>
      </c>
      <c r="H1346" s="1" t="inlineStr">
        <is>
          <t>Clay</t>
        </is>
      </c>
      <c r="I1346" s="1" t="inlineStr">
        <is>
          <t>Matt</t>
        </is>
      </c>
      <c r="J1346" t="n">
        <v>60.95</v>
      </c>
      <c r="K1346" t="n">
        <v>60.95</v>
      </c>
      <c r="L1346" t="n">
        <v>60.95</v>
      </c>
    </row>
    <row r="1347">
      <c r="A1347" s="1">
        <f>Hyperlink("https://www.wallsandfloors.co.uk/aragon-espresso-brown-quarry-tiles-flat-15x15-tiles","Product")</f>
        <v/>
      </c>
      <c r="B1347" s="1" t="inlineStr">
        <is>
          <t>11544</t>
        </is>
      </c>
      <c r="C1347" s="1" t="inlineStr">
        <is>
          <t>Aragon Espresso Brown Flat Quarry Tiles</t>
        </is>
      </c>
      <c r="D1347" s="1" t="inlineStr">
        <is>
          <t>150x150x12mm</t>
        </is>
      </c>
      <c r="E1347" s="1" t="n">
        <v>50.95</v>
      </c>
      <c r="F1347" s="1" t="n">
        <v>0</v>
      </c>
      <c r="G1347" s="1" t="inlineStr">
        <is>
          <t>SQM</t>
        </is>
      </c>
      <c r="H1347" s="1" t="inlineStr">
        <is>
          <t>Clay</t>
        </is>
      </c>
      <c r="I1347" s="1" t="inlineStr">
        <is>
          <t>Matt</t>
        </is>
      </c>
      <c r="J1347" t="inlineStr"/>
      <c r="K1347" t="n">
        <v>50.95</v>
      </c>
      <c r="L1347" t="n">
        <v>50.95</v>
      </c>
    </row>
    <row r="1348">
      <c r="A1348" s="1">
        <f>Hyperlink("https://www.wallsandfloors.co.uk/aragon-espresso-brown-quarry-tiles-external-angle-quarry-tiles","Product")</f>
        <v/>
      </c>
      <c r="B1348" s="1" t="inlineStr">
        <is>
          <t>11418</t>
        </is>
      </c>
      <c r="C1348" s="1" t="inlineStr">
        <is>
          <t>Aragon Espresso Brown External Angle Quarry Tiles</t>
        </is>
      </c>
      <c r="D1348" s="1" t="inlineStr">
        <is>
          <t>115x30x12mm</t>
        </is>
      </c>
      <c r="E1348" s="1" t="n">
        <v>9.949999999999999</v>
      </c>
      <c r="F1348" s="1" t="n">
        <v>0</v>
      </c>
      <c r="G1348" s="1" t="inlineStr">
        <is>
          <t>Tile</t>
        </is>
      </c>
      <c r="H1348" s="1" t="inlineStr">
        <is>
          <t>Clay</t>
        </is>
      </c>
      <c r="I1348" s="1" t="inlineStr">
        <is>
          <t>Matt</t>
        </is>
      </c>
      <c r="J1348" t="inlineStr"/>
      <c r="K1348" t="n">
        <v>9.949999999999999</v>
      </c>
      <c r="L1348" t="n">
        <v>9.949999999999999</v>
      </c>
    </row>
    <row r="1349">
      <c r="A1349" s="1">
        <f>Hyperlink("https://www.wallsandfloors.co.uk/aragon-espresso-brown-quarry-tiles-anti-slip-quarry-tiles","Product")</f>
        <v/>
      </c>
      <c r="B1349" s="1" t="inlineStr">
        <is>
          <t>11413</t>
        </is>
      </c>
      <c r="C1349" s="1" t="inlineStr">
        <is>
          <t>Aragon Espresso Brown Anti Slip Quarry Tiles</t>
        </is>
      </c>
      <c r="D1349" s="1" t="inlineStr">
        <is>
          <t>150x150x12mm</t>
        </is>
      </c>
      <c r="E1349" s="1" t="n">
        <v>66.95</v>
      </c>
      <c r="F1349" s="1" t="n">
        <v>0</v>
      </c>
      <c r="G1349" s="1" t="inlineStr">
        <is>
          <t>SQM</t>
        </is>
      </c>
      <c r="H1349" s="1" t="inlineStr">
        <is>
          <t>Clay</t>
        </is>
      </c>
      <c r="I1349" s="1" t="inlineStr">
        <is>
          <t>Matt</t>
        </is>
      </c>
      <c r="J1349" t="n">
        <v>66.95</v>
      </c>
      <c r="K1349" t="inlineStr"/>
      <c r="L1349" t="n">
        <v>66.95</v>
      </c>
    </row>
    <row r="1350">
      <c r="A1350" s="1">
        <f>Hyperlink("https://www.wallsandfloors.co.uk/aragon-autumn-brown-quarry-tiles-steptread-quarry-150-tiles","Product")</f>
        <v/>
      </c>
      <c r="B1350" s="1" t="inlineStr">
        <is>
          <t>11534</t>
        </is>
      </c>
      <c r="C1350" s="1" t="inlineStr">
        <is>
          <t>Steptread Quarry 150 Tiles</t>
        </is>
      </c>
      <c r="D1350" s="1" t="inlineStr">
        <is>
          <t>150x150x12mm</t>
        </is>
      </c>
      <c r="E1350" s="1" t="n">
        <v>4.95</v>
      </c>
      <c r="F1350" s="1" t="n">
        <v>0</v>
      </c>
      <c r="G1350" s="1" t="inlineStr">
        <is>
          <t>SQM</t>
        </is>
      </c>
      <c r="H1350" s="1" t="inlineStr">
        <is>
          <t>Clay</t>
        </is>
      </c>
      <c r="I1350" s="1" t="inlineStr">
        <is>
          <t>Matt</t>
        </is>
      </c>
      <c r="J1350" t="inlineStr"/>
      <c r="K1350" t="n">
        <v>4.95</v>
      </c>
      <c r="L1350" t="n">
        <v>4.95</v>
      </c>
    </row>
    <row r="1351">
      <c r="A1351" s="1">
        <f>Hyperlink("https://www.wallsandfloors.co.uk/aragon-autumn-brown-quarry-tiles-skirting-quarry-150-tiles","Product")</f>
        <v/>
      </c>
      <c r="B1351" s="1" t="inlineStr">
        <is>
          <t>11533</t>
        </is>
      </c>
      <c r="C1351" s="1" t="inlineStr">
        <is>
          <t>Aragon Autumn Brown Skirting Quarry 150 Tiles</t>
        </is>
      </c>
      <c r="D1351" s="1" t="inlineStr">
        <is>
          <t>115x150x12mm</t>
        </is>
      </c>
      <c r="E1351" s="1" t="n">
        <v>5.95</v>
      </c>
      <c r="F1351" s="1" t="n">
        <v>0</v>
      </c>
      <c r="G1351" s="1" t="inlineStr">
        <is>
          <t>Tile</t>
        </is>
      </c>
      <c r="H1351" s="1" t="inlineStr">
        <is>
          <t>Clay</t>
        </is>
      </c>
      <c r="I1351" s="1" t="inlineStr">
        <is>
          <t>Matt</t>
        </is>
      </c>
      <c r="J1351" t="n">
        <v>5.95</v>
      </c>
      <c r="K1351" t="n">
        <v>5.95</v>
      </c>
      <c r="L1351" t="n">
        <v>5.95</v>
      </c>
    </row>
    <row r="1352">
      <c r="A1352" s="1">
        <f>Hyperlink("https://www.wallsandfloors.co.uk/aragon-terracotta-red-quarry-tiles-skirting-quarry-200-tiles","Product")</f>
        <v/>
      </c>
      <c r="B1352" s="1" t="inlineStr">
        <is>
          <t>13719</t>
        </is>
      </c>
      <c r="C1352" s="1" t="inlineStr">
        <is>
          <t>Aragon Red Quarry 200mm Skirting Tiles</t>
        </is>
      </c>
      <c r="D1352" s="1" t="inlineStr">
        <is>
          <t>115x200x12mm</t>
        </is>
      </c>
      <c r="E1352" s="1" t="n">
        <v>6.45</v>
      </c>
      <c r="F1352" s="1" t="n">
        <v>0</v>
      </c>
      <c r="G1352" s="1" t="inlineStr">
        <is>
          <t>SQM</t>
        </is>
      </c>
      <c r="H1352" s="1" t="inlineStr">
        <is>
          <t>Clay</t>
        </is>
      </c>
      <c r="I1352" s="1" t="inlineStr">
        <is>
          <t>Matt</t>
        </is>
      </c>
      <c r="J1352" t="inlineStr"/>
      <c r="K1352" t="n">
        <v>6.45</v>
      </c>
      <c r="L1352" t="n">
        <v>6.45</v>
      </c>
    </row>
    <row r="1353">
      <c r="A1353" s="1">
        <f>Hyperlink("https://www.wallsandfloors.co.uk/baked-earth-terracotta-tiles-natural-rustic-terracotta-tiles","Product")</f>
        <v/>
      </c>
      <c r="B1353" s="1" t="inlineStr">
        <is>
          <t>12833</t>
        </is>
      </c>
      <c r="C1353" s="1" t="inlineStr">
        <is>
          <t>Natural Rustic Terracotta Tiles</t>
        </is>
      </c>
      <c r="D1353" s="1" t="inlineStr">
        <is>
          <t>295x295x20mm</t>
        </is>
      </c>
      <c r="E1353" s="1" t="n">
        <v>50.95</v>
      </c>
      <c r="F1353" s="1" t="n">
        <v>0</v>
      </c>
      <c r="G1353" s="1" t="inlineStr">
        <is>
          <t>SQM</t>
        </is>
      </c>
      <c r="H1353" s="1" t="inlineStr">
        <is>
          <t>Terracotta</t>
        </is>
      </c>
      <c r="I1353" s="1" t="inlineStr">
        <is>
          <t>Matt</t>
        </is>
      </c>
      <c r="J1353" t="inlineStr"/>
      <c r="K1353" t="n">
        <v>50.95</v>
      </c>
      <c r="L1353" t="n">
        <v>50.95</v>
      </c>
    </row>
    <row r="1354">
      <c r="A1354" s="1">
        <f>Hyperlink("https://www.wallsandfloors.co.uk/arcadia-chalk-luxury-vinyl-tiles","Product")</f>
        <v/>
      </c>
      <c r="B1354" s="1" t="inlineStr">
        <is>
          <t>41397</t>
        </is>
      </c>
      <c r="C1354" s="1" t="inlineStr">
        <is>
          <t>Arcadia Chalk Luxury Vinyl Tiles</t>
        </is>
      </c>
      <c r="D1354" s="1" t="inlineStr">
        <is>
          <t>1235x178x3mm</t>
        </is>
      </c>
      <c r="E1354" s="1" t="n">
        <v>26.95</v>
      </c>
      <c r="F1354" s="1" t="n">
        <v>0</v>
      </c>
      <c r="G1354" s="1" t="inlineStr">
        <is>
          <t>SQM</t>
        </is>
      </c>
      <c r="H1354" s="1" t="inlineStr">
        <is>
          <t>Vinyl</t>
        </is>
      </c>
      <c r="I1354" s="1" t="inlineStr">
        <is>
          <t>Matt</t>
        </is>
      </c>
      <c r="J1354" t="n">
        <v>26.95</v>
      </c>
      <c r="K1354" t="inlineStr"/>
      <c r="L1354" t="n">
        <v>26.95</v>
      </c>
    </row>
    <row r="1355">
      <c r="A1355" s="1">
        <f>Hyperlink("https://www.wallsandfloors.co.uk/arcadia-honey-luxury-vinyl-tiles","Product")</f>
        <v/>
      </c>
      <c r="B1355" s="1" t="inlineStr">
        <is>
          <t>41398</t>
        </is>
      </c>
      <c r="C1355" s="1" t="inlineStr">
        <is>
          <t>Arcadia Honey Luxury Vinyl Tiles</t>
        </is>
      </c>
      <c r="D1355" s="1" t="inlineStr">
        <is>
          <t>1235x178x3mm</t>
        </is>
      </c>
      <c r="E1355" s="1" t="n">
        <v>26.95</v>
      </c>
      <c r="F1355" s="1" t="n">
        <v>0</v>
      </c>
      <c r="G1355" s="1" t="inlineStr">
        <is>
          <t>SQM</t>
        </is>
      </c>
      <c r="H1355" s="1" t="inlineStr">
        <is>
          <t>Vinyl</t>
        </is>
      </c>
      <c r="I1355" s="1" t="inlineStr">
        <is>
          <t>Matt</t>
        </is>
      </c>
      <c r="J1355" t="inlineStr"/>
      <c r="K1355" t="n">
        <v>26.95</v>
      </c>
      <c r="L1355" t="n">
        <v>26.95</v>
      </c>
    </row>
    <row r="1356">
      <c r="A1356" s="1">
        <f>Hyperlink("https://www.wallsandfloors.co.uk/azoic-blendstone-tiles-polished-sheepskin-beige-stone-60x30-tile","Product")</f>
        <v/>
      </c>
      <c r="B1356" s="1" t="inlineStr">
        <is>
          <t>15424</t>
        </is>
      </c>
      <c r="C1356" s="1" t="inlineStr">
        <is>
          <t>Azoic Polished Sheepskin Stone Tiles</t>
        </is>
      </c>
      <c r="D1356" s="1" t="inlineStr">
        <is>
          <t>600x300x9mm</t>
        </is>
      </c>
      <c r="E1356" s="1" t="n">
        <v>17.6</v>
      </c>
      <c r="F1356" s="1" t="n">
        <v>0</v>
      </c>
      <c r="G1356" s="1" t="inlineStr">
        <is>
          <t>SQM</t>
        </is>
      </c>
      <c r="H1356" s="1" t="inlineStr">
        <is>
          <t>Porcelain</t>
        </is>
      </c>
      <c r="I1356" s="1" t="inlineStr">
        <is>
          <t>Polished</t>
        </is>
      </c>
      <c r="J1356" t="n">
        <v>17.6</v>
      </c>
      <c r="K1356" t="n">
        <v>17.6</v>
      </c>
      <c r="L1356" t="n">
        <v>17.6</v>
      </c>
    </row>
    <row r="1357">
      <c r="A1357" s="1">
        <f>Hyperlink("https://www.wallsandfloors.co.uk/azoic-blendstone-tiles-polished-oolite-ivory-stone-60x60-tile","Product")</f>
        <v/>
      </c>
      <c r="B1357" s="1" t="inlineStr">
        <is>
          <t>15433</t>
        </is>
      </c>
      <c r="C1357" s="1" t="inlineStr">
        <is>
          <t>Azoic Polished Oolite Ivory Stone Tile</t>
        </is>
      </c>
      <c r="D1357" s="1" t="inlineStr">
        <is>
          <t>600x600x9mm</t>
        </is>
      </c>
      <c r="E1357" s="1" t="n">
        <v>18.93</v>
      </c>
      <c r="F1357" s="1" t="n">
        <v>0</v>
      </c>
      <c r="G1357" s="1" t="inlineStr">
        <is>
          <t>SQM</t>
        </is>
      </c>
      <c r="H1357" s="1" t="inlineStr">
        <is>
          <t>Porcelain</t>
        </is>
      </c>
      <c r="I1357" s="1" t="inlineStr">
        <is>
          <t>Polished</t>
        </is>
      </c>
      <c r="J1357" t="n">
        <v>18.93</v>
      </c>
      <c r="K1357" t="n">
        <v>18.93</v>
      </c>
      <c r="L1357" t="n">
        <v>18.93</v>
      </c>
    </row>
    <row r="1358">
      <c r="A1358" s="1">
        <f>Hyperlink("https://www.wallsandfloors.co.uk/azoic-blendstone-tiles-matt-sheepskin-beige-stone-60x60-tile","Product")</f>
        <v/>
      </c>
      <c r="B1358" s="1" t="inlineStr">
        <is>
          <t>32563</t>
        </is>
      </c>
      <c r="C1358" s="1" t="inlineStr">
        <is>
          <t>Azoic Matt Sheepskin Beige Stone 60x60 Tiles</t>
        </is>
      </c>
      <c r="D1358" s="1" t="inlineStr">
        <is>
          <t>600x600x9mm</t>
        </is>
      </c>
      <c r="E1358" s="1" t="n">
        <v>14.74</v>
      </c>
      <c r="F1358" s="1" t="n">
        <v>0</v>
      </c>
      <c r="G1358" s="1" t="inlineStr">
        <is>
          <t>SQM</t>
        </is>
      </c>
      <c r="H1358" s="1" t="inlineStr">
        <is>
          <t>Porcelain</t>
        </is>
      </c>
      <c r="I1358" s="1" t="inlineStr">
        <is>
          <t>Matt</t>
        </is>
      </c>
      <c r="J1358" t="n">
        <v>14.74</v>
      </c>
      <c r="K1358" t="n">
        <v>14.74</v>
      </c>
      <c r="L1358" t="n">
        <v>14.74</v>
      </c>
    </row>
    <row r="1359">
      <c r="A1359" s="1">
        <f>Hyperlink("https://www.wallsandfloors.co.uk/azoic-blendstone-tiles-matt-magma-black-stone-60x30-tile","Product")</f>
        <v/>
      </c>
      <c r="B1359" s="1" t="inlineStr">
        <is>
          <t>32564</t>
        </is>
      </c>
      <c r="C1359" s="1" t="inlineStr">
        <is>
          <t>Azoic Matt Magma Black Stone Tiles</t>
        </is>
      </c>
      <c r="D1359" s="1" t="inlineStr">
        <is>
          <t>600x300x9mm</t>
        </is>
      </c>
      <c r="E1359" s="1" t="n">
        <v>19.9</v>
      </c>
      <c r="F1359" s="1" t="n">
        <v>0</v>
      </c>
      <c r="G1359" s="1" t="inlineStr">
        <is>
          <t>SQM</t>
        </is>
      </c>
      <c r="H1359" s="1" t="inlineStr">
        <is>
          <t>Porcelain</t>
        </is>
      </c>
      <c r="I1359" s="1" t="inlineStr">
        <is>
          <t>Matt</t>
        </is>
      </c>
      <c r="J1359" t="n">
        <v>19.9</v>
      </c>
      <c r="K1359" t="n">
        <v>19.9</v>
      </c>
      <c r="L1359" t="n">
        <v>19.9</v>
      </c>
    </row>
    <row r="1360">
      <c r="A1360" s="1">
        <f>Hyperlink("https://www.wallsandfloors.co.uk/avenue-tiles-iombard-cream-brick-tiles","Product")</f>
        <v/>
      </c>
      <c r="B1360" s="1" t="inlineStr">
        <is>
          <t>36141</t>
        </is>
      </c>
      <c r="C1360" s="1" t="inlineStr">
        <is>
          <t>Iombard Cream Brick Tiles</t>
        </is>
      </c>
      <c r="D1360" s="1" t="inlineStr">
        <is>
          <t>250x75x10mm</t>
        </is>
      </c>
      <c r="E1360" s="1" t="n">
        <v>35.95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Matt</t>
        </is>
      </c>
      <c r="J1360" t="n">
        <v>35.95</v>
      </c>
      <c r="K1360" t="inlineStr"/>
      <c r="L1360" t="n">
        <v>35.95</v>
      </c>
    </row>
    <row r="1361">
      <c r="A1361" s="1">
        <f>Hyperlink("https://www.wallsandfloors.co.uk/avenue-tiles-iombard-cream-60x60-tiles","Product")</f>
        <v/>
      </c>
      <c r="B1361" s="1" t="inlineStr">
        <is>
          <t>36140</t>
        </is>
      </c>
      <c r="C1361" s="1" t="inlineStr">
        <is>
          <t>Iombard Cream Tiles</t>
        </is>
      </c>
      <c r="D1361" s="1" t="inlineStr">
        <is>
          <t>600x600x10.5mm</t>
        </is>
      </c>
      <c r="E1361" s="1" t="n">
        <v>24.95</v>
      </c>
      <c r="F1361" s="1" t="n">
        <v>0</v>
      </c>
      <c r="G1361" s="1" t="inlineStr">
        <is>
          <t>SQM</t>
        </is>
      </c>
      <c r="H1361" s="1" t="inlineStr">
        <is>
          <t>Porcelain</t>
        </is>
      </c>
      <c r="I1361" s="1" t="inlineStr">
        <is>
          <t>Matt</t>
        </is>
      </c>
      <c r="J1361" t="n">
        <v>24.95</v>
      </c>
      <c r="K1361" t="n">
        <v>24.95</v>
      </c>
      <c r="L1361" t="n">
        <v>24.95</v>
      </c>
    </row>
    <row r="1362">
      <c r="A1362" s="1">
        <f>Hyperlink("https://www.wallsandfloors.co.uk/avenue-tiles-fifth-avenue-grey-brick-tiles","Product")</f>
        <v/>
      </c>
      <c r="B1362" s="1" t="inlineStr">
        <is>
          <t>36135</t>
        </is>
      </c>
      <c r="C1362" s="1" t="inlineStr">
        <is>
          <t>Fifth Avenue Grey Brick Tiles</t>
        </is>
      </c>
      <c r="D1362" s="1" t="inlineStr">
        <is>
          <t>250x75x10mm</t>
        </is>
      </c>
      <c r="E1362" s="1" t="n">
        <v>35.95</v>
      </c>
      <c r="F1362" s="1" t="n">
        <v>0</v>
      </c>
      <c r="G1362" s="1" t="inlineStr">
        <is>
          <t>SQM</t>
        </is>
      </c>
      <c r="H1362" s="1" t="inlineStr">
        <is>
          <t>Porcelain</t>
        </is>
      </c>
      <c r="I1362" s="1" t="inlineStr">
        <is>
          <t>Matt</t>
        </is>
      </c>
      <c r="J1362" t="n">
        <v>35.95</v>
      </c>
      <c r="K1362" t="n">
        <v>35.95</v>
      </c>
      <c r="L1362" t="n">
        <v>35.95</v>
      </c>
    </row>
    <row r="1363">
      <c r="A1363" s="1">
        <f>Hyperlink("https://www.wallsandfloors.co.uk/avenue-tiles-broadway-grey-bricks","Product")</f>
        <v/>
      </c>
      <c r="B1363" s="1" t="inlineStr">
        <is>
          <t>36137</t>
        </is>
      </c>
      <c r="C1363" s="1" t="inlineStr">
        <is>
          <t>Broadway Grey Bricks</t>
        </is>
      </c>
      <c r="D1363" s="1" t="inlineStr">
        <is>
          <t>250x75x10mm</t>
        </is>
      </c>
      <c r="E1363" s="1" t="n">
        <v>25.95</v>
      </c>
      <c r="F1363" s="1" t="n">
        <v>0</v>
      </c>
      <c r="G1363" s="1" t="inlineStr">
        <is>
          <t>SQM</t>
        </is>
      </c>
      <c r="H1363" s="1" t="inlineStr">
        <is>
          <t>Porcelain</t>
        </is>
      </c>
      <c r="I1363" s="1" t="inlineStr">
        <is>
          <t>Matt</t>
        </is>
      </c>
      <c r="J1363" t="n">
        <v>25.95</v>
      </c>
      <c r="K1363" t="n">
        <v>25.95</v>
      </c>
      <c r="L1363" t="n">
        <v>25.95</v>
      </c>
    </row>
    <row r="1364">
      <c r="A1364" s="1">
        <f>Hyperlink("https://www.wallsandfloors.co.uk/avenue-tiles-bourbon-brown-brick-tiles","Product")</f>
        <v/>
      </c>
      <c r="B1364" s="1" t="inlineStr">
        <is>
          <t>36139</t>
        </is>
      </c>
      <c r="C1364" s="1" t="inlineStr">
        <is>
          <t>Bourbon Brown Brick Tiles</t>
        </is>
      </c>
      <c r="D1364" s="1" t="inlineStr">
        <is>
          <t>250x75x10mm</t>
        </is>
      </c>
      <c r="E1364" s="1" t="n">
        <v>35.95</v>
      </c>
      <c r="F1364" s="1" t="n">
        <v>0</v>
      </c>
      <c r="G1364" s="1" t="inlineStr">
        <is>
          <t>SQM</t>
        </is>
      </c>
      <c r="H1364" s="1" t="inlineStr">
        <is>
          <t>Porcelain</t>
        </is>
      </c>
      <c r="I1364" s="1" t="inlineStr">
        <is>
          <t>Matt</t>
        </is>
      </c>
      <c r="J1364" t="n">
        <v>35.95</v>
      </c>
      <c r="K1364" t="n">
        <v>35.95</v>
      </c>
      <c r="L1364" t="n">
        <v>35.95</v>
      </c>
    </row>
    <row r="1365">
      <c r="A1365" s="1">
        <f>Hyperlink("https://www.wallsandfloors.co.uk/avenue-tiles-bourbon-brown-60-60-tiles","Product")</f>
        <v/>
      </c>
      <c r="B1365" s="1" t="inlineStr">
        <is>
          <t>36138</t>
        </is>
      </c>
      <c r="C1365" s="1" t="inlineStr">
        <is>
          <t>Bourbon Brown Tiles</t>
        </is>
      </c>
      <c r="D1365" s="1" t="inlineStr">
        <is>
          <t>600x600x10.5mm</t>
        </is>
      </c>
      <c r="E1365" s="1" t="n">
        <v>35.95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Matt</t>
        </is>
      </c>
      <c r="J1365" t="n">
        <v>35.95</v>
      </c>
      <c r="K1365" t="inlineStr"/>
      <c r="L1365" t="n">
        <v>35.95</v>
      </c>
    </row>
    <row r="1366">
      <c r="A1366" s="1">
        <f>Hyperlink("https://www.wallsandfloors.co.uk/aurora-white-tiles","Product")</f>
        <v/>
      </c>
      <c r="B1366" s="1" t="inlineStr">
        <is>
          <t>44247</t>
        </is>
      </c>
      <c r="C1366" s="1" t="inlineStr">
        <is>
          <t>Aurora White Tiles</t>
        </is>
      </c>
      <c r="D1366" s="1" t="inlineStr">
        <is>
          <t>450x450x10.5mm</t>
        </is>
      </c>
      <c r="E1366" s="1" t="n">
        <v>26.95</v>
      </c>
      <c r="F1366" s="1" t="n">
        <v>0</v>
      </c>
      <c r="G1366" s="1" t="inlineStr">
        <is>
          <t>SQM</t>
        </is>
      </c>
      <c r="H1366" s="1" t="inlineStr">
        <is>
          <t>Ceramic</t>
        </is>
      </c>
      <c r="I1366" s="1" t="inlineStr">
        <is>
          <t>Matt</t>
        </is>
      </c>
      <c r="J1366" t="n">
        <v>26.95</v>
      </c>
      <c r="K1366" t="inlineStr"/>
      <c r="L1366" t="n">
        <v>26.95</v>
      </c>
    </row>
    <row r="1367">
      <c r="A1367" s="1">
        <f>Hyperlink("https://www.wallsandfloors.co.uk/aurora-blue-tiles","Product")</f>
        <v/>
      </c>
      <c r="B1367" s="1" t="inlineStr">
        <is>
          <t>44250</t>
        </is>
      </c>
      <c r="C1367" s="1" t="inlineStr">
        <is>
          <t>Aurora Blue Tiles</t>
        </is>
      </c>
      <c r="D1367" s="1" t="inlineStr">
        <is>
          <t>450x450x10.5mm</t>
        </is>
      </c>
      <c r="E1367" s="1" t="n">
        <v>27.95</v>
      </c>
      <c r="F1367" s="1" t="n">
        <v>0</v>
      </c>
      <c r="G1367" s="1" t="inlineStr">
        <is>
          <t>SQM</t>
        </is>
      </c>
      <c r="H1367" s="1" t="inlineStr">
        <is>
          <t>Ceramic</t>
        </is>
      </c>
      <c r="I1367" s="1" t="inlineStr">
        <is>
          <t>Matt</t>
        </is>
      </c>
      <c r="J1367" t="n">
        <v>27.95</v>
      </c>
      <c r="K1367" t="n">
        <v>27.95</v>
      </c>
      <c r="L1367" t="n">
        <v>27.95</v>
      </c>
    </row>
    <row r="1368">
      <c r="A1368" s="1">
        <f>Hyperlink("https://www.wallsandfloors.co.uk/aurora-black-tiles","Product")</f>
        <v/>
      </c>
      <c r="B1368" s="1" t="inlineStr">
        <is>
          <t>44248</t>
        </is>
      </c>
      <c r="C1368" s="1" t="inlineStr">
        <is>
          <t>Aurora Black Tiles</t>
        </is>
      </c>
      <c r="D1368" s="1" t="inlineStr">
        <is>
          <t>450x450x10.5mm</t>
        </is>
      </c>
      <c r="E1368" s="1" t="n">
        <v>27.95</v>
      </c>
      <c r="F1368" s="1" t="n">
        <v>0</v>
      </c>
      <c r="G1368" s="1" t="inlineStr">
        <is>
          <t>SQM</t>
        </is>
      </c>
      <c r="H1368" s="1" t="inlineStr">
        <is>
          <t>Ceramic</t>
        </is>
      </c>
      <c r="I1368" s="1" t="inlineStr">
        <is>
          <t>Matt</t>
        </is>
      </c>
      <c r="J1368" t="n">
        <v>27.95</v>
      </c>
      <c r="K1368" t="n">
        <v>27.95</v>
      </c>
      <c r="L1368" t="n">
        <v>27.95</v>
      </c>
    </row>
    <row r="1369">
      <c r="A1369" s="1">
        <f>Hyperlink("https://www.wallsandfloors.co.uk/astral-star-pattern-tiles","Product")</f>
        <v/>
      </c>
      <c r="B1369" s="1" t="inlineStr">
        <is>
          <t>41608</t>
        </is>
      </c>
      <c r="C1369" s="1" t="inlineStr">
        <is>
          <t>Astral Star Pattern Tiles</t>
        </is>
      </c>
      <c r="D1369" s="1" t="inlineStr">
        <is>
          <t>450x450x8.5mm</t>
        </is>
      </c>
      <c r="E1369" s="1" t="n">
        <v>26.95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inlineStr"/>
      <c r="K1369" t="inlineStr"/>
      <c r="L1369" t="n">
        <v>26.95</v>
      </c>
    </row>
    <row r="1370">
      <c r="A1370" s="1">
        <f>Hyperlink("https://www.wallsandfloors.co.uk/aspect-hexagon-tiles-white-hexagon-tiles","Product")</f>
        <v/>
      </c>
      <c r="B1370" s="1" t="inlineStr">
        <is>
          <t>14546</t>
        </is>
      </c>
      <c r="C1370" s="1" t="inlineStr">
        <is>
          <t>Aspect White Hexagon Tiles</t>
        </is>
      </c>
      <c r="D1370" s="1" t="inlineStr">
        <is>
          <t>330x285x9mm</t>
        </is>
      </c>
      <c r="E1370" s="1" t="n">
        <v>33.95</v>
      </c>
      <c r="F1370" s="1" t="n">
        <v>0</v>
      </c>
      <c r="G1370" s="1" t="inlineStr">
        <is>
          <t>SQM</t>
        </is>
      </c>
      <c r="H1370" s="1" t="inlineStr">
        <is>
          <t>Porcelain</t>
        </is>
      </c>
      <c r="I1370" s="1" t="inlineStr">
        <is>
          <t>Matt</t>
        </is>
      </c>
      <c r="J1370" t="n">
        <v>33.95</v>
      </c>
      <c r="K1370" t="n">
        <v>33.95</v>
      </c>
      <c r="L1370" t="n">
        <v>33.95</v>
      </c>
    </row>
    <row r="1371">
      <c r="A1371" s="1">
        <f>Hyperlink("https://www.wallsandfloors.co.uk/aspect-hexagon-tiles-grey-hexagon-tiles","Product")</f>
        <v/>
      </c>
      <c r="B1371" s="1" t="inlineStr">
        <is>
          <t>14548</t>
        </is>
      </c>
      <c r="C1371" s="1" t="inlineStr">
        <is>
          <t>Aspect Grey Hexagon Tiles</t>
        </is>
      </c>
      <c r="D1371" s="1" t="inlineStr">
        <is>
          <t>330x285x9mm</t>
        </is>
      </c>
      <c r="E1371" s="1" t="n">
        <v>33.95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n">
        <v>33.95</v>
      </c>
      <c r="K1371" t="n">
        <v>33.95</v>
      </c>
      <c r="L1371" t="n">
        <v>33.95</v>
      </c>
    </row>
    <row r="1372">
      <c r="A1372" s="1">
        <f>Hyperlink("https://www.wallsandfloors.co.uk/aspect-hexagon-tiles-black-hexagon-tiles-14550","Product")</f>
        <v/>
      </c>
      <c r="B1372" s="1" t="inlineStr">
        <is>
          <t>14550</t>
        </is>
      </c>
      <c r="C1372" s="1" t="inlineStr">
        <is>
          <t>Aspect Black Hexagon Tiles</t>
        </is>
      </c>
      <c r="D1372" s="1" t="inlineStr">
        <is>
          <t>330x285x9mm</t>
        </is>
      </c>
      <c r="E1372" s="1" t="n">
        <v>33.95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inlineStr"/>
      <c r="K1372" t="n">
        <v>33.95</v>
      </c>
      <c r="L1372" t="n">
        <v>33.95</v>
      </c>
    </row>
    <row r="1373">
      <c r="A1373" s="1">
        <f>Hyperlink("https://www.wallsandfloors.co.uk/arise-wood-effect-tiles-sunrise-wood-tiles","Product")</f>
        <v/>
      </c>
      <c r="B1373" s="1" t="inlineStr">
        <is>
          <t>14258</t>
        </is>
      </c>
      <c r="C1373" s="1" t="inlineStr">
        <is>
          <t>Arise Sunrise Wood Effect Tiles</t>
        </is>
      </c>
      <c r="D1373" s="1" t="inlineStr">
        <is>
          <t>662x235x8mm</t>
        </is>
      </c>
      <c r="E1373" s="1" t="n">
        <v>15.95</v>
      </c>
      <c r="F1373" s="1" t="n">
        <v>0</v>
      </c>
      <c r="G1373" s="1" t="inlineStr">
        <is>
          <t>SQM</t>
        </is>
      </c>
      <c r="H1373" s="1" t="inlineStr">
        <is>
          <t>Ceramic</t>
        </is>
      </c>
      <c r="I1373" s="1" t="inlineStr">
        <is>
          <t>Matt</t>
        </is>
      </c>
      <c r="J1373" t="n">
        <v>15.95</v>
      </c>
      <c r="K1373" t="n">
        <v>15.95</v>
      </c>
      <c r="L1373" t="n">
        <v>15.95</v>
      </c>
    </row>
    <row r="1374">
      <c r="A1374" s="1">
        <f>Hyperlink("https://www.wallsandfloors.co.uk/arise-wood-effect-tiles-coastal-wood-tiles","Product")</f>
        <v/>
      </c>
      <c r="B1374" s="1" t="inlineStr">
        <is>
          <t>14259</t>
        </is>
      </c>
      <c r="C1374" s="1" t="inlineStr">
        <is>
          <t>Arise Coastal Wood Effect Tiles</t>
        </is>
      </c>
      <c r="D1374" s="1" t="inlineStr">
        <is>
          <t>662x235x8mm</t>
        </is>
      </c>
      <c r="E1374" s="1" t="n">
        <v>17.95</v>
      </c>
      <c r="F1374" s="1" t="n">
        <v>0</v>
      </c>
      <c r="G1374" s="1" t="inlineStr">
        <is>
          <t>SQM</t>
        </is>
      </c>
      <c r="H1374" s="1" t="inlineStr">
        <is>
          <t>Ceramic</t>
        </is>
      </c>
      <c r="I1374" s="1" t="inlineStr">
        <is>
          <t>Matt</t>
        </is>
      </c>
      <c r="J1374" t="n">
        <v>17.95</v>
      </c>
      <c r="K1374" t="n">
        <v>17.95</v>
      </c>
      <c r="L1374" t="n">
        <v>17.95</v>
      </c>
    </row>
    <row r="1375">
      <c r="A1375" s="1">
        <f>Hyperlink("https://www.wallsandfloors.co.uk/argent-glass-brick-tiles","Product")</f>
        <v/>
      </c>
      <c r="B1375" s="1" t="inlineStr">
        <is>
          <t>37272</t>
        </is>
      </c>
      <c r="C1375" s="1" t="inlineStr">
        <is>
          <t>Argent Glass Brick Tiles</t>
        </is>
      </c>
      <c r="D1375" s="1" t="inlineStr">
        <is>
          <t>300x75x8mm</t>
        </is>
      </c>
      <c r="E1375" s="1" t="n">
        <v>1.55</v>
      </c>
      <c r="F1375" s="1" t="n">
        <v>0</v>
      </c>
      <c r="G1375" s="1" t="inlineStr">
        <is>
          <t>SQM</t>
        </is>
      </c>
      <c r="H1375" s="1" t="inlineStr">
        <is>
          <t>Glass</t>
        </is>
      </c>
      <c r="I1375" s="1" t="inlineStr">
        <is>
          <t>Gloss</t>
        </is>
      </c>
      <c r="J1375" t="n">
        <v>1.55</v>
      </c>
      <c r="K1375" t="n">
        <v>1.55</v>
      </c>
      <c r="L1375" t="n">
        <v>1.55</v>
      </c>
    </row>
    <row r="1376">
      <c r="A1376" s="1">
        <f>Hyperlink("https://www.wallsandfloors.co.uk/arcadia-vintage-luxury-vinyl-tiles","Product")</f>
        <v/>
      </c>
      <c r="B1376" s="1" t="inlineStr">
        <is>
          <t>41402</t>
        </is>
      </c>
      <c r="C1376" s="1" t="inlineStr">
        <is>
          <t>Arcadia Vintage Luxury Vinyl Tiles</t>
        </is>
      </c>
      <c r="D1376" s="1" t="inlineStr">
        <is>
          <t>1235x178x4mm</t>
        </is>
      </c>
      <c r="E1376" s="1" t="n">
        <v>22.95</v>
      </c>
      <c r="F1376" s="1" t="n">
        <v>0</v>
      </c>
      <c r="G1376" s="1" t="inlineStr">
        <is>
          <t>SQM</t>
        </is>
      </c>
      <c r="H1376" s="1" t="inlineStr">
        <is>
          <t>Vinyl</t>
        </is>
      </c>
      <c r="I1376" s="1" t="inlineStr">
        <is>
          <t>Matt</t>
        </is>
      </c>
      <c r="J1376" t="inlineStr"/>
      <c r="K1376" t="n">
        <v>22.95</v>
      </c>
      <c r="L1376" t="n">
        <v>22.95</v>
      </c>
    </row>
    <row r="1377">
      <c r="A1377" s="1">
        <f>Hyperlink("https://www.wallsandfloors.co.uk/arcadia-smoke-luxury-vinyl-tiles","Product")</f>
        <v/>
      </c>
      <c r="B1377" s="1" t="inlineStr">
        <is>
          <t>41400</t>
        </is>
      </c>
      <c r="C1377" s="1" t="inlineStr">
        <is>
          <t>Arcadia Smoke Luxury Vinyl Tiles</t>
        </is>
      </c>
      <c r="D1377" s="1" t="inlineStr">
        <is>
          <t>600x300x4mm</t>
        </is>
      </c>
      <c r="E1377" s="1" t="n">
        <v>32.95</v>
      </c>
      <c r="F1377" s="1" t="n">
        <v>0</v>
      </c>
      <c r="G1377" s="1" t="inlineStr">
        <is>
          <t>SQM</t>
        </is>
      </c>
      <c r="H1377" s="1" t="inlineStr">
        <is>
          <t>Vinyl</t>
        </is>
      </c>
      <c r="I1377" s="1" t="inlineStr">
        <is>
          <t>Matt</t>
        </is>
      </c>
      <c r="J1377" t="inlineStr"/>
      <c r="K1377" t="n">
        <v>32.95</v>
      </c>
      <c r="L1377" t="n">
        <v>32.95</v>
      </c>
    </row>
    <row r="1378">
      <c r="A1378" s="1">
        <f>Hyperlink("https://www.wallsandfloors.co.uk/arcadia-midnight-luxury-vinyl-tiles","Product")</f>
        <v/>
      </c>
      <c r="B1378" s="1" t="inlineStr">
        <is>
          <t>41401</t>
        </is>
      </c>
      <c r="C1378" s="1" t="inlineStr">
        <is>
          <t>Arcadia Midnight Luxury Vinyl Tiles</t>
        </is>
      </c>
      <c r="D1378" s="1" t="inlineStr">
        <is>
          <t>600x300x4mm</t>
        </is>
      </c>
      <c r="E1378" s="1" t="n">
        <v>32.95</v>
      </c>
      <c r="F1378" s="1" t="n">
        <v>0</v>
      </c>
      <c r="G1378" s="1" t="inlineStr">
        <is>
          <t>SQM</t>
        </is>
      </c>
      <c r="H1378" s="1" t="inlineStr">
        <is>
          <t>Vinyl</t>
        </is>
      </c>
      <c r="I1378" s="1" t="inlineStr">
        <is>
          <t>Matt</t>
        </is>
      </c>
      <c r="J1378" t="n">
        <v>32.95</v>
      </c>
      <c r="K1378" t="inlineStr"/>
      <c r="L1378" t="n">
        <v>32.95</v>
      </c>
    </row>
    <row r="1379">
      <c r="A1379" s="1">
        <f>Hyperlink("https://www.wallsandfloors.co.uk/arcadia-cocoa-luxury-vinyl-tiles","Product")</f>
        <v/>
      </c>
      <c r="B1379" s="1" t="inlineStr">
        <is>
          <t>41399</t>
        </is>
      </c>
      <c r="C1379" s="1" t="inlineStr">
        <is>
          <t>Arcadia Cocoa Luxury Vinyl Tiles</t>
        </is>
      </c>
      <c r="D1379" s="1" t="inlineStr">
        <is>
          <t>1235x178x4mm</t>
        </is>
      </c>
      <c r="E1379" s="1" t="n">
        <v>32.95</v>
      </c>
      <c r="F1379" s="1" t="n">
        <v>0</v>
      </c>
      <c r="G1379" s="1" t="inlineStr">
        <is>
          <t>SQM</t>
        </is>
      </c>
      <c r="H1379" s="1" t="inlineStr">
        <is>
          <t>Vinyl</t>
        </is>
      </c>
      <c r="I1379" s="1" t="inlineStr">
        <is>
          <t>Matt</t>
        </is>
      </c>
      <c r="J1379" t="n">
        <v>32.95</v>
      </c>
      <c r="K1379" t="n">
        <v>32.95</v>
      </c>
      <c r="L1379" t="n">
        <v>32.95</v>
      </c>
    </row>
    <row r="1380">
      <c r="A1380" s="1">
        <f>Hyperlink("https://www.wallsandfloors.co.uk/ecd-115-2-in-1-superpro-electroplated-cutting-grinding-diamond-blade","Product")</f>
        <v/>
      </c>
      <c r="B1380" s="1" t="inlineStr">
        <is>
          <t>40448</t>
        </is>
      </c>
      <c r="C1380" s="1" t="inlineStr">
        <is>
          <t>ECD 115mm 2 in 1 Electroplated Cutting and Grinding Diamond Blade</t>
        </is>
      </c>
      <c r="D1380" s="1" t="inlineStr">
        <is>
          <t>115mm</t>
        </is>
      </c>
      <c r="E1380" s="1" t="n">
        <v>60.75</v>
      </c>
      <c r="F1380" s="1" t="n">
        <v>0</v>
      </c>
      <c r="G1380" s="1" t="inlineStr">
        <is>
          <t>Unit</t>
        </is>
      </c>
      <c r="H1380" s="1" t="inlineStr">
        <is>
          <t>Accessories</t>
        </is>
      </c>
      <c r="I1380" s="1" t="inlineStr">
        <is>
          <t>-</t>
        </is>
      </c>
      <c r="J1380" t="n">
        <v>60.75</v>
      </c>
      <c r="K1380" t="n">
        <v>60.75</v>
      </c>
      <c r="L1380" t="n">
        <v>60.75</v>
      </c>
    </row>
    <row r="1381">
      <c r="A1381" s="1">
        <f>Hyperlink("https://www.wallsandfloors.co.uk/eesome-luxury-woodstone-grey-tiles","Product")</f>
        <v/>
      </c>
      <c r="B1381" s="1" t="inlineStr">
        <is>
          <t>35044</t>
        </is>
      </c>
      <c r="C1381" s="1" t="inlineStr">
        <is>
          <t>Eesome Luxury Woodstone Grey Tiles</t>
        </is>
      </c>
      <c r="D1381" s="1" t="inlineStr">
        <is>
          <t>1200x233x10.8mm</t>
        </is>
      </c>
      <c r="E1381" s="1" t="n">
        <v>25.95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n">
        <v>25.95</v>
      </c>
      <c r="K1381" t="n">
        <v>25.95</v>
      </c>
      <c r="L1381" t="n">
        <v>25.95</v>
      </c>
    </row>
    <row r="1382">
      <c r="A1382" s="1">
        <f>Hyperlink("https://www.wallsandfloors.co.uk/elation-textured-hexagon-tiles-gold-ore-tiles","Product")</f>
        <v/>
      </c>
      <c r="B1382" s="1" t="inlineStr">
        <is>
          <t>14543</t>
        </is>
      </c>
      <c r="C1382" s="1" t="inlineStr">
        <is>
          <t>Elation Textured Gold Ore Hexagon Tiles</t>
        </is>
      </c>
      <c r="D1382" s="1" t="inlineStr">
        <is>
          <t>330x285x9mm</t>
        </is>
      </c>
      <c r="E1382" s="1" t="n">
        <v>33.95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Gloss</t>
        </is>
      </c>
      <c r="J1382" t="n">
        <v>33.95</v>
      </c>
      <c r="K1382" t="n">
        <v>33.95</v>
      </c>
      <c r="L1382" t="n">
        <v>33.95</v>
      </c>
    </row>
    <row r="1383">
      <c r="A1383" s="1">
        <f>Hyperlink("https://www.wallsandfloors.co.uk/lucy-tiles-bondi-blue-plain-tiles-36132","Product")</f>
        <v/>
      </c>
      <c r="B1383" s="1" t="inlineStr">
        <is>
          <t>13613</t>
        </is>
      </c>
      <c r="C1383" s="1" t="inlineStr">
        <is>
          <t>Bondi Blue Plain Tiles</t>
        </is>
      </c>
      <c r="D1383" s="1" t="inlineStr">
        <is>
          <t>150x150x7mm</t>
        </is>
      </c>
      <c r="E1383" s="1" t="n">
        <v>40.95</v>
      </c>
      <c r="F1383" s="1" t="n">
        <v>0</v>
      </c>
      <c r="G1383" s="1" t="inlineStr">
        <is>
          <t>SQM</t>
        </is>
      </c>
      <c r="H1383" s="1" t="inlineStr">
        <is>
          <t>Ceramic</t>
        </is>
      </c>
      <c r="I1383" s="1" t="inlineStr">
        <is>
          <t>Gloss</t>
        </is>
      </c>
      <c r="J1383" t="n">
        <v>40.95</v>
      </c>
      <c r="K1383" t="n">
        <v>40.95</v>
      </c>
      <c r="L1383" t="n">
        <v>40.95</v>
      </c>
    </row>
    <row r="1384">
      <c r="A1384" s="1">
        <f>Hyperlink("https://www.wallsandfloors.co.uk/ltp-porcelain-tile-protector","Product")</f>
        <v/>
      </c>
      <c r="B1384" s="1" t="inlineStr">
        <is>
          <t>44204</t>
        </is>
      </c>
      <c r="C1384" s="1" t="inlineStr">
        <is>
          <t>LTP Porcelain Tile Protector</t>
        </is>
      </c>
      <c r="D1384" s="1" t="inlineStr">
        <is>
          <t>1 Ltr</t>
        </is>
      </c>
      <c r="E1384" s="1" t="n">
        <v>19.95</v>
      </c>
      <c r="F1384" s="1" t="n">
        <v>0</v>
      </c>
      <c r="G1384" s="1" t="inlineStr">
        <is>
          <t>Unit</t>
        </is>
      </c>
      <c r="H1384" s="1" t="inlineStr">
        <is>
          <t>Sealers and Protectors</t>
        </is>
      </c>
      <c r="I1384" s="1" t="inlineStr">
        <is>
          <t>-</t>
        </is>
      </c>
      <c r="J1384" t="n">
        <v>19.95</v>
      </c>
      <c r="K1384" t="n">
        <v>19.95</v>
      </c>
      <c r="L1384" t="n">
        <v>19.95</v>
      </c>
    </row>
    <row r="1385">
      <c r="A1385" s="1">
        <f>Hyperlink("https://www.wallsandfloors.co.uk/ltp-maintenance-tools-blue-buffing-cloth-2-pack","Product")</f>
        <v/>
      </c>
      <c r="B1385" s="1" t="inlineStr">
        <is>
          <t>13630</t>
        </is>
      </c>
      <c r="C1385" s="1" t="inlineStr">
        <is>
          <t>Blue Buffing Cloth (2 Pack)</t>
        </is>
      </c>
      <c r="D1385" s="1" t="inlineStr">
        <is>
          <t>1 Size</t>
        </is>
      </c>
      <c r="E1385" s="1" t="n">
        <v>5.95</v>
      </c>
      <c r="F1385" s="1" t="n">
        <v>0</v>
      </c>
      <c r="G1385" s="1" t="inlineStr">
        <is>
          <t>Unit</t>
        </is>
      </c>
      <c r="H1385" s="1" t="inlineStr">
        <is>
          <t>Tools</t>
        </is>
      </c>
      <c r="I1385" s="1" t="inlineStr">
        <is>
          <t>-</t>
        </is>
      </c>
      <c r="J1385" t="n">
        <v>5.95</v>
      </c>
      <c r="K1385" t="n">
        <v>5.95</v>
      </c>
      <c r="L1385" t="n">
        <v>5.95</v>
      </c>
    </row>
    <row r="1386">
      <c r="A1386" s="1">
        <f>Hyperlink("https://www.wallsandfloors.co.uk/ltp-cleaning-protecting-ltp-waxwash-tile-maintenance","Product")</f>
        <v/>
      </c>
      <c r="B1386" s="1" t="inlineStr">
        <is>
          <t>11276</t>
        </is>
      </c>
      <c r="C1386" s="1" t="inlineStr">
        <is>
          <t>LTP Waxwash Tile Maintenance</t>
        </is>
      </c>
      <c r="D1386" s="1" t="inlineStr">
        <is>
          <t>1 Ltr</t>
        </is>
      </c>
      <c r="E1386" s="1" t="n">
        <v>8.949999999999999</v>
      </c>
      <c r="F1386" s="1" t="n">
        <v>0</v>
      </c>
      <c r="G1386" s="1" t="inlineStr">
        <is>
          <t>Unit</t>
        </is>
      </c>
      <c r="H1386" s="1" t="inlineStr">
        <is>
          <t>Cleaning and Maintenance</t>
        </is>
      </c>
      <c r="I1386" s="1" t="inlineStr">
        <is>
          <t>-</t>
        </is>
      </c>
      <c r="J1386" t="n">
        <v>8.949999999999999</v>
      </c>
      <c r="K1386" t="n">
        <v>8.949999999999999</v>
      </c>
      <c r="L1386" t="n">
        <v>8.949999999999999</v>
      </c>
    </row>
    <row r="1387">
      <c r="A1387" s="1">
        <f>Hyperlink("https://www.wallsandfloors.co.uk/ltp-cleaning-protecting-ltp-tile-grout-stain-remover","Product")</f>
        <v/>
      </c>
      <c r="B1387" s="1" t="inlineStr">
        <is>
          <t>11275</t>
        </is>
      </c>
      <c r="C1387" s="1" t="inlineStr">
        <is>
          <t>LTP Tile Grout Stain Remover</t>
        </is>
      </c>
      <c r="D1387" s="1" t="inlineStr">
        <is>
          <t>1 Ltr</t>
        </is>
      </c>
      <c r="E1387" s="1" t="n">
        <v>8.449999999999999</v>
      </c>
      <c r="F1387" s="1" t="n">
        <v>0</v>
      </c>
      <c r="G1387" s="1" t="inlineStr">
        <is>
          <t>Unit</t>
        </is>
      </c>
      <c r="H1387" s="1" t="inlineStr">
        <is>
          <t>Cleaning and Maintenance</t>
        </is>
      </c>
      <c r="I1387" s="1" t="inlineStr">
        <is>
          <t>-</t>
        </is>
      </c>
      <c r="J1387" t="inlineStr"/>
      <c r="K1387" t="n">
        <v>8.449999999999999</v>
      </c>
      <c r="L1387" t="n">
        <v>8.449999999999999</v>
      </c>
    </row>
    <row r="1388">
      <c r="A1388" s="1">
        <f>Hyperlink("https://www.wallsandfloors.co.uk/ltp-cleaning-protecting-ltp-tile-glaze-protector","Product")</f>
        <v/>
      </c>
      <c r="B1388" s="1" t="inlineStr">
        <is>
          <t>12527</t>
        </is>
      </c>
      <c r="C1388" s="1" t="inlineStr">
        <is>
          <t>LTP Tile Glaze Protector</t>
        </is>
      </c>
      <c r="D1388" s="1" t="inlineStr">
        <is>
          <t>1 Ltr</t>
        </is>
      </c>
      <c r="E1388" s="1" t="n">
        <v>15.45</v>
      </c>
      <c r="F1388" s="1" t="n">
        <v>0</v>
      </c>
      <c r="G1388" s="1" t="inlineStr">
        <is>
          <t>Unit</t>
        </is>
      </c>
      <c r="H1388" s="1" t="inlineStr">
        <is>
          <t>Sealers and Protectors</t>
        </is>
      </c>
      <c r="I1388" s="1" t="inlineStr">
        <is>
          <t>-</t>
        </is>
      </c>
      <c r="J1388" t="n">
        <v>15.45</v>
      </c>
      <c r="K1388" t="inlineStr"/>
      <c r="L1388" t="n">
        <v>15.45</v>
      </c>
    </row>
    <row r="1389">
      <c r="A1389" s="1">
        <f>Hyperlink("https://www.wallsandfloors.co.uk/ltp-cleaning-protecting-ltp-tile-crackle-glaze-protector","Product")</f>
        <v/>
      </c>
      <c r="B1389" s="1" t="inlineStr">
        <is>
          <t>11237</t>
        </is>
      </c>
      <c r="C1389" s="1" t="inlineStr">
        <is>
          <t>LTP Tile Crackle Glaze Protector</t>
        </is>
      </c>
      <c r="D1389" s="1" t="inlineStr">
        <is>
          <t>500ml</t>
        </is>
      </c>
      <c r="E1389" s="1" t="n">
        <v>11.95</v>
      </c>
      <c r="F1389" s="1" t="n">
        <v>0</v>
      </c>
      <c r="G1389" s="1" t="inlineStr">
        <is>
          <t>Unit</t>
        </is>
      </c>
      <c r="H1389" s="1" t="inlineStr">
        <is>
          <t>Solvent Based</t>
        </is>
      </c>
      <c r="I1389" s="1" t="inlineStr">
        <is>
          <t>-</t>
        </is>
      </c>
      <c r="J1389" t="n">
        <v>11.95</v>
      </c>
      <c r="K1389" t="n">
        <v>11.95</v>
      </c>
      <c r="L1389" t="n">
        <v>11.95</v>
      </c>
    </row>
    <row r="1390">
      <c r="A1390" s="1">
        <f>Hyperlink("https://www.wallsandfloors.co.uk/ltp-cleaning-protecting-ltp-tile-colour-intensifier-11264","Product")</f>
        <v/>
      </c>
      <c r="B1390" s="1" t="inlineStr">
        <is>
          <t>11264</t>
        </is>
      </c>
      <c r="C1390" s="1" t="inlineStr">
        <is>
          <t>LTP Tile Colour Intensifier</t>
        </is>
      </c>
      <c r="D1390" s="1" t="inlineStr">
        <is>
          <t>1 Ltr</t>
        </is>
      </c>
      <c r="E1390" s="1" t="n">
        <v>15.95</v>
      </c>
      <c r="F1390" s="1" t="n">
        <v>0</v>
      </c>
      <c r="G1390" s="1" t="inlineStr">
        <is>
          <t>Unit</t>
        </is>
      </c>
      <c r="H1390" s="1" t="inlineStr">
        <is>
          <t>Sealers and Protectors</t>
        </is>
      </c>
      <c r="I1390" s="1" t="inlineStr">
        <is>
          <t>-</t>
        </is>
      </c>
      <c r="J1390" t="n">
        <v>15.95</v>
      </c>
      <c r="K1390" t="n">
        <v>15.95</v>
      </c>
      <c r="L1390" t="n">
        <v>15.95</v>
      </c>
    </row>
    <row r="1391">
      <c r="A1391" s="1">
        <f>Hyperlink("https://www.wallsandfloors.co.uk/ltp-cleaning-protecting-ltp-solvex","Product")</f>
        <v/>
      </c>
      <c r="B1391" s="1" t="inlineStr">
        <is>
          <t>15037</t>
        </is>
      </c>
      <c r="C1391" s="1" t="inlineStr">
        <is>
          <t>LTP Solvex</t>
        </is>
      </c>
      <c r="D1391" s="1" t="inlineStr">
        <is>
          <t>1 Ltr</t>
        </is>
      </c>
      <c r="E1391" s="1" t="n">
        <v>14.45</v>
      </c>
      <c r="F1391" s="1" t="n">
        <v>0</v>
      </c>
      <c r="G1391" s="1" t="inlineStr">
        <is>
          <t>Unit</t>
        </is>
      </c>
      <c r="H1391" s="1" t="inlineStr">
        <is>
          <t>Accessories</t>
        </is>
      </c>
      <c r="I1391" s="1" t="inlineStr">
        <is>
          <t>-</t>
        </is>
      </c>
      <c r="J1391" t="n">
        <v>14.45</v>
      </c>
      <c r="K1391" t="inlineStr"/>
      <c r="L1391" t="n">
        <v>14.45</v>
      </c>
    </row>
    <row r="1392">
      <c r="A1392" s="1">
        <f>Hyperlink("https://www.wallsandfloors.co.uk/ltp-cleaning-protecting-ltp-power-stripper","Product")</f>
        <v/>
      </c>
      <c r="B1392" s="1" t="inlineStr">
        <is>
          <t>14709</t>
        </is>
      </c>
      <c r="C1392" s="1" t="inlineStr">
        <is>
          <t>LTP Power Stripper</t>
        </is>
      </c>
      <c r="D1392" s="1" t="inlineStr">
        <is>
          <t>1 Ltr</t>
        </is>
      </c>
      <c r="E1392" s="1" t="n">
        <v>13.95</v>
      </c>
      <c r="F1392" s="1" t="n">
        <v>0</v>
      </c>
      <c r="G1392" s="1" t="inlineStr">
        <is>
          <t>Unit</t>
        </is>
      </c>
      <c r="H1392" s="1" t="inlineStr">
        <is>
          <t>Accessories</t>
        </is>
      </c>
      <c r="I1392" s="1" t="inlineStr">
        <is>
          <t>-</t>
        </is>
      </c>
      <c r="J1392" t="n">
        <v>13.95</v>
      </c>
      <c r="K1392" t="n">
        <v>13.95</v>
      </c>
      <c r="L1392" t="n">
        <v>13.95</v>
      </c>
    </row>
    <row r="1393">
      <c r="A1393" s="1">
        <f>Hyperlink("https://www.wallsandfloors.co.uk/lucy-tiles-catalina-blue-torelo-border-tile","Product")</f>
        <v/>
      </c>
      <c r="B1393" s="1" t="inlineStr">
        <is>
          <t>13617</t>
        </is>
      </c>
      <c r="C1393" s="1" t="inlineStr">
        <is>
          <t>Catalina Blue Torelo Border Tile</t>
        </is>
      </c>
      <c r="D1393" s="1" t="inlineStr">
        <is>
          <t>150x20x7mm</t>
        </is>
      </c>
      <c r="E1393" s="1" t="n">
        <v>4.75</v>
      </c>
      <c r="F1393" s="1" t="n">
        <v>0</v>
      </c>
      <c r="G1393" s="1" t="inlineStr">
        <is>
          <t>Tile</t>
        </is>
      </c>
      <c r="H1393" s="1" t="inlineStr">
        <is>
          <t>Ceramic</t>
        </is>
      </c>
      <c r="I1393" s="1" t="inlineStr">
        <is>
          <t>Gloss</t>
        </is>
      </c>
      <c r="J1393" t="n">
        <v>4.75</v>
      </c>
      <c r="K1393" t="inlineStr"/>
      <c r="L1393" t="n">
        <v>4.75</v>
      </c>
    </row>
    <row r="1394">
      <c r="A1394" s="1">
        <f>Hyperlink("https://www.wallsandfloors.co.uk/ltp-cleaning-protecting-ltp-porcelain-tile-cleaner-1ltr","Product")</f>
        <v/>
      </c>
      <c r="B1394" s="1" t="inlineStr">
        <is>
          <t>14209</t>
        </is>
      </c>
      <c r="C1394" s="1" t="inlineStr">
        <is>
          <t>LTP Porcelain Tile Cleaner 1Ltr</t>
        </is>
      </c>
      <c r="D1394" s="1" t="inlineStr">
        <is>
          <t>1 Ltr</t>
        </is>
      </c>
      <c r="E1394" s="1" t="n">
        <v>9.449999999999999</v>
      </c>
      <c r="F1394" s="1" t="n">
        <v>0</v>
      </c>
      <c r="G1394" s="1" t="inlineStr">
        <is>
          <t>Unit</t>
        </is>
      </c>
      <c r="H1394" s="1" t="inlineStr">
        <is>
          <t>Accessories</t>
        </is>
      </c>
      <c r="I1394" s="1" t="inlineStr">
        <is>
          <t>-</t>
        </is>
      </c>
      <c r="J1394" t="n">
        <v>9.449999999999999</v>
      </c>
      <c r="K1394" t="inlineStr"/>
      <c r="L1394" t="n">
        <v>9.449999999999999</v>
      </c>
    </row>
    <row r="1395">
      <c r="A1395" s="1">
        <f>Hyperlink("https://www.wallsandfloors.co.uk/ltp-cleaning-protecting-ltp-mpg-tile-sealer","Product")</f>
        <v/>
      </c>
      <c r="B1395" s="1" t="inlineStr">
        <is>
          <t>11269</t>
        </is>
      </c>
      <c r="C1395" s="1" t="inlineStr">
        <is>
          <t>LTP MPG Tile Sealer</t>
        </is>
      </c>
      <c r="D1395" s="1" t="inlineStr">
        <is>
          <t>500ml</t>
        </is>
      </c>
      <c r="E1395" s="1" t="n">
        <v>12.45</v>
      </c>
      <c r="F1395" s="1" t="n">
        <v>0</v>
      </c>
      <c r="G1395" s="1" t="inlineStr">
        <is>
          <t>Unit</t>
        </is>
      </c>
      <c r="H1395" s="1" t="inlineStr">
        <is>
          <t>Sealers and Protectors</t>
        </is>
      </c>
      <c r="I1395" s="1" t="inlineStr">
        <is>
          <t>-</t>
        </is>
      </c>
      <c r="J1395" t="inlineStr"/>
      <c r="K1395" t="n">
        <v>12.45</v>
      </c>
      <c r="L1395" t="n">
        <v>12.45</v>
      </c>
    </row>
    <row r="1396">
      <c r="A1396" s="1">
        <f>Hyperlink("https://www.wallsandfloors.co.uk/ltp-cleaning-protecting-ltp-mouldex-spray-500ml","Product")</f>
        <v/>
      </c>
      <c r="B1396" s="1" t="inlineStr">
        <is>
          <t>14537</t>
        </is>
      </c>
      <c r="C1396" s="1" t="inlineStr">
        <is>
          <t>LTP Mouldex Spray 500ml</t>
        </is>
      </c>
      <c r="D1396" s="1" t="inlineStr">
        <is>
          <t>500ml</t>
        </is>
      </c>
      <c r="E1396" s="1" t="n">
        <v>8.449999999999999</v>
      </c>
      <c r="F1396" s="1" t="n">
        <v>0</v>
      </c>
      <c r="G1396" s="1" t="inlineStr">
        <is>
          <t>Unit</t>
        </is>
      </c>
      <c r="H1396" s="1" t="inlineStr">
        <is>
          <t>Accessories</t>
        </is>
      </c>
      <c r="I1396" s="1" t="inlineStr">
        <is>
          <t>-</t>
        </is>
      </c>
      <c r="J1396" t="n">
        <v>8.449999999999999</v>
      </c>
      <c r="K1396" t="n">
        <v>8.449999999999999</v>
      </c>
      <c r="L1396" t="n">
        <v>8.449999999999999</v>
      </c>
    </row>
    <row r="1397">
      <c r="A1397" s="1">
        <f>Hyperlink("https://www.wallsandfloors.co.uk/ltp-cleaning-protecting-ltp-mattstone-tile-sealer-11257","Product")</f>
        <v/>
      </c>
      <c r="B1397" s="1" t="inlineStr">
        <is>
          <t>11257</t>
        </is>
      </c>
      <c r="C1397" s="1" t="inlineStr">
        <is>
          <t>LTP Mattstone Tile Sealer</t>
        </is>
      </c>
      <c r="D1397" s="1" t="inlineStr">
        <is>
          <t>5 Ltr</t>
        </is>
      </c>
      <c r="E1397" s="1" t="n">
        <v>59.95</v>
      </c>
      <c r="F1397" s="1" t="n">
        <v>0</v>
      </c>
      <c r="G1397" s="1" t="inlineStr"/>
      <c r="H1397" s="1" t="inlineStr">
        <is>
          <t>Sealers and Protectors</t>
        </is>
      </c>
      <c r="I1397" s="1" t="inlineStr">
        <is>
          <t>-</t>
        </is>
      </c>
      <c r="J1397" t="n">
        <v>59.95</v>
      </c>
      <c r="K1397" t="n">
        <v>59.95</v>
      </c>
      <c r="L1397" t="n">
        <v>59.95</v>
      </c>
    </row>
    <row r="1398">
      <c r="A1398" s="1">
        <f>Hyperlink("https://www.wallsandfloors.co.uk/ltp-cleaning-protecting-ltp-mattstone-tile-sealer-11256","Product")</f>
        <v/>
      </c>
      <c r="B1398" s="1" t="inlineStr">
        <is>
          <t>11256</t>
        </is>
      </c>
      <c r="C1398" s="1" t="inlineStr">
        <is>
          <t>LTP Mattstone Tile Sealer</t>
        </is>
      </c>
      <c r="D1398" s="1" t="inlineStr">
        <is>
          <t>1 Ltr</t>
        </is>
      </c>
      <c r="E1398" s="1" t="n">
        <v>14.45</v>
      </c>
      <c r="F1398" s="1" t="n">
        <v>0</v>
      </c>
      <c r="G1398" s="1" t="inlineStr">
        <is>
          <t>Unit</t>
        </is>
      </c>
      <c r="H1398" s="1" t="inlineStr">
        <is>
          <t>Sealers and Protectors</t>
        </is>
      </c>
      <c r="I1398" s="1" t="inlineStr">
        <is>
          <t>-</t>
        </is>
      </c>
      <c r="J1398" t="inlineStr"/>
      <c r="K1398" t="inlineStr"/>
      <c r="L1398" t="n">
        <v>14.45</v>
      </c>
    </row>
    <row r="1399">
      <c r="A1399" s="1">
        <f>Hyperlink("https://www.wallsandfloors.co.uk/ltp-cleaning-protecting-ltp-mattstone-tile-sealer","Product")</f>
        <v/>
      </c>
      <c r="B1399" s="1" t="inlineStr">
        <is>
          <t>11255</t>
        </is>
      </c>
      <c r="C1399" s="1" t="inlineStr">
        <is>
          <t>LTP Mattstone Tile Sealer</t>
        </is>
      </c>
      <c r="D1399" s="1" t="inlineStr">
        <is>
          <t>500ml</t>
        </is>
      </c>
      <c r="E1399" s="1" t="n">
        <v>13.95</v>
      </c>
      <c r="F1399" s="1" t="n">
        <v>0</v>
      </c>
      <c r="G1399" s="1" t="inlineStr">
        <is>
          <t>Unit</t>
        </is>
      </c>
      <c r="H1399" s="1" t="inlineStr">
        <is>
          <t>Sealers and Protectors</t>
        </is>
      </c>
      <c r="I1399" s="1" t="inlineStr">
        <is>
          <t>-</t>
        </is>
      </c>
      <c r="J1399" t="n">
        <v>13.95</v>
      </c>
      <c r="K1399" t="inlineStr"/>
      <c r="L1399" t="n">
        <v>13.95</v>
      </c>
    </row>
    <row r="1400">
      <c r="A1400" s="1">
        <f>Hyperlink("https://www.wallsandfloors.co.uk/ltp-cleaning-protecting-ltp-mattstone-h20-tile-sealer","Product")</f>
        <v/>
      </c>
      <c r="B1400" s="1" t="inlineStr">
        <is>
          <t>11271</t>
        </is>
      </c>
      <c r="C1400" s="1" t="inlineStr">
        <is>
          <t>LTP Mattstone H2O Tile Sealer</t>
        </is>
      </c>
      <c r="D1400" s="1" t="inlineStr">
        <is>
          <t>1 Ltr</t>
        </is>
      </c>
      <c r="E1400" s="1" t="n">
        <v>21.95</v>
      </c>
      <c r="F1400" s="1" t="n">
        <v>0</v>
      </c>
      <c r="G1400" s="1" t="inlineStr">
        <is>
          <t>Unit</t>
        </is>
      </c>
      <c r="H1400" s="1" t="inlineStr">
        <is>
          <t>Sealers and Protectors</t>
        </is>
      </c>
      <c r="I1400" s="1" t="inlineStr">
        <is>
          <t>-</t>
        </is>
      </c>
      <c r="J1400" t="n">
        <v>21.95</v>
      </c>
      <c r="K1400" t="n">
        <v>21.95</v>
      </c>
      <c r="L1400" t="n">
        <v>21.95</v>
      </c>
    </row>
    <row r="1401">
      <c r="A1401" s="1">
        <f>Hyperlink("https://www.wallsandfloors.co.uk/ltp-cleaning-protecting-ltp-ironwax-satin-tile-sealer","Product")</f>
        <v/>
      </c>
      <c r="B1401" s="1" t="inlineStr">
        <is>
          <t>11266</t>
        </is>
      </c>
      <c r="C1401" s="1" t="inlineStr">
        <is>
          <t>LTP Ironwax Satin Tile Sealer</t>
        </is>
      </c>
      <c r="D1401" s="1" t="inlineStr">
        <is>
          <t>1 Ltr</t>
        </is>
      </c>
      <c r="E1401" s="1" t="n">
        <v>13.45</v>
      </c>
      <c r="F1401" s="1" t="n">
        <v>0</v>
      </c>
      <c r="G1401" s="1" t="inlineStr">
        <is>
          <t>Unit</t>
        </is>
      </c>
      <c r="H1401" s="1" t="inlineStr">
        <is>
          <t>Sealers and Protectors</t>
        </is>
      </c>
      <c r="I1401" s="1" t="inlineStr">
        <is>
          <t>-</t>
        </is>
      </c>
      <c r="J1401" t="n">
        <v>13.45</v>
      </c>
      <c r="K1401" t="n">
        <v>13.45</v>
      </c>
      <c r="L1401" t="n">
        <v>13.45</v>
      </c>
    </row>
    <row r="1402">
      <c r="A1402" s="1">
        <f>Hyperlink("https://www.wallsandfloors.co.uk/ltp-cleaning-protecting-ltp-ironwax-gloss-tile-sealer","Product")</f>
        <v/>
      </c>
      <c r="B1402" s="1" t="inlineStr">
        <is>
          <t>14041</t>
        </is>
      </c>
      <c r="C1402" s="1" t="inlineStr">
        <is>
          <t>LTP Ironwax Gloss Tile Sealer</t>
        </is>
      </c>
      <c r="D1402" s="1" t="inlineStr">
        <is>
          <t>1 Ltr</t>
        </is>
      </c>
      <c r="E1402" s="1" t="n">
        <v>13.45</v>
      </c>
      <c r="F1402" s="1" t="n">
        <v>0</v>
      </c>
      <c r="G1402" s="1" t="inlineStr"/>
      <c r="H1402" s="1" t="inlineStr">
        <is>
          <t>Accessories</t>
        </is>
      </c>
      <c r="I1402" s="1" t="inlineStr">
        <is>
          <t>-</t>
        </is>
      </c>
      <c r="J1402" t="n">
        <v>13.45</v>
      </c>
      <c r="K1402" t="n">
        <v>13.45</v>
      </c>
      <c r="L1402" t="n">
        <v>13.45</v>
      </c>
    </row>
    <row r="1403">
      <c r="A1403" s="1">
        <f>Hyperlink("https://www.wallsandfloors.co.uk/ltp-cleaning-protecting-ltp-grout-tile-protector-sealer","Product")</f>
        <v/>
      </c>
      <c r="B1403" s="1" t="inlineStr">
        <is>
          <t>11268</t>
        </is>
      </c>
      <c r="C1403" s="1" t="inlineStr">
        <is>
          <t>LTP Grout &amp; Tile Protector (Sealer)</t>
        </is>
      </c>
      <c r="D1403" s="1" t="inlineStr">
        <is>
          <t>600ml</t>
        </is>
      </c>
      <c r="E1403" s="1" t="n">
        <v>14.95</v>
      </c>
      <c r="F1403" s="1" t="n">
        <v>0</v>
      </c>
      <c r="G1403" s="1" t="inlineStr">
        <is>
          <t>Unit</t>
        </is>
      </c>
      <c r="H1403" s="1" t="inlineStr">
        <is>
          <t>Sealers and Protectors</t>
        </is>
      </c>
      <c r="I1403" s="1" t="inlineStr">
        <is>
          <t>-</t>
        </is>
      </c>
      <c r="J1403" t="inlineStr"/>
      <c r="K1403" t="n">
        <v>14.95</v>
      </c>
      <c r="L1403" t="n">
        <v>14.95</v>
      </c>
    </row>
    <row r="1404">
      <c r="A1404" s="1">
        <f>Hyperlink("https://www.wallsandfloors.co.uk/ltp-cleaning-protecting-ltp-grimex-intensive-tile-cleaner","Product")</f>
        <v/>
      </c>
      <c r="B1404" s="1" t="inlineStr">
        <is>
          <t>11274</t>
        </is>
      </c>
      <c r="C1404" s="1" t="inlineStr">
        <is>
          <t>LTP Grimex Intensive Tile Cleaner</t>
        </is>
      </c>
      <c r="D1404" s="1" t="inlineStr">
        <is>
          <t>1 Ltr</t>
        </is>
      </c>
      <c r="E1404" s="1" t="n">
        <v>8.449999999999999</v>
      </c>
      <c r="F1404" s="1" t="n">
        <v>0</v>
      </c>
      <c r="G1404" s="1" t="inlineStr">
        <is>
          <t>Unit</t>
        </is>
      </c>
      <c r="H1404" s="1" t="inlineStr">
        <is>
          <t>Cleaning and Maintenance</t>
        </is>
      </c>
      <c r="I1404" s="1" t="inlineStr">
        <is>
          <t>-</t>
        </is>
      </c>
      <c r="J1404" t="inlineStr"/>
      <c r="K1404" t="n">
        <v>8.449999999999999</v>
      </c>
      <c r="L1404" t="n">
        <v>8.449999999999999</v>
      </c>
    </row>
    <row r="1405">
      <c r="A1405" s="1">
        <f>Hyperlink("https://www.wallsandfloors.co.uk/ltp-cleaning-protecting-ltp-mpg-tile-sealer-11270","Product")</f>
        <v/>
      </c>
      <c r="B1405" s="1" t="inlineStr">
        <is>
          <t>11270</t>
        </is>
      </c>
      <c r="C1405" s="1" t="inlineStr">
        <is>
          <t>LTP MPG Tile Sealer</t>
        </is>
      </c>
      <c r="D1405" s="1" t="inlineStr">
        <is>
          <t>1 Ltr</t>
        </is>
      </c>
      <c r="E1405" s="1" t="n">
        <v>18.45</v>
      </c>
      <c r="F1405" s="1" t="n">
        <v>0</v>
      </c>
      <c r="G1405" s="1" t="inlineStr"/>
      <c r="H1405" s="1" t="inlineStr">
        <is>
          <t>Sealers and Protectors</t>
        </is>
      </c>
      <c r="I1405" s="1" t="inlineStr">
        <is>
          <t>-</t>
        </is>
      </c>
      <c r="J1405" t="n">
        <v>18.45</v>
      </c>
      <c r="K1405" t="n">
        <v>18.45</v>
      </c>
      <c r="L1405" t="n">
        <v>18.45</v>
      </c>
    </row>
    <row r="1406">
      <c r="A1406" s="1">
        <f>Hyperlink("https://www.wallsandfloors.co.uk/lucy-tiles-isabelline-white-tile","Product")</f>
        <v/>
      </c>
      <c r="B1406" s="1" t="inlineStr">
        <is>
          <t>13619</t>
        </is>
      </c>
      <c r="C1406" s="1" t="inlineStr">
        <is>
          <t>Isabelline White Tile</t>
        </is>
      </c>
      <c r="D1406" s="1" t="inlineStr">
        <is>
          <t>150x150x7mm</t>
        </is>
      </c>
      <c r="E1406" s="1" t="n">
        <v>40.95</v>
      </c>
      <c r="F1406" s="1" t="n">
        <v>0</v>
      </c>
      <c r="G1406" s="1" t="inlineStr">
        <is>
          <t>SQM</t>
        </is>
      </c>
      <c r="H1406" s="1" t="inlineStr">
        <is>
          <t>Ceramic</t>
        </is>
      </c>
      <c r="I1406" s="1" t="inlineStr">
        <is>
          <t>Gloss</t>
        </is>
      </c>
      <c r="J1406" t="n">
        <v>40.95</v>
      </c>
      <c r="K1406" t="n">
        <v>40.95</v>
      </c>
      <c r="L1406" t="n">
        <v>40.95</v>
      </c>
    </row>
    <row r="1407">
      <c r="A1407" s="1">
        <f>Hyperlink("https://www.wallsandfloors.co.uk/lucy-tiles-lucy-floweret-decor-tile","Product")</f>
        <v/>
      </c>
      <c r="B1407" s="1" t="inlineStr">
        <is>
          <t>13612</t>
        </is>
      </c>
      <c r="C1407" s="1" t="inlineStr">
        <is>
          <t>Lucy Floweret Decor Tile</t>
        </is>
      </c>
      <c r="D1407" s="1" t="inlineStr">
        <is>
          <t>150x150x7mm</t>
        </is>
      </c>
      <c r="E1407" s="1" t="n">
        <v>70.95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Gloss</t>
        </is>
      </c>
      <c r="J1407" t="inlineStr"/>
      <c r="K1407" t="n">
        <v>70.95</v>
      </c>
      <c r="L1407" t="n">
        <v>70.95</v>
      </c>
    </row>
    <row r="1408">
      <c r="A1408" s="1">
        <f>Hyperlink("https://www.wallsandfloors.co.uk/luster-mosaic-tiles-copper-mosaic-tiles","Product")</f>
        <v/>
      </c>
      <c r="B1408" s="1" t="inlineStr">
        <is>
          <t>14095</t>
        </is>
      </c>
      <c r="C1408" s="1" t="inlineStr">
        <is>
          <t>Lustre Copper Mosaic Tiles</t>
        </is>
      </c>
      <c r="D1408" s="1" t="inlineStr">
        <is>
          <t>330x330x3mm</t>
        </is>
      </c>
      <c r="E1408" s="1" t="n">
        <v>20.95</v>
      </c>
      <c r="F1408" s="1" t="n">
        <v>0</v>
      </c>
      <c r="G1408" s="1" t="inlineStr">
        <is>
          <t>Sheet</t>
        </is>
      </c>
      <c r="H1408" s="1" t="inlineStr">
        <is>
          <t>Glass</t>
        </is>
      </c>
      <c r="I1408" s="1" t="inlineStr">
        <is>
          <t>Semi-Polished</t>
        </is>
      </c>
      <c r="J1408" t="n">
        <v>20.95</v>
      </c>
      <c r="K1408" t="n">
        <v>20.95</v>
      </c>
      <c r="L1408" t="n">
        <v>20.95</v>
      </c>
    </row>
    <row r="1409">
      <c r="A1409" s="1">
        <f>Hyperlink("https://www.wallsandfloors.co.uk/mapei-adhesive-mapeker-rapid-set-flex-white-tile-adhesive","Product")</f>
        <v/>
      </c>
      <c r="B1409" s="1" t="inlineStr">
        <is>
          <t>10656</t>
        </is>
      </c>
      <c r="C1409" s="1" t="inlineStr">
        <is>
          <t>Mapeker Rapid-Set Flex White Tile Adhesive</t>
        </is>
      </c>
      <c r="D1409" s="1" t="inlineStr">
        <is>
          <t>20 Kg</t>
        </is>
      </c>
      <c r="E1409" s="1" t="n">
        <v>23.47</v>
      </c>
      <c r="F1409" s="1" t="n">
        <v>0</v>
      </c>
      <c r="G1409" s="1" t="inlineStr">
        <is>
          <t>Unit</t>
        </is>
      </c>
      <c r="H1409" s="1" t="inlineStr">
        <is>
          <t>Adhesive</t>
        </is>
      </c>
      <c r="I1409" s="1" t="inlineStr">
        <is>
          <t>-</t>
        </is>
      </c>
      <c r="J1409" t="n">
        <v>23.47</v>
      </c>
      <c r="K1409" t="n">
        <v>23.47</v>
      </c>
      <c r="L1409" t="n">
        <v>23.47</v>
      </c>
    </row>
    <row r="1410">
      <c r="A1410" s="1">
        <f>Hyperlink("https://www.wallsandfloors.co.uk/mapei-adhesive-mapeker-rapid-set-flex-grey-tile-adhesive","Product")</f>
        <v/>
      </c>
      <c r="B1410" s="1" t="inlineStr">
        <is>
          <t>10655</t>
        </is>
      </c>
      <c r="C1410" s="1" t="inlineStr">
        <is>
          <t>Mapeker Rapid-Set Flex Grey Tile Adhesive</t>
        </is>
      </c>
      <c r="D1410" s="1" t="inlineStr">
        <is>
          <t>20 Kg</t>
        </is>
      </c>
      <c r="E1410" s="1" t="n">
        <v>17.95</v>
      </c>
      <c r="F1410" s="1" t="n">
        <v>0</v>
      </c>
      <c r="G1410" s="1" t="inlineStr">
        <is>
          <t>Unit</t>
        </is>
      </c>
      <c r="H1410" s="1" t="inlineStr">
        <is>
          <t>Adhesive</t>
        </is>
      </c>
      <c r="I1410" s="1" t="inlineStr">
        <is>
          <t>-</t>
        </is>
      </c>
      <c r="J1410" t="inlineStr"/>
      <c r="K1410" t="n">
        <v>17.95</v>
      </c>
      <c r="L1410" t="n">
        <v>17.95</v>
      </c>
    </row>
    <row r="1411">
      <c r="A1411" s="1">
        <f>Hyperlink("https://www.wallsandfloors.co.uk/mapei-adhesive-mapegrip-d2-tile-adhesive","Product")</f>
        <v/>
      </c>
      <c r="B1411" s="1" t="inlineStr">
        <is>
          <t>10653</t>
        </is>
      </c>
      <c r="C1411" s="1" t="inlineStr">
        <is>
          <t>Mapegrip D2 Tile Adhesive</t>
        </is>
      </c>
      <c r="D1411" s="1" t="inlineStr">
        <is>
          <t>15 Kg</t>
        </is>
      </c>
      <c r="E1411" s="1" t="n">
        <v>14.95</v>
      </c>
      <c r="F1411" s="1" t="n">
        <v>0</v>
      </c>
      <c r="G1411" s="1" t="inlineStr">
        <is>
          <t>Unit</t>
        </is>
      </c>
      <c r="H1411" s="1" t="inlineStr">
        <is>
          <t>Adhesive</t>
        </is>
      </c>
      <c r="I1411" s="1" t="inlineStr">
        <is>
          <t>-</t>
        </is>
      </c>
      <c r="J1411" t="inlineStr"/>
      <c r="K1411" t="n">
        <v>14.95</v>
      </c>
      <c r="L1411" t="n">
        <v>14.95</v>
      </c>
    </row>
    <row r="1412">
      <c r="A1412" s="1">
        <f>Hyperlink("https://www.wallsandfloors.co.uk/mapei-adhesive-keraquick-white-tile-adhesive","Product")</f>
        <v/>
      </c>
      <c r="B1412" s="1" t="inlineStr">
        <is>
          <t>10651</t>
        </is>
      </c>
      <c r="C1412" s="1" t="inlineStr">
        <is>
          <t>Keraquick White Tile Adhesive</t>
        </is>
      </c>
      <c r="D1412" s="1" t="inlineStr">
        <is>
          <t>20 Kg</t>
        </is>
      </c>
      <c r="E1412" s="1" t="n">
        <v>24.95</v>
      </c>
      <c r="F1412" s="1" t="n">
        <v>0</v>
      </c>
      <c r="G1412" s="1" t="inlineStr">
        <is>
          <t>Unit</t>
        </is>
      </c>
      <c r="H1412" s="1" t="inlineStr">
        <is>
          <t>Adhesive</t>
        </is>
      </c>
      <c r="I1412" s="1" t="inlineStr">
        <is>
          <t>-</t>
        </is>
      </c>
      <c r="J1412" t="n">
        <v>24.95</v>
      </c>
      <c r="K1412" t="inlineStr"/>
      <c r="L1412" t="n">
        <v>24.95</v>
      </c>
    </row>
    <row r="1413">
      <c r="A1413" s="1">
        <f>Hyperlink("https://www.wallsandfloors.co.uk/mapei-adhesive-keraflex-maxi-white-tile-adhesive","Product")</f>
        <v/>
      </c>
      <c r="B1413" s="1" t="inlineStr">
        <is>
          <t>10649</t>
        </is>
      </c>
      <c r="C1413" s="1" t="inlineStr">
        <is>
          <t>Keraflex Maxi White Tile Adhesive</t>
        </is>
      </c>
      <c r="D1413" s="1" t="inlineStr">
        <is>
          <t>20 Kg</t>
        </is>
      </c>
      <c r="E1413" s="1" t="n">
        <v>19.95</v>
      </c>
      <c r="F1413" s="1" t="n">
        <v>0</v>
      </c>
      <c r="G1413" s="1" t="inlineStr">
        <is>
          <t>Unit</t>
        </is>
      </c>
      <c r="H1413" s="1" t="inlineStr">
        <is>
          <t>Adhesive</t>
        </is>
      </c>
      <c r="I1413" s="1" t="inlineStr">
        <is>
          <t>-</t>
        </is>
      </c>
      <c r="J1413" t="inlineStr"/>
      <c r="K1413" t="inlineStr"/>
      <c r="L1413" t="n">
        <v>19.95</v>
      </c>
    </row>
    <row r="1414">
      <c r="A1414" s="1">
        <f>Hyperlink("https://www.wallsandfloors.co.uk/manual-tile-cutters-ts-75-plus-tile-cutter","Product")</f>
        <v/>
      </c>
      <c r="B1414" s="1" t="inlineStr">
        <is>
          <t>9673</t>
        </is>
      </c>
      <c r="C1414" s="1" t="inlineStr">
        <is>
          <t>TS-75 Max Tile Cutter Grey</t>
        </is>
      </c>
      <c r="D1414" s="1" t="inlineStr">
        <is>
          <t>660mm</t>
        </is>
      </c>
      <c r="E1414" s="1" t="n">
        <v>395.25</v>
      </c>
      <c r="F1414" s="1" t="n">
        <v>0</v>
      </c>
      <c r="G1414" s="1" t="inlineStr">
        <is>
          <t>Unit</t>
        </is>
      </c>
      <c r="H1414" s="1" t="inlineStr">
        <is>
          <t>Manual Tile Cutters</t>
        </is>
      </c>
      <c r="I1414" s="1" t="inlineStr">
        <is>
          <t>-</t>
        </is>
      </c>
      <c r="J1414" t="inlineStr"/>
      <c r="K1414" t="n">
        <v>395.25</v>
      </c>
      <c r="L1414" t="n">
        <v>395.25</v>
      </c>
    </row>
    <row r="1415">
      <c r="A1415" s="1">
        <f>Hyperlink("https://www.wallsandfloors.co.uk/manual-tile-cutters-ts-66-max-tile-cutter","Product")</f>
        <v/>
      </c>
      <c r="B1415" s="1" t="inlineStr">
        <is>
          <t>9069</t>
        </is>
      </c>
      <c r="C1415" s="1" t="inlineStr">
        <is>
          <t>TS-66 Max Tile Cutter Grey</t>
        </is>
      </c>
      <c r="D1415" s="1" t="inlineStr">
        <is>
          <t>660mm</t>
        </is>
      </c>
      <c r="E1415" s="1" t="n">
        <v>338.75</v>
      </c>
      <c r="F1415" s="1" t="n">
        <v>0</v>
      </c>
      <c r="G1415" s="1" t="inlineStr">
        <is>
          <t>Unit</t>
        </is>
      </c>
      <c r="H1415" s="1" t="inlineStr">
        <is>
          <t>Manual Tile Cutters</t>
        </is>
      </c>
      <c r="I1415" s="1" t="inlineStr">
        <is>
          <t>-</t>
        </is>
      </c>
      <c r="J1415" t="n">
        <v>338.75</v>
      </c>
      <c r="K1415" t="n">
        <v>338.75</v>
      </c>
      <c r="L1415" t="n">
        <v>338.75</v>
      </c>
    </row>
    <row r="1416">
      <c r="A1416" s="1">
        <f>Hyperlink("https://www.wallsandfloors.co.uk/malone-black-and-white-pattern-tiles","Product")</f>
        <v/>
      </c>
      <c r="B1416" s="1" t="inlineStr">
        <is>
          <t>39855</t>
        </is>
      </c>
      <c r="C1416" s="1" t="inlineStr">
        <is>
          <t>Malone Black &amp; White Tiles</t>
        </is>
      </c>
      <c r="D1416" s="1" t="inlineStr">
        <is>
          <t>450x450x9mm</t>
        </is>
      </c>
      <c r="E1416" s="1" t="n">
        <v>20.95</v>
      </c>
      <c r="F1416" s="1" t="n">
        <v>0</v>
      </c>
      <c r="G1416" s="1" t="inlineStr">
        <is>
          <t>SQM</t>
        </is>
      </c>
      <c r="H1416" s="1" t="inlineStr">
        <is>
          <t>Ceramic</t>
        </is>
      </c>
      <c r="I1416" s="1" t="inlineStr">
        <is>
          <t>-</t>
        </is>
      </c>
      <c r="J1416" t="n">
        <v>20.95</v>
      </c>
      <c r="K1416" t="inlineStr"/>
      <c r="L1416" t="n">
        <v>20.95</v>
      </c>
    </row>
    <row r="1417">
      <c r="A1417" s="1">
        <f>Hyperlink("https://www.wallsandfloors.co.uk/malham-limestone-effect-ivory-tiles","Product")</f>
        <v/>
      </c>
      <c r="B1417" s="1" t="inlineStr">
        <is>
          <t>36557</t>
        </is>
      </c>
      <c r="C1417" s="1" t="inlineStr">
        <is>
          <t>Malham Limestone Effect Ivory Tiles</t>
        </is>
      </c>
      <c r="D1417" s="1" t="inlineStr">
        <is>
          <t>750x250x9.5mm</t>
        </is>
      </c>
      <c r="E1417" s="1" t="n">
        <v>23.95</v>
      </c>
      <c r="F1417" s="1" t="n">
        <v>0</v>
      </c>
      <c r="G1417" s="1" t="inlineStr">
        <is>
          <t>SQM</t>
        </is>
      </c>
      <c r="H1417" s="1" t="inlineStr">
        <is>
          <t>Ceramic</t>
        </is>
      </c>
      <c r="I1417" s="1" t="inlineStr">
        <is>
          <t>Matt</t>
        </is>
      </c>
      <c r="J1417" t="n">
        <v>23.95</v>
      </c>
      <c r="K1417" t="n">
        <v>23.95</v>
      </c>
      <c r="L1417" t="n">
        <v>23.95</v>
      </c>
    </row>
    <row r="1418">
      <c r="A1418" s="1">
        <f>Hyperlink("https://www.wallsandfloors.co.uk/majolica-grisaille-tiles","Product")</f>
        <v/>
      </c>
      <c r="B1418" s="1" t="inlineStr">
        <is>
          <t>39067</t>
        </is>
      </c>
      <c r="C1418" s="1" t="inlineStr">
        <is>
          <t>Majolica Grisaille Tiles</t>
        </is>
      </c>
      <c r="D1418" s="1" t="inlineStr">
        <is>
          <t>450x450x10.5mm</t>
        </is>
      </c>
      <c r="E1418" s="1" t="n">
        <v>26.95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Matt</t>
        </is>
      </c>
      <c r="J1418" t="n">
        <v>26.95</v>
      </c>
      <c r="K1418" t="n">
        <v>26.95</v>
      </c>
      <c r="L1418" t="n">
        <v>26.95</v>
      </c>
    </row>
    <row r="1419">
      <c r="A1419" s="1">
        <f>Hyperlink("https://www.wallsandfloors.co.uk/majolica-bellflower-tiles","Product")</f>
        <v/>
      </c>
      <c r="B1419" s="1" t="inlineStr">
        <is>
          <t>39066</t>
        </is>
      </c>
      <c r="C1419" s="1" t="inlineStr">
        <is>
          <t>Majolica Bellflower Tiles</t>
        </is>
      </c>
      <c r="D1419" s="1" t="inlineStr">
        <is>
          <t>450x450x10.5mm</t>
        </is>
      </c>
      <c r="E1419" s="1" t="n">
        <v>26.95</v>
      </c>
      <c r="F1419" s="1" t="n">
        <v>0</v>
      </c>
      <c r="G1419" s="1" t="inlineStr">
        <is>
          <t>SQM</t>
        </is>
      </c>
      <c r="H1419" s="1" t="inlineStr">
        <is>
          <t>Ceramic</t>
        </is>
      </c>
      <c r="I1419" s="1" t="inlineStr">
        <is>
          <t>Matt</t>
        </is>
      </c>
      <c r="J1419" t="n">
        <v>26.95</v>
      </c>
      <c r="K1419" t="inlineStr"/>
      <c r="L1419" t="n">
        <v>26.95</v>
      </c>
    </row>
    <row r="1420">
      <c r="A1420" s="1">
        <f>Hyperlink("https://www.wallsandfloors.co.uk/mahal-multicolour-brushed-slate-tiles","Product")</f>
        <v/>
      </c>
      <c r="B1420" s="1" t="inlineStr">
        <is>
          <t>44274</t>
        </is>
      </c>
      <c r="C1420" s="1" t="inlineStr">
        <is>
          <t>Mahal Multicolour Brushed Slate Tiles</t>
        </is>
      </c>
      <c r="D1420" s="1" t="inlineStr">
        <is>
          <t>600x300x8-12mm</t>
        </is>
      </c>
      <c r="E1420" s="1" t="n">
        <v>34.95</v>
      </c>
      <c r="F1420" s="1" t="n">
        <v>0</v>
      </c>
      <c r="G1420" s="1" t="inlineStr">
        <is>
          <t>SQM</t>
        </is>
      </c>
      <c r="H1420" s="1" t="inlineStr">
        <is>
          <t>Slate</t>
        </is>
      </c>
      <c r="I1420" s="1" t="inlineStr">
        <is>
          <t>-</t>
        </is>
      </c>
      <c r="J1420" t="n">
        <v>34.95</v>
      </c>
      <c r="K1420" t="inlineStr"/>
      <c r="L1420" t="n">
        <v>34.95</v>
      </c>
    </row>
    <row r="1421">
      <c r="A1421" s="1">
        <f>Hyperlink("https://www.wallsandfloors.co.uk/mahal-grey-brushed-slate-tiles","Product")</f>
        <v/>
      </c>
      <c r="B1421" s="1" t="inlineStr">
        <is>
          <t>44275</t>
        </is>
      </c>
      <c r="C1421" s="1" t="inlineStr">
        <is>
          <t>Mahal Grey Brushed Slate Tiles</t>
        </is>
      </c>
      <c r="D1421" s="1" t="inlineStr">
        <is>
          <t>600x300x8-12mm</t>
        </is>
      </c>
      <c r="E1421" s="1" t="n">
        <v>34.95</v>
      </c>
      <c r="F1421" s="1" t="n">
        <v>0</v>
      </c>
      <c r="G1421" s="1" t="inlineStr">
        <is>
          <t>SQM</t>
        </is>
      </c>
      <c r="H1421" s="1" t="inlineStr">
        <is>
          <t>Slate</t>
        </is>
      </c>
      <c r="I1421" s="1" t="inlineStr">
        <is>
          <t>-</t>
        </is>
      </c>
      <c r="J1421" t="inlineStr"/>
      <c r="K1421" t="inlineStr"/>
      <c r="L1421" t="n">
        <v>34.95</v>
      </c>
    </row>
    <row r="1422">
      <c r="A1422" s="1">
        <f>Hyperlink("https://www.wallsandfloors.co.uk/magia-mosaic-tiles-silver-grey-mosaic-tiles","Product")</f>
        <v/>
      </c>
      <c r="B1422" s="1" t="inlineStr">
        <is>
          <t>14086</t>
        </is>
      </c>
      <c r="C1422" s="1" t="inlineStr">
        <is>
          <t>Magia Silver Grey Mosaic Tiles</t>
        </is>
      </c>
      <c r="D1422" s="1" t="inlineStr">
        <is>
          <t>330x330x3mm</t>
        </is>
      </c>
      <c r="E1422" s="1" t="n">
        <v>20.95</v>
      </c>
      <c r="F1422" s="1" t="n">
        <v>0</v>
      </c>
      <c r="G1422" s="1" t="inlineStr">
        <is>
          <t>Sheet</t>
        </is>
      </c>
      <c r="H1422" s="1" t="inlineStr">
        <is>
          <t>Glass</t>
        </is>
      </c>
      <c r="I1422" s="1" t="inlineStr">
        <is>
          <t>Semi-Polished</t>
        </is>
      </c>
      <c r="J1422" t="n">
        <v>20.95</v>
      </c>
      <c r="K1422" t="n">
        <v>20.95</v>
      </c>
      <c r="L1422" t="n">
        <v>20.95</v>
      </c>
    </row>
    <row r="1423">
      <c r="A1423" s="1">
        <f>Hyperlink("https://www.wallsandfloors.co.uk/magia-mosaic-tiles-mix-brown-mosaic-tiles","Product")</f>
        <v/>
      </c>
      <c r="B1423" s="1" t="inlineStr">
        <is>
          <t>14084</t>
        </is>
      </c>
      <c r="C1423" s="1" t="inlineStr">
        <is>
          <t>Magia Mix Brown Mosaic Tiles</t>
        </is>
      </c>
      <c r="D1423" s="1" t="inlineStr">
        <is>
          <t>330x330x3mm</t>
        </is>
      </c>
      <c r="E1423" s="1" t="n">
        <v>20.95</v>
      </c>
      <c r="F1423" s="1" t="n">
        <v>0</v>
      </c>
      <c r="G1423" s="1" t="inlineStr">
        <is>
          <t>Sheet</t>
        </is>
      </c>
      <c r="H1423" s="1" t="inlineStr">
        <is>
          <t>Glass</t>
        </is>
      </c>
      <c r="I1423" s="1" t="inlineStr">
        <is>
          <t>Semi-Polished</t>
        </is>
      </c>
      <c r="J1423" t="inlineStr"/>
      <c r="K1423" t="n">
        <v>20.95</v>
      </c>
      <c r="L1423" t="n">
        <v>20.95</v>
      </c>
    </row>
    <row r="1424">
      <c r="A1424" s="1">
        <f>Hyperlink("https://www.wallsandfloors.co.uk/magia-mosaic-tiles-ice-white-mosaic-tiles","Product")</f>
        <v/>
      </c>
      <c r="B1424" s="1" t="inlineStr">
        <is>
          <t>14083</t>
        </is>
      </c>
      <c r="C1424" s="1" t="inlineStr">
        <is>
          <t>Magia Ice White Mosaic Tiles</t>
        </is>
      </c>
      <c r="D1424" s="1" t="inlineStr">
        <is>
          <t>330x330x3mm</t>
        </is>
      </c>
      <c r="E1424" s="1" t="n">
        <v>19.95</v>
      </c>
      <c r="F1424" s="1" t="n">
        <v>0</v>
      </c>
      <c r="G1424" s="1" t="inlineStr">
        <is>
          <t>Sheet</t>
        </is>
      </c>
      <c r="H1424" s="1" t="inlineStr">
        <is>
          <t>Glass</t>
        </is>
      </c>
      <c r="I1424" s="1" t="inlineStr">
        <is>
          <t>Semi-Polished</t>
        </is>
      </c>
      <c r="J1424" t="n">
        <v>19.95</v>
      </c>
      <c r="K1424" t="inlineStr"/>
      <c r="L1424" t="n">
        <v>19.95</v>
      </c>
    </row>
    <row r="1425">
      <c r="A1425" s="1">
        <f>Hyperlink("https://www.wallsandfloors.co.uk/madagascan-aged-wood-effect-tiles","Product")</f>
        <v/>
      </c>
      <c r="B1425" s="1" t="inlineStr">
        <is>
          <t>14686</t>
        </is>
      </c>
      <c r="C1425" s="1" t="inlineStr">
        <is>
          <t>Madagascan Ipil Aged Wood Effect Tiles</t>
        </is>
      </c>
      <c r="D1425" s="1" t="inlineStr">
        <is>
          <t>1200x230x8mm</t>
        </is>
      </c>
      <c r="E1425" s="1" t="n">
        <v>21.95</v>
      </c>
      <c r="F1425" s="1" t="n">
        <v>0</v>
      </c>
      <c r="G1425" s="1" t="inlineStr">
        <is>
          <t>SQM</t>
        </is>
      </c>
      <c r="H1425" s="1" t="inlineStr">
        <is>
          <t>Porcelain</t>
        </is>
      </c>
      <c r="I1425" s="1" t="inlineStr">
        <is>
          <t>Matt</t>
        </is>
      </c>
      <c r="J1425" t="n">
        <v>21.95</v>
      </c>
      <c r="K1425" t="n">
        <v>21.95</v>
      </c>
      <c r="L1425" t="n">
        <v>21.95</v>
      </c>
    </row>
    <row r="1426">
      <c r="A1426" s="1">
        <f>Hyperlink("https://www.wallsandfloors.co.uk/macadamize-tiles-shaded-black-concrete-effect-tiles","Product")</f>
        <v/>
      </c>
      <c r="B1426" s="1" t="inlineStr">
        <is>
          <t>14578</t>
        </is>
      </c>
      <c r="C1426" s="1" t="inlineStr">
        <is>
          <t>Shaded Black Concrete Effect Tiles</t>
        </is>
      </c>
      <c r="D1426" s="1" t="inlineStr">
        <is>
          <t>326x326x9mm</t>
        </is>
      </c>
      <c r="E1426" s="1" t="n">
        <v>18.95</v>
      </c>
      <c r="F1426" s="1" t="n">
        <v>0</v>
      </c>
      <c r="G1426" s="1" t="inlineStr">
        <is>
          <t>SQM</t>
        </is>
      </c>
      <c r="H1426" s="1" t="inlineStr">
        <is>
          <t>Porcelain</t>
        </is>
      </c>
      <c r="I1426" s="1" t="inlineStr">
        <is>
          <t>Matt</t>
        </is>
      </c>
      <c r="J1426" t="n">
        <v>18.95</v>
      </c>
      <c r="K1426" t="n">
        <v>18.95</v>
      </c>
      <c r="L1426" t="n">
        <v>18.95</v>
      </c>
    </row>
    <row r="1427">
      <c r="A1427" s="1">
        <f>Hyperlink("https://www.wallsandfloors.co.uk/lvt-underlay-1-2m-cut-piece","Product")</f>
        <v/>
      </c>
      <c r="B1427" s="1" t="inlineStr">
        <is>
          <t>42771</t>
        </is>
      </c>
      <c r="C1427" s="1" t="inlineStr">
        <is>
          <t>LVT Underlay Section - 0.48 Sqm</t>
        </is>
      </c>
      <c r="D1427" s="1" t="inlineStr">
        <is>
          <t>1200x400x1.5mm</t>
        </is>
      </c>
      <c r="E1427" s="1" t="n">
        <v>2.95</v>
      </c>
      <c r="F1427" s="1" t="n">
        <v>0</v>
      </c>
      <c r="G1427" s="1" t="inlineStr">
        <is>
          <t>Sheet</t>
        </is>
      </c>
      <c r="H1427" s="1" t="inlineStr">
        <is>
          <t>XPS Foam</t>
        </is>
      </c>
      <c r="I1427" s="1" t="inlineStr">
        <is>
          <t>-</t>
        </is>
      </c>
      <c r="J1427" t="inlineStr"/>
      <c r="K1427" t="n">
        <v>2.95</v>
      </c>
      <c r="L1427" t="n">
        <v>2.95</v>
      </c>
    </row>
    <row r="1428">
      <c r="A1428" s="1">
        <f>Hyperlink("https://www.wallsandfloors.co.uk/luxcity-park-cream-tiles","Product")</f>
        <v/>
      </c>
      <c r="B1428" s="1" t="inlineStr">
        <is>
          <t>34811</t>
        </is>
      </c>
      <c r="C1428" s="1" t="inlineStr">
        <is>
          <t>Luxcity Park Cream Tiles</t>
        </is>
      </c>
      <c r="D1428" s="1" t="inlineStr">
        <is>
          <t>600x600x10mm</t>
        </is>
      </c>
      <c r="E1428" s="1" t="n">
        <v>21.18</v>
      </c>
      <c r="F1428" s="1" t="n">
        <v>0</v>
      </c>
      <c r="G1428" s="1" t="inlineStr">
        <is>
          <t>SQM</t>
        </is>
      </c>
      <c r="H1428" s="1" t="inlineStr">
        <is>
          <t>Porcelain</t>
        </is>
      </c>
      <c r="I1428" s="1" t="inlineStr">
        <is>
          <t>Matt</t>
        </is>
      </c>
      <c r="J1428" t="n">
        <v>21.18</v>
      </c>
      <c r="K1428" t="n">
        <v>21.18</v>
      </c>
      <c r="L1428" t="n">
        <v>21.18</v>
      </c>
    </row>
    <row r="1429">
      <c r="A1429" s="1">
        <f>Hyperlink("https://www.wallsandfloors.co.uk/lustra-pearl-tiles-pearl-white-tiles","Product")</f>
        <v/>
      </c>
      <c r="B1429" s="1" t="inlineStr">
        <is>
          <t>3817</t>
        </is>
      </c>
      <c r="C1429" s="1" t="inlineStr">
        <is>
          <t>Pearl White Tiles</t>
        </is>
      </c>
      <c r="D1429" s="1" t="inlineStr">
        <is>
          <t>327x327x4mm</t>
        </is>
      </c>
      <c r="E1429" s="1" t="n">
        <v>9.949999999999999</v>
      </c>
      <c r="F1429" s="1" t="n">
        <v>0</v>
      </c>
      <c r="G1429" s="1" t="inlineStr">
        <is>
          <t>Sheet</t>
        </is>
      </c>
      <c r="H1429" s="1" t="inlineStr">
        <is>
          <t>Glass</t>
        </is>
      </c>
      <c r="I1429" s="1" t="inlineStr">
        <is>
          <t>Matt</t>
        </is>
      </c>
      <c r="J1429" t="inlineStr"/>
      <c r="K1429" t="n">
        <v>9.949999999999999</v>
      </c>
      <c r="L1429" t="n">
        <v>9.949999999999999</v>
      </c>
    </row>
    <row r="1430">
      <c r="A1430" s="1">
        <f>Hyperlink("https://www.wallsandfloors.co.uk/lustra-pearl-tiles-pearl-aqua-tiles","Product")</f>
        <v/>
      </c>
      <c r="B1430" s="1" t="inlineStr">
        <is>
          <t>3816</t>
        </is>
      </c>
      <c r="C1430" s="1" t="inlineStr">
        <is>
          <t>Pearl Aqua Tiles</t>
        </is>
      </c>
      <c r="D1430" s="1" t="inlineStr">
        <is>
          <t>327x327x4mm</t>
        </is>
      </c>
      <c r="E1430" s="1" t="n">
        <v>9.949999999999999</v>
      </c>
      <c r="F1430" s="1" t="n">
        <v>0</v>
      </c>
      <c r="G1430" s="1" t="inlineStr">
        <is>
          <t>Sheet</t>
        </is>
      </c>
      <c r="H1430" s="1" t="inlineStr">
        <is>
          <t>Glass</t>
        </is>
      </c>
      <c r="I1430" s="1" t="inlineStr">
        <is>
          <t>Matt</t>
        </is>
      </c>
      <c r="J1430" t="n">
        <v>9.949999999999999</v>
      </c>
      <c r="K1430" t="n">
        <v>9.949999999999999</v>
      </c>
      <c r="L1430" t="n">
        <v>9.949999999999999</v>
      </c>
    </row>
    <row r="1431">
      <c r="A1431" s="1">
        <f>Hyperlink("https://www.wallsandfloors.co.uk/luster-mosaic-tiles-light-grey-mosaic-tiles","Product")</f>
        <v/>
      </c>
      <c r="B1431" s="1" t="inlineStr">
        <is>
          <t>14098</t>
        </is>
      </c>
      <c r="C1431" s="1" t="inlineStr">
        <is>
          <t>Luster Light Grey Mosaic Tiles</t>
        </is>
      </c>
      <c r="D1431" s="1" t="inlineStr">
        <is>
          <t>330x330x3mm</t>
        </is>
      </c>
      <c r="E1431" s="1" t="n">
        <v>20.95</v>
      </c>
      <c r="F1431" s="1" t="n">
        <v>0</v>
      </c>
      <c r="G1431" s="1" t="inlineStr"/>
      <c r="H1431" s="1" t="inlineStr">
        <is>
          <t>Glass</t>
        </is>
      </c>
      <c r="I1431" s="1" t="inlineStr">
        <is>
          <t>Semi-Polished</t>
        </is>
      </c>
      <c r="J1431" t="n">
        <v>20.95</v>
      </c>
      <c r="K1431" t="n">
        <v>20.95</v>
      </c>
      <c r="L1431" t="n">
        <v>20.95</v>
      </c>
    </row>
    <row r="1432">
      <c r="A1432" s="1">
        <f>Hyperlink("https://www.wallsandfloors.co.uk/ltp-cleaning-protecting-ltp-floorshine-tile-maintenance","Product")</f>
        <v/>
      </c>
      <c r="B1432" s="1" t="inlineStr">
        <is>
          <t>11273</t>
        </is>
      </c>
      <c r="C1432" s="1" t="inlineStr">
        <is>
          <t>LTP Floorshine Tile Maintenance</t>
        </is>
      </c>
      <c r="D1432" s="1" t="inlineStr">
        <is>
          <t>1 Ltr</t>
        </is>
      </c>
      <c r="E1432" s="1" t="n">
        <v>10.95</v>
      </c>
      <c r="F1432" s="1" t="n">
        <v>0</v>
      </c>
      <c r="G1432" s="1" t="inlineStr">
        <is>
          <t>Unit</t>
        </is>
      </c>
      <c r="H1432" s="1" t="inlineStr">
        <is>
          <t>Cleaning and Maintenance</t>
        </is>
      </c>
      <c r="I1432" s="1" t="inlineStr">
        <is>
          <t>-</t>
        </is>
      </c>
      <c r="J1432" t="n">
        <v>10.95</v>
      </c>
      <c r="K1432" t="n">
        <v>10.95</v>
      </c>
      <c r="L1432" t="n">
        <v>10.95</v>
      </c>
    </row>
    <row r="1433">
      <c r="A1433" s="1">
        <f>Hyperlink("https://www.wallsandfloors.co.uk/lozenga-silver-luxe-mosaic-tiles","Product")</f>
        <v/>
      </c>
      <c r="B1433" s="1" t="inlineStr">
        <is>
          <t>37261</t>
        </is>
      </c>
      <c r="C1433" s="1" t="inlineStr">
        <is>
          <t>Lozenga Silver Luxe Mosaic Tiles</t>
        </is>
      </c>
      <c r="D1433" s="1" t="inlineStr">
        <is>
          <t>299x260x6mm</t>
        </is>
      </c>
      <c r="E1433" s="1" t="n">
        <v>7</v>
      </c>
      <c r="F1433" s="1" t="n">
        <v>0</v>
      </c>
      <c r="G1433" s="1" t="inlineStr">
        <is>
          <t>Sheet</t>
        </is>
      </c>
      <c r="H1433" s="1" t="inlineStr">
        <is>
          <t>Glass</t>
        </is>
      </c>
      <c r="I1433" s="1" t="inlineStr">
        <is>
          <t>Gloss</t>
        </is>
      </c>
      <c r="J1433" t="n">
        <v>7</v>
      </c>
      <c r="K1433" t="n">
        <v>7</v>
      </c>
      <c r="L1433" t="n">
        <v>7</v>
      </c>
    </row>
    <row r="1434">
      <c r="A1434" s="1">
        <f>Hyperlink("https://www.wallsandfloors.co.uk/lozenga-graphite-luxe-mosaic-tiles","Product")</f>
        <v/>
      </c>
      <c r="B1434" s="1" t="inlineStr">
        <is>
          <t>37260</t>
        </is>
      </c>
      <c r="C1434" s="1" t="inlineStr">
        <is>
          <t>Lozenga Graphite Luxe Mosaic Tiles</t>
        </is>
      </c>
      <c r="D1434" s="1" t="inlineStr">
        <is>
          <t>299x260x6mm</t>
        </is>
      </c>
      <c r="E1434" s="1" t="n">
        <v>6.7</v>
      </c>
      <c r="F1434" s="1" t="n">
        <v>0</v>
      </c>
      <c r="G1434" s="1" t="inlineStr">
        <is>
          <t>Sheet</t>
        </is>
      </c>
      <c r="H1434" s="1" t="inlineStr">
        <is>
          <t>Glass</t>
        </is>
      </c>
      <c r="I1434" s="1" t="inlineStr">
        <is>
          <t>Gloss</t>
        </is>
      </c>
      <c r="J1434" t="inlineStr"/>
      <c r="K1434" t="inlineStr"/>
      <c r="L1434" t="n">
        <v>6.7</v>
      </c>
    </row>
    <row r="1435">
      <c r="A1435" s="1">
        <f>Hyperlink("https://www.wallsandfloors.co.uk/lozenga-copper-luxe-mosaic-tiles","Product")</f>
        <v/>
      </c>
      <c r="B1435" s="1" t="inlineStr">
        <is>
          <t>37259</t>
        </is>
      </c>
      <c r="C1435" s="1" t="inlineStr">
        <is>
          <t>Lozenga Copper Luxe Mosaic Tiles</t>
        </is>
      </c>
      <c r="D1435" s="1" t="inlineStr">
        <is>
          <t>299x260x6mm</t>
        </is>
      </c>
      <c r="E1435" s="1" t="n">
        <v>7.15</v>
      </c>
      <c r="F1435" s="1" t="n">
        <v>0</v>
      </c>
      <c r="G1435" s="1" t="inlineStr">
        <is>
          <t>Sheet</t>
        </is>
      </c>
      <c r="H1435" s="1" t="inlineStr">
        <is>
          <t>Glass</t>
        </is>
      </c>
      <c r="I1435" s="1" t="inlineStr">
        <is>
          <t>Gloss</t>
        </is>
      </c>
      <c r="J1435" t="inlineStr"/>
      <c r="K1435" t="n">
        <v>7.15</v>
      </c>
      <c r="L1435" t="n">
        <v>7.15</v>
      </c>
    </row>
    <row r="1436">
      <c r="A1436" s="1">
        <f>Hyperlink("https://www.wallsandfloors.co.uk/light-oak-skirt-tiles","Product")</f>
        <v/>
      </c>
      <c r="B1436" s="1" t="inlineStr">
        <is>
          <t>36630</t>
        </is>
      </c>
      <c r="C1436" s="1" t="inlineStr">
        <is>
          <t>Muniellos Light Oak Wood Effect Skirt Tiles</t>
        </is>
      </c>
      <c r="D1436" s="1" t="inlineStr">
        <is>
          <t>450x75x10.5mm</t>
        </is>
      </c>
      <c r="E1436" s="1" t="n">
        <v>7.95</v>
      </c>
      <c r="F1436" s="1" t="n">
        <v>0</v>
      </c>
      <c r="G1436" s="1" t="inlineStr">
        <is>
          <t>Tile</t>
        </is>
      </c>
      <c r="H1436" s="1" t="inlineStr">
        <is>
          <t>Porcelain</t>
        </is>
      </c>
      <c r="I1436" s="1" t="inlineStr">
        <is>
          <t>Matt</t>
        </is>
      </c>
      <c r="J1436" t="n">
        <v>7.95</v>
      </c>
      <c r="K1436" t="inlineStr"/>
      <c r="L1436" t="n">
        <v>7.95</v>
      </c>
    </row>
    <row r="1437">
      <c r="A1437" s="1">
        <f>Hyperlink("https://www.wallsandfloors.co.uk/light-oak-910x153-anti-slip-tiles","Product")</f>
        <v/>
      </c>
      <c r="B1437" s="1" t="inlineStr">
        <is>
          <t>36543</t>
        </is>
      </c>
      <c r="C1437" s="1" t="inlineStr">
        <is>
          <t>Muniellos Light Oak Anti-Slip Wood Effect Tiles</t>
        </is>
      </c>
      <c r="D1437" s="1" t="inlineStr">
        <is>
          <t>900x150x10.5mm</t>
        </is>
      </c>
      <c r="E1437" s="1" t="n">
        <v>33.95</v>
      </c>
      <c r="F1437" s="1" t="n">
        <v>0</v>
      </c>
      <c r="G1437" s="1" t="inlineStr">
        <is>
          <t>SQM</t>
        </is>
      </c>
      <c r="H1437" s="1" t="inlineStr">
        <is>
          <t>Porcelain</t>
        </is>
      </c>
      <c r="I1437" s="1" t="inlineStr">
        <is>
          <t>Matt</t>
        </is>
      </c>
      <c r="J1437" t="inlineStr"/>
      <c r="K1437" t="n">
        <v>33.95</v>
      </c>
      <c r="L1437" t="n">
        <v>33.95</v>
      </c>
    </row>
    <row r="1438">
      <c r="A1438" s="1">
        <f>Hyperlink("https://www.wallsandfloors.co.uk/light-oak-1225x200-tiles","Product")</f>
        <v/>
      </c>
      <c r="B1438" s="1" t="inlineStr">
        <is>
          <t>36541</t>
        </is>
      </c>
      <c r="C1438" s="1" t="inlineStr">
        <is>
          <t>Muniellos Light Oak Wood Effect Tiles</t>
        </is>
      </c>
      <c r="D1438" s="1" t="inlineStr">
        <is>
          <t>1215x195x10mm</t>
        </is>
      </c>
      <c r="E1438" s="1" t="n">
        <v>35.95</v>
      </c>
      <c r="F1438" s="1" t="n">
        <v>0</v>
      </c>
      <c r="G1438" s="1" t="inlineStr">
        <is>
          <t>SQM</t>
        </is>
      </c>
      <c r="H1438" s="1" t="inlineStr">
        <is>
          <t>Porcelain</t>
        </is>
      </c>
      <c r="I1438" s="1" t="inlineStr">
        <is>
          <t>Matt</t>
        </is>
      </c>
      <c r="J1438" t="n">
        <v>35.95</v>
      </c>
      <c r="K1438" t="n">
        <v>35.95</v>
      </c>
      <c r="L1438" t="n">
        <v>35.95</v>
      </c>
    </row>
    <row r="1439">
      <c r="A1439" s="1">
        <f>Hyperlink("https://www.wallsandfloors.co.uk/leinz-grey-slab-tiles","Product")</f>
        <v/>
      </c>
      <c r="B1439" s="1" t="inlineStr">
        <is>
          <t>44494</t>
        </is>
      </c>
      <c r="C1439" s="1" t="inlineStr">
        <is>
          <t>Leinz Grey Porcelain Paving Slabs</t>
        </is>
      </c>
      <c r="D1439" s="1" t="inlineStr">
        <is>
          <t>595x595x20mm</t>
        </is>
      </c>
      <c r="E1439" s="1" t="n">
        <v>25.95</v>
      </c>
      <c r="F1439" s="1" t="n">
        <v>0</v>
      </c>
      <c r="G1439" s="1" t="inlineStr">
        <is>
          <t>SQM</t>
        </is>
      </c>
      <c r="H1439" s="1" t="inlineStr">
        <is>
          <t>Porcelain</t>
        </is>
      </c>
      <c r="I1439" s="1" t="inlineStr">
        <is>
          <t>Matt</t>
        </is>
      </c>
      <c r="J1439" t="n">
        <v>25.95</v>
      </c>
      <c r="K1439" t="inlineStr"/>
      <c r="L1439" t="n">
        <v>25.95</v>
      </c>
    </row>
    <row r="1440">
      <c r="A1440" s="1">
        <f>Hyperlink("https://www.wallsandfloors.co.uk/leinz-dark-grey-slab-tiles","Product")</f>
        <v/>
      </c>
      <c r="B1440" s="1" t="inlineStr">
        <is>
          <t>44495</t>
        </is>
      </c>
      <c r="C1440" s="1" t="inlineStr">
        <is>
          <t>Leinz Dark Grey Porcelain Paving Slabs</t>
        </is>
      </c>
      <c r="D1440" s="1" t="inlineStr">
        <is>
          <t>595x595x20mm</t>
        </is>
      </c>
      <c r="E1440" s="1" t="n">
        <v>30.95</v>
      </c>
      <c r="F1440" s="1" t="n">
        <v>0</v>
      </c>
      <c r="G1440" s="1" t="inlineStr">
        <is>
          <t>SQM</t>
        </is>
      </c>
      <c r="H1440" s="1" t="inlineStr">
        <is>
          <t>Porcelain</t>
        </is>
      </c>
      <c r="I1440" s="1" t="inlineStr">
        <is>
          <t>Matt</t>
        </is>
      </c>
      <c r="J1440" t="n">
        <v>30.95</v>
      </c>
      <c r="K1440" t="n">
        <v>30.95</v>
      </c>
      <c r="L1440" t="n">
        <v>30.95</v>
      </c>
    </row>
    <row r="1441">
      <c r="A1441" s="1">
        <f>Hyperlink("https://www.wallsandfloors.co.uk/ledbury-slate-grey-tiles","Product")</f>
        <v/>
      </c>
      <c r="B1441" s="1" t="inlineStr">
        <is>
          <t>37444</t>
        </is>
      </c>
      <c r="C1441" s="1" t="inlineStr">
        <is>
          <t>Ledbury Slate Grey Pattern Tiles</t>
        </is>
      </c>
      <c r="D1441" s="1" t="inlineStr">
        <is>
          <t>450x450x10mm</t>
        </is>
      </c>
      <c r="E1441" s="1" t="n">
        <v>18.95</v>
      </c>
      <c r="F1441" s="1" t="n">
        <v>0</v>
      </c>
      <c r="G1441" s="1" t="inlineStr">
        <is>
          <t>SQM</t>
        </is>
      </c>
      <c r="H1441" s="1" t="inlineStr">
        <is>
          <t>Ceramic</t>
        </is>
      </c>
      <c r="I1441" s="1" t="inlineStr">
        <is>
          <t>Satin</t>
        </is>
      </c>
      <c r="J1441" t="inlineStr"/>
      <c r="K1441" t="inlineStr"/>
      <c r="L1441" t="n">
        <v>18.95</v>
      </c>
    </row>
    <row r="1442">
      <c r="A1442" s="1">
        <f>Hyperlink("https://www.wallsandfloors.co.uk/ledbury-powder-blue-tiles","Product")</f>
        <v/>
      </c>
      <c r="B1442" s="1" t="inlineStr">
        <is>
          <t>37442</t>
        </is>
      </c>
      <c r="C1442" s="1" t="inlineStr">
        <is>
          <t>Ledbury Powder Blue Pattern Tiles</t>
        </is>
      </c>
      <c r="D1442" s="1" t="inlineStr">
        <is>
          <t>450x450x10mm</t>
        </is>
      </c>
      <c r="E1442" s="1" t="n">
        <v>18.95</v>
      </c>
      <c r="F1442" s="1" t="n">
        <v>0</v>
      </c>
      <c r="G1442" s="1" t="inlineStr">
        <is>
          <t>SQM</t>
        </is>
      </c>
      <c r="H1442" s="1" t="inlineStr">
        <is>
          <t>Ceramic</t>
        </is>
      </c>
      <c r="I1442" s="1" t="inlineStr">
        <is>
          <t>Satin</t>
        </is>
      </c>
      <c r="J1442" t="n">
        <v>18.95</v>
      </c>
      <c r="K1442" t="n">
        <v>18.95</v>
      </c>
      <c r="L1442" t="n">
        <v>18.95</v>
      </c>
    </row>
    <row r="1443">
      <c r="A1443" s="1">
        <f>Hyperlink("https://www.wallsandfloors.co.uk/leaf-gloss-20x10-tiles","Product")</f>
        <v/>
      </c>
      <c r="B1443" s="1" t="inlineStr">
        <is>
          <t>13029</t>
        </is>
      </c>
      <c r="C1443" s="1" t="inlineStr">
        <is>
          <t>Ritz Leaf Gloss Tiles</t>
        </is>
      </c>
      <c r="D1443" s="1" t="inlineStr">
        <is>
          <t>200x100x6.5mm</t>
        </is>
      </c>
      <c r="E1443" s="1" t="n">
        <v>38.95</v>
      </c>
      <c r="F1443" s="1" t="n">
        <v>0</v>
      </c>
      <c r="G1443" s="1" t="inlineStr">
        <is>
          <t>SQM</t>
        </is>
      </c>
      <c r="H1443" s="1" t="inlineStr">
        <is>
          <t>Ceramic</t>
        </is>
      </c>
      <c r="I1443" s="1" t="inlineStr">
        <is>
          <t>Gloss</t>
        </is>
      </c>
      <c r="J1443" t="inlineStr"/>
      <c r="K1443" t="n">
        <v>38.95</v>
      </c>
      <c r="L1443" t="n">
        <v>38.95</v>
      </c>
    </row>
    <row r="1444">
      <c r="A1444" s="1">
        <f>Hyperlink("https://www.wallsandfloors.co.uk/lazio-tiles-beige-plain-tiles","Product")</f>
        <v/>
      </c>
      <c r="B1444" s="1" t="inlineStr">
        <is>
          <t>14646</t>
        </is>
      </c>
      <c r="C1444" s="1" t="inlineStr">
        <is>
          <t>Beige Plain Tiles</t>
        </is>
      </c>
      <c r="D1444" s="1" t="inlineStr">
        <is>
          <t>450x450x9.5mm</t>
        </is>
      </c>
      <c r="E1444" s="1" t="n">
        <v>10.95</v>
      </c>
      <c r="F1444" s="1" t="n">
        <v>0</v>
      </c>
      <c r="G1444" s="1" t="inlineStr">
        <is>
          <t>SQM</t>
        </is>
      </c>
      <c r="H1444" s="1" t="inlineStr">
        <is>
          <t>Ceramic</t>
        </is>
      </c>
      <c r="I1444" s="1" t="inlineStr">
        <is>
          <t>Matt</t>
        </is>
      </c>
      <c r="J1444" t="n">
        <v>10.95</v>
      </c>
      <c r="K1444" t="n">
        <v>10.95</v>
      </c>
      <c r="L1444" t="n">
        <v>10.95</v>
      </c>
    </row>
    <row r="1445">
      <c r="A1445" s="1">
        <f>Hyperlink("https://www.wallsandfloors.co.uk/laurel-wood-effect-tiles-honey-wood-tiles","Product")</f>
        <v/>
      </c>
      <c r="B1445" s="1" t="inlineStr">
        <is>
          <t>12355</t>
        </is>
      </c>
      <c r="C1445" s="1" t="inlineStr">
        <is>
          <t>Laurel Honey Wood Effect Tiles</t>
        </is>
      </c>
      <c r="D1445" s="1" t="inlineStr">
        <is>
          <t>615x205x8mm</t>
        </is>
      </c>
      <c r="E1445" s="1" t="n">
        <v>19.95</v>
      </c>
      <c r="F1445" s="1" t="n">
        <v>0</v>
      </c>
      <c r="G1445" s="1" t="inlineStr">
        <is>
          <t>SQM</t>
        </is>
      </c>
      <c r="H1445" s="1" t="inlineStr">
        <is>
          <t>Ceramic</t>
        </is>
      </c>
      <c r="I1445" s="1" t="inlineStr">
        <is>
          <t>Matt</t>
        </is>
      </c>
      <c r="J1445" t="n">
        <v>19.95</v>
      </c>
      <c r="K1445" t="n">
        <v>19.95</v>
      </c>
      <c r="L1445" t="n">
        <v>19.95</v>
      </c>
    </row>
    <row r="1446">
      <c r="A1446" s="1">
        <f>Hyperlink("https://www.wallsandfloors.co.uk/largo-tusk-tiles","Product")</f>
        <v/>
      </c>
      <c r="B1446" s="1" t="inlineStr">
        <is>
          <t>36973</t>
        </is>
      </c>
      <c r="C1446" s="1" t="inlineStr">
        <is>
          <t>Largo Tusk Cream Tiles</t>
        </is>
      </c>
      <c r="D1446" s="1" t="inlineStr">
        <is>
          <t>900x330x10mm</t>
        </is>
      </c>
      <c r="E1446" s="1" t="n">
        <v>28.95</v>
      </c>
      <c r="F1446" s="1" t="n">
        <v>0</v>
      </c>
      <c r="G1446" s="1" t="inlineStr">
        <is>
          <t>SQM</t>
        </is>
      </c>
      <c r="H1446" s="1" t="inlineStr">
        <is>
          <t>Porcelain</t>
        </is>
      </c>
      <c r="I1446" s="1" t="inlineStr">
        <is>
          <t>Matt</t>
        </is>
      </c>
      <c r="J1446" t="inlineStr"/>
      <c r="K1446" t="n">
        <v>28.95</v>
      </c>
      <c r="L1446" t="n">
        <v>28.95</v>
      </c>
    </row>
    <row r="1447">
      <c r="A1447" s="1">
        <f>Hyperlink("https://www.wallsandfloors.co.uk/largo-mist-tiles","Product")</f>
        <v/>
      </c>
      <c r="B1447" s="1" t="inlineStr">
        <is>
          <t>36975</t>
        </is>
      </c>
      <c r="C1447" s="1" t="inlineStr">
        <is>
          <t>Largo Mist White Tiles</t>
        </is>
      </c>
      <c r="D1447" s="1" t="inlineStr">
        <is>
          <t>900x330x10mm</t>
        </is>
      </c>
      <c r="E1447" s="1" t="n">
        <v>28.95</v>
      </c>
      <c r="F1447" s="1" t="n">
        <v>0</v>
      </c>
      <c r="G1447" s="1" t="inlineStr">
        <is>
          <t>SQM</t>
        </is>
      </c>
      <c r="H1447" s="1" t="inlineStr">
        <is>
          <t>Porcelain</t>
        </is>
      </c>
      <c r="I1447" s="1" t="inlineStr">
        <is>
          <t>Matt</t>
        </is>
      </c>
      <c r="J1447" t="n">
        <v>28.95</v>
      </c>
      <c r="K1447" t="n">
        <v>28.95</v>
      </c>
      <c r="L1447" t="n">
        <v>28.95</v>
      </c>
    </row>
    <row r="1448">
      <c r="A1448" s="1">
        <f>Hyperlink("https://www.wallsandfloors.co.uk/largo-mist-geo-tiles","Product")</f>
        <v/>
      </c>
      <c r="B1448" s="1" t="inlineStr">
        <is>
          <t>36976</t>
        </is>
      </c>
      <c r="C1448" s="1" t="inlineStr">
        <is>
          <t>Largo Mist White Geo Pattern Tiles</t>
        </is>
      </c>
      <c r="D1448" s="1" t="inlineStr">
        <is>
          <t>900x330x10mm</t>
        </is>
      </c>
      <c r="E1448" s="1" t="n">
        <v>28.95</v>
      </c>
      <c r="F1448" s="1" t="n">
        <v>0</v>
      </c>
      <c r="G1448" s="1" t="inlineStr">
        <is>
          <t>SQM</t>
        </is>
      </c>
      <c r="H1448" s="1" t="inlineStr">
        <is>
          <t>Porcelain</t>
        </is>
      </c>
      <c r="I1448" s="1" t="inlineStr">
        <is>
          <t>Matt</t>
        </is>
      </c>
      <c r="J1448" t="n">
        <v>28.95</v>
      </c>
      <c r="K1448" t="inlineStr"/>
      <c r="L1448" t="n">
        <v>28.95</v>
      </c>
    </row>
    <row r="1449">
      <c r="A1449" s="1">
        <f>Hyperlink("https://www.wallsandfloors.co.uk/largo-dusk-tiles","Product")</f>
        <v/>
      </c>
      <c r="B1449" s="1" t="inlineStr">
        <is>
          <t>36971</t>
        </is>
      </c>
      <c r="C1449" s="1" t="inlineStr">
        <is>
          <t>Largo Dusk Grey Tiles</t>
        </is>
      </c>
      <c r="D1449" s="1" t="inlineStr">
        <is>
          <t>900x330x10mm</t>
        </is>
      </c>
      <c r="E1449" s="1" t="n">
        <v>28.95</v>
      </c>
      <c r="F1449" s="1" t="n">
        <v>0</v>
      </c>
      <c r="G1449" s="1" t="inlineStr">
        <is>
          <t>SQM</t>
        </is>
      </c>
      <c r="H1449" s="1" t="inlineStr">
        <is>
          <t>Porcelain</t>
        </is>
      </c>
      <c r="I1449" s="1" t="inlineStr">
        <is>
          <t>Matt</t>
        </is>
      </c>
      <c r="J1449" t="n">
        <v>28.95</v>
      </c>
      <c r="K1449" t="inlineStr"/>
      <c r="L1449" t="n">
        <v>28.95</v>
      </c>
    </row>
    <row r="1450">
      <c r="A1450" s="1">
        <f>Hyperlink("https://www.wallsandfloors.co.uk/lakeside-silver-slate-effect-59x59-20mm-slab-tiles","Product")</f>
        <v/>
      </c>
      <c r="B1450" s="1" t="inlineStr">
        <is>
          <t>42365</t>
        </is>
      </c>
      <c r="C1450" s="1" t="inlineStr">
        <is>
          <t>Lakeside Silver Slate Effect Porcelain Paving Slabs</t>
        </is>
      </c>
      <c r="D1450" s="1" t="inlineStr">
        <is>
          <t>595x595x20mm</t>
        </is>
      </c>
      <c r="E1450" s="1" t="n">
        <v>45.95</v>
      </c>
      <c r="F1450" s="1" t="n">
        <v>0</v>
      </c>
      <c r="G1450" s="1" t="inlineStr">
        <is>
          <t>SQM</t>
        </is>
      </c>
      <c r="H1450" s="1" t="inlineStr">
        <is>
          <t>Porcelain</t>
        </is>
      </c>
      <c r="I1450" s="1" t="inlineStr">
        <is>
          <t>Matt</t>
        </is>
      </c>
      <c r="J1450" t="n">
        <v>45.95</v>
      </c>
      <c r="K1450" t="inlineStr"/>
      <c r="L1450" t="n">
        <v>45.95</v>
      </c>
    </row>
    <row r="1451">
      <c r="A1451" s="1">
        <f>Hyperlink("https://www.wallsandfloors.co.uk/lakeside-silver-slate-effect-59x29-20mm-slab-tiles","Product")</f>
        <v/>
      </c>
      <c r="B1451" s="1" t="inlineStr">
        <is>
          <t>42368</t>
        </is>
      </c>
      <c r="C1451" s="1" t="inlineStr">
        <is>
          <t>Lakeside Silver Slate Effect Porcelain Paving Slabs</t>
        </is>
      </c>
      <c r="D1451" s="1" t="inlineStr">
        <is>
          <t>595x295x20mm</t>
        </is>
      </c>
      <c r="E1451" s="1" t="n">
        <v>45.95</v>
      </c>
      <c r="F1451" s="1" t="n">
        <v>0</v>
      </c>
      <c r="G1451" s="1" t="inlineStr">
        <is>
          <t>SQM</t>
        </is>
      </c>
      <c r="H1451" s="1" t="inlineStr">
        <is>
          <t>Porcelain</t>
        </is>
      </c>
      <c r="I1451" s="1" t="inlineStr">
        <is>
          <t>Matt</t>
        </is>
      </c>
      <c r="J1451" t="n">
        <v>45.95</v>
      </c>
      <c r="K1451" t="n">
        <v>45.95</v>
      </c>
      <c r="L1451" t="n">
        <v>45.95</v>
      </c>
    </row>
    <row r="1452">
      <c r="A1452" s="1">
        <f>Hyperlink("https://www.wallsandfloors.co.uk/lakeside-silver-slate-effect-29x29-20mm-slab-tiles","Product")</f>
        <v/>
      </c>
      <c r="B1452" s="1" t="inlineStr">
        <is>
          <t>42372</t>
        </is>
      </c>
      <c r="C1452" s="1" t="inlineStr">
        <is>
          <t>Lakeside Silver Slate Effect Porcelain Paving Slabs</t>
        </is>
      </c>
      <c r="D1452" s="1" t="inlineStr">
        <is>
          <t>295x295x20mm</t>
        </is>
      </c>
      <c r="E1452" s="1" t="n">
        <v>45.95</v>
      </c>
      <c r="F1452" s="1" t="n">
        <v>0</v>
      </c>
      <c r="G1452" s="1" t="inlineStr">
        <is>
          <t>SQM</t>
        </is>
      </c>
      <c r="H1452" s="1" t="inlineStr">
        <is>
          <t>Porcelain</t>
        </is>
      </c>
      <c r="I1452" s="1" t="inlineStr">
        <is>
          <t>Matt</t>
        </is>
      </c>
      <c r="J1452" t="n">
        <v>45.95</v>
      </c>
      <c r="K1452" t="n">
        <v>45.95</v>
      </c>
      <c r="L1452" t="n">
        <v>45.95</v>
      </c>
    </row>
    <row r="1453">
      <c r="A1453" s="1">
        <f>Hyperlink("https://www.wallsandfloors.co.uk/lakeside-blue-grey-slate-effect-59x59-20mm-slab-tiles","Product")</f>
        <v/>
      </c>
      <c r="B1453" s="1" t="inlineStr">
        <is>
          <t>42364</t>
        </is>
      </c>
      <c r="C1453" s="1" t="inlineStr">
        <is>
          <t>Lakeside Blue Grey Slate Effect Porcelain Paving Slabs</t>
        </is>
      </c>
      <c r="D1453" s="1" t="inlineStr">
        <is>
          <t>595x595x20mm</t>
        </is>
      </c>
      <c r="E1453" s="1" t="n">
        <v>45.95</v>
      </c>
      <c r="F1453" s="1" t="n">
        <v>0</v>
      </c>
      <c r="G1453" s="1" t="inlineStr">
        <is>
          <t>SQM</t>
        </is>
      </c>
      <c r="H1453" s="1" t="inlineStr">
        <is>
          <t>Porcelain</t>
        </is>
      </c>
      <c r="I1453" s="1" t="inlineStr">
        <is>
          <t>Matt</t>
        </is>
      </c>
      <c r="J1453" t="n">
        <v>45.95</v>
      </c>
      <c r="K1453" t="n">
        <v>45.95</v>
      </c>
      <c r="L1453" t="n">
        <v>45.95</v>
      </c>
    </row>
    <row r="1454">
      <c r="A1454" s="1">
        <f>Hyperlink("https://www.wallsandfloors.co.uk/lakeside-blue-grey-slate-effect-59x29-20mm-slab-tiles","Product")</f>
        <v/>
      </c>
      <c r="B1454" s="1" t="inlineStr">
        <is>
          <t>42366</t>
        </is>
      </c>
      <c r="C1454" s="1" t="inlineStr">
        <is>
          <t>Lakeside Blue Grey Slate Effect Porcelain Paving Slabs</t>
        </is>
      </c>
      <c r="D1454" s="1" t="inlineStr">
        <is>
          <t>595x295x20mm</t>
        </is>
      </c>
      <c r="E1454" s="1" t="n">
        <v>38.95</v>
      </c>
      <c r="F1454" s="1" t="n">
        <v>0</v>
      </c>
      <c r="G1454" s="1" t="inlineStr">
        <is>
          <t>SQM</t>
        </is>
      </c>
      <c r="H1454" s="1" t="inlineStr">
        <is>
          <t>Porcelain</t>
        </is>
      </c>
      <c r="I1454" s="1" t="inlineStr">
        <is>
          <t>Matt</t>
        </is>
      </c>
      <c r="J1454" t="n">
        <v>38.95</v>
      </c>
      <c r="K1454" t="inlineStr"/>
      <c r="L1454" t="n">
        <v>38.95</v>
      </c>
    </row>
    <row r="1455">
      <c r="A1455" s="1">
        <f>Hyperlink("https://www.wallsandfloors.co.uk/lakeside-blue-grey-slate-effect-29x29-20mm-slab-tiles","Product")</f>
        <v/>
      </c>
      <c r="B1455" s="1" t="inlineStr">
        <is>
          <t>42369</t>
        </is>
      </c>
      <c r="C1455" s="1" t="inlineStr">
        <is>
          <t>Lakeside Blue Grey Slate Effect Porcelain Paving Slabs</t>
        </is>
      </c>
      <c r="D1455" s="1" t="inlineStr">
        <is>
          <t>295x295x20mm</t>
        </is>
      </c>
      <c r="E1455" s="1" t="n">
        <v>45.95</v>
      </c>
      <c r="F1455" s="1" t="n">
        <v>0</v>
      </c>
      <c r="G1455" s="1" t="inlineStr">
        <is>
          <t>SQM</t>
        </is>
      </c>
      <c r="H1455" s="1" t="inlineStr">
        <is>
          <t>Porcelain</t>
        </is>
      </c>
      <c r="I1455" s="1" t="inlineStr">
        <is>
          <t>Matt</t>
        </is>
      </c>
      <c r="J1455" t="n">
        <v>45.95</v>
      </c>
      <c r="K1455" t="inlineStr"/>
      <c r="L1455" t="n">
        <v>45.95</v>
      </c>
    </row>
    <row r="1456">
      <c r="A1456" s="1">
        <f>Hyperlink("https://www.wallsandfloors.co.uk/lagos-tiles-white-floor-tile","Product")</f>
        <v/>
      </c>
      <c r="B1456" s="1" t="inlineStr">
        <is>
          <t>14443</t>
        </is>
      </c>
      <c r="C1456" s="1" t="inlineStr">
        <is>
          <t>Lagos White Floor Tiles</t>
        </is>
      </c>
      <c r="D1456" s="1" t="inlineStr">
        <is>
          <t>330x330x8.5mm</t>
        </is>
      </c>
      <c r="E1456" s="1" t="n">
        <v>29.95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Matt</t>
        </is>
      </c>
      <c r="J1456" t="n">
        <v>29.95</v>
      </c>
      <c r="K1456" t="n">
        <v>29.95</v>
      </c>
      <c r="L1456" t="n">
        <v>29.95</v>
      </c>
    </row>
    <row r="1457">
      <c r="A1457" s="1">
        <f>Hyperlink("https://www.wallsandfloors.co.uk/lagos-tiles-light-grey-floor-tiles","Product")</f>
        <v/>
      </c>
      <c r="B1457" s="1" t="inlineStr">
        <is>
          <t>14641</t>
        </is>
      </c>
      <c r="C1457" s="1" t="inlineStr">
        <is>
          <t>Lagos Light Grey Slate Effect Floor Tiles</t>
        </is>
      </c>
      <c r="D1457" s="1" t="inlineStr">
        <is>
          <t>330x330x8.5mm</t>
        </is>
      </c>
      <c r="E1457" s="1" t="n">
        <v>29.95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Matt</t>
        </is>
      </c>
      <c r="J1457" t="n">
        <v>29.95</v>
      </c>
      <c r="K1457" t="inlineStr"/>
      <c r="L1457" t="n">
        <v>29.95</v>
      </c>
    </row>
    <row r="1458">
      <c r="A1458" s="1">
        <f>Hyperlink("https://www.wallsandfloors.co.uk/lagos-tiles-charcoal-floor-tiles","Product")</f>
        <v/>
      </c>
      <c r="B1458" s="1" t="inlineStr">
        <is>
          <t>14577</t>
        </is>
      </c>
      <c r="C1458" s="1" t="inlineStr">
        <is>
          <t>Lagos Charcoal Slate Effect Floor Tiles</t>
        </is>
      </c>
      <c r="D1458" s="1" t="inlineStr">
        <is>
          <t>330x330x8.5mm</t>
        </is>
      </c>
      <c r="E1458" s="1" t="n">
        <v>29.95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Matt</t>
        </is>
      </c>
      <c r="J1458" t="n">
        <v>29.95</v>
      </c>
      <c r="K1458" t="n">
        <v>29.95</v>
      </c>
      <c r="L1458" t="n">
        <v>29.95</v>
      </c>
    </row>
    <row r="1459">
      <c r="A1459" s="1">
        <f>Hyperlink("https://www.wallsandfloors.co.uk/linear-tiles-black-gloss-linear-tiles","Product")</f>
        <v/>
      </c>
      <c r="B1459" s="1" t="inlineStr">
        <is>
          <t>13914</t>
        </is>
      </c>
      <c r="C1459" s="1" t="inlineStr">
        <is>
          <t>Linear Gloss Black Brick Tiles</t>
        </is>
      </c>
      <c r="D1459" s="1" t="inlineStr">
        <is>
          <t>300x100x8mm</t>
        </is>
      </c>
      <c r="E1459" s="1" t="n">
        <v>19.95</v>
      </c>
      <c r="F1459" s="1" t="n">
        <v>0</v>
      </c>
      <c r="G1459" s="1" t="inlineStr">
        <is>
          <t>SQM</t>
        </is>
      </c>
      <c r="H1459" s="1" t="inlineStr">
        <is>
          <t>Ceramic</t>
        </is>
      </c>
      <c r="I1459" s="1" t="inlineStr">
        <is>
          <t>Gloss</t>
        </is>
      </c>
      <c r="J1459" t="n">
        <v>19.95</v>
      </c>
      <c r="K1459" t="n">
        <v>19.95</v>
      </c>
      <c r="L1459" t="n">
        <v>19.95</v>
      </c>
    </row>
    <row r="1460">
      <c r="A1460" s="1">
        <f>Hyperlink("https://www.wallsandfloors.co.uk/mapei-primer-g-5kg","Product")</f>
        <v/>
      </c>
      <c r="B1460" s="1" t="inlineStr">
        <is>
          <t>33305</t>
        </is>
      </c>
      <c r="C1460" s="1" t="inlineStr">
        <is>
          <t>Mapei Primer G 5kg</t>
        </is>
      </c>
      <c r="D1460" s="1" t="inlineStr">
        <is>
          <t>5kg</t>
        </is>
      </c>
      <c r="E1460" s="1" t="n">
        <v>17.95</v>
      </c>
      <c r="F1460" s="1" t="n">
        <v>0</v>
      </c>
      <c r="G1460" s="1" t="inlineStr"/>
      <c r="H1460" s="1" t="inlineStr">
        <is>
          <t>-</t>
        </is>
      </c>
      <c r="I1460" s="1" t="inlineStr">
        <is>
          <t>-</t>
        </is>
      </c>
      <c r="J1460" t="n">
        <v>17.95</v>
      </c>
      <c r="K1460" t="inlineStr"/>
      <c r="L1460" t="n">
        <v>17.95</v>
      </c>
    </row>
    <row r="1461">
      <c r="A1461" s="1">
        <f>Hyperlink("https://www.wallsandfloors.co.uk/linear-tiles-black-matt-linear-tiles","Product")</f>
        <v/>
      </c>
      <c r="B1461" s="1" t="inlineStr">
        <is>
          <t>13915</t>
        </is>
      </c>
      <c r="C1461" s="1" t="inlineStr">
        <is>
          <t>Black Matt Linear Tiles</t>
        </is>
      </c>
      <c r="D1461" s="1" t="inlineStr">
        <is>
          <t>300x100x8mm</t>
        </is>
      </c>
      <c r="E1461" s="1" t="n">
        <v>19.95</v>
      </c>
      <c r="F1461" s="1" t="n">
        <v>0</v>
      </c>
      <c r="G1461" s="1" t="inlineStr">
        <is>
          <t>SQM</t>
        </is>
      </c>
      <c r="H1461" s="1" t="inlineStr">
        <is>
          <t>Ceramic</t>
        </is>
      </c>
      <c r="I1461" s="1" t="inlineStr">
        <is>
          <t>Matt</t>
        </is>
      </c>
      <c r="J1461" t="n">
        <v>19.95</v>
      </c>
      <c r="K1461" t="n">
        <v>19.95</v>
      </c>
      <c r="L1461" t="n">
        <v>19.95</v>
      </c>
    </row>
    <row r="1462">
      <c r="A1462" s="1">
        <f>Hyperlink("https://www.wallsandfloors.co.uk/linear-tiles-dark-grey-gloss-linear-tiles","Product")</f>
        <v/>
      </c>
      <c r="B1462" s="1" t="inlineStr">
        <is>
          <t>13916</t>
        </is>
      </c>
      <c r="C1462" s="1" t="inlineStr">
        <is>
          <t>Linear Gloss Dark Grey Brick Tiles</t>
        </is>
      </c>
      <c r="D1462" s="1" t="inlineStr">
        <is>
          <t>300x100x8mm</t>
        </is>
      </c>
      <c r="E1462" s="1" t="n">
        <v>19.95</v>
      </c>
      <c r="F1462" s="1" t="n">
        <v>0</v>
      </c>
      <c r="G1462" s="1" t="inlineStr">
        <is>
          <t>SQM</t>
        </is>
      </c>
      <c r="H1462" s="1" t="inlineStr">
        <is>
          <t>Ceramic</t>
        </is>
      </c>
      <c r="I1462" s="1" t="inlineStr">
        <is>
          <t>Gloss</t>
        </is>
      </c>
      <c r="J1462" t="n">
        <v>19.95</v>
      </c>
      <c r="K1462" t="n">
        <v>19.95</v>
      </c>
      <c r="L1462" t="n">
        <v>19.95</v>
      </c>
    </row>
    <row r="1463">
      <c r="A1463" s="1">
        <f>Hyperlink("https://www.wallsandfloors.co.uk/lounge-tiles-polished-ivory-tiles","Product")</f>
        <v/>
      </c>
      <c r="B1463" s="1" t="inlineStr">
        <is>
          <t>11201</t>
        </is>
      </c>
      <c r="C1463" s="1" t="inlineStr">
        <is>
          <t>Lounge Polished Ivory Tiles</t>
        </is>
      </c>
      <c r="D1463" s="1" t="inlineStr">
        <is>
          <t>600x300x9mm</t>
        </is>
      </c>
      <c r="E1463" s="1" t="n">
        <v>29.95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Polished</t>
        </is>
      </c>
      <c r="J1463" t="n">
        <v>29.95</v>
      </c>
      <c r="K1463" t="n">
        <v>29.95</v>
      </c>
      <c r="L1463" t="n">
        <v>29.95</v>
      </c>
    </row>
    <row r="1464">
      <c r="A1464" s="1">
        <f>Hyperlink("https://www.wallsandfloors.co.uk/lounge-tiles-polished-ivory-floor-tiles","Product")</f>
        <v/>
      </c>
      <c r="B1464" s="1" t="inlineStr">
        <is>
          <t>11202</t>
        </is>
      </c>
      <c r="C1464" s="1" t="inlineStr">
        <is>
          <t>Lounge Polished Ivory Tiles</t>
        </is>
      </c>
      <c r="D1464" s="1" t="inlineStr">
        <is>
          <t>600x600x9mm</t>
        </is>
      </c>
      <c r="E1464" s="1" t="n">
        <v>29.95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Polished</t>
        </is>
      </c>
      <c r="J1464" t="n">
        <v>29.95</v>
      </c>
      <c r="K1464" t="n">
        <v>29.95</v>
      </c>
      <c r="L1464" t="n">
        <v>29.95</v>
      </c>
    </row>
    <row r="1465">
      <c r="A1465" s="1">
        <f>Hyperlink("https://www.wallsandfloors.co.uk/lounge-tiles-polished-dark-grey-60x60-tiles","Product")</f>
        <v/>
      </c>
      <c r="B1465" s="1" t="inlineStr">
        <is>
          <t>11456</t>
        </is>
      </c>
      <c r="C1465" s="1" t="inlineStr">
        <is>
          <t>Lounge Polished Dark Grey Tiles</t>
        </is>
      </c>
      <c r="D1465" s="1" t="inlineStr">
        <is>
          <t>600x600x9mm</t>
        </is>
      </c>
      <c r="E1465" s="1" t="n">
        <v>29.95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Polished</t>
        </is>
      </c>
      <c r="J1465" t="n">
        <v>29.95</v>
      </c>
      <c r="K1465" t="n">
        <v>29.95</v>
      </c>
      <c r="L1465" t="n">
        <v>29.95</v>
      </c>
    </row>
    <row r="1466">
      <c r="A1466" s="1">
        <f>Hyperlink("https://www.wallsandfloors.co.uk/lounge-tiles-polished-dark-grey-60x30-tiles","Product")</f>
        <v/>
      </c>
      <c r="B1466" s="1" t="inlineStr">
        <is>
          <t>11500</t>
        </is>
      </c>
      <c r="C1466" s="1" t="inlineStr">
        <is>
          <t>Lounge Polished Dark Grey Tiles</t>
        </is>
      </c>
      <c r="D1466" s="1" t="inlineStr">
        <is>
          <t>600x300x9mm</t>
        </is>
      </c>
      <c r="E1466" s="1" t="n">
        <v>29.95</v>
      </c>
      <c r="F1466" s="1" t="n">
        <v>0</v>
      </c>
      <c r="G1466" s="1" t="inlineStr">
        <is>
          <t>SQM</t>
        </is>
      </c>
      <c r="H1466" s="1" t="inlineStr">
        <is>
          <t>Porcelain</t>
        </is>
      </c>
      <c r="I1466" s="1" t="inlineStr">
        <is>
          <t>Polished</t>
        </is>
      </c>
      <c r="J1466" t="inlineStr"/>
      <c r="K1466" t="n">
        <v>29.95</v>
      </c>
      <c r="L1466" t="n">
        <v>29.95</v>
      </c>
    </row>
    <row r="1467">
      <c r="A1467" s="1">
        <f>Hyperlink("https://www.wallsandfloors.co.uk/lounge-tiles-polished-black-60x60-tiles","Product")</f>
        <v/>
      </c>
      <c r="B1467" s="1" t="inlineStr">
        <is>
          <t>11194</t>
        </is>
      </c>
      <c r="C1467" s="1" t="inlineStr">
        <is>
          <t>Lounge Polished Black Tiles</t>
        </is>
      </c>
      <c r="D1467" s="1" t="inlineStr">
        <is>
          <t>600x600x9mm</t>
        </is>
      </c>
      <c r="E1467" s="1" t="n">
        <v>29.95</v>
      </c>
      <c r="F1467" s="1" t="n">
        <v>0</v>
      </c>
      <c r="G1467" s="1" t="inlineStr">
        <is>
          <t>SQM</t>
        </is>
      </c>
      <c r="H1467" s="1" t="inlineStr">
        <is>
          <t>Porcelain</t>
        </is>
      </c>
      <c r="I1467" s="1" t="inlineStr">
        <is>
          <t>Polished</t>
        </is>
      </c>
      <c r="J1467" t="inlineStr"/>
      <c r="K1467" t="n">
        <v>29.95</v>
      </c>
      <c r="L1467" t="n">
        <v>29.95</v>
      </c>
    </row>
    <row r="1468">
      <c r="A1468" s="1">
        <f>Hyperlink("https://www.wallsandfloors.co.uk/lounge-tiles-polished-black-60x30-tiles","Product")</f>
        <v/>
      </c>
      <c r="B1468" s="1" t="inlineStr">
        <is>
          <t>11193</t>
        </is>
      </c>
      <c r="C1468" s="1" t="inlineStr">
        <is>
          <t>Lounge Polished Black Tiles</t>
        </is>
      </c>
      <c r="D1468" s="1" t="inlineStr">
        <is>
          <t>600x300x9mm</t>
        </is>
      </c>
      <c r="E1468" s="1" t="n">
        <v>29.95</v>
      </c>
      <c r="F1468" s="1" t="n">
        <v>0</v>
      </c>
      <c r="G1468" s="1" t="inlineStr">
        <is>
          <t>SQM</t>
        </is>
      </c>
      <c r="H1468" s="1" t="inlineStr">
        <is>
          <t>Porcelain</t>
        </is>
      </c>
      <c r="I1468" s="1" t="inlineStr">
        <is>
          <t>Polished</t>
        </is>
      </c>
      <c r="J1468" t="n">
        <v>29.95</v>
      </c>
      <c r="K1468" t="inlineStr"/>
      <c r="L1468" t="n">
        <v>29.95</v>
      </c>
    </row>
    <row r="1469">
      <c r="A1469" s="1">
        <f>Hyperlink("https://www.wallsandfloors.co.uk/lounge-tiles-polished-beige-60x60-tiles","Product")</f>
        <v/>
      </c>
      <c r="B1469" s="1" t="inlineStr">
        <is>
          <t>11362</t>
        </is>
      </c>
      <c r="C1469" s="1" t="inlineStr">
        <is>
          <t>Lounge Polished Beige Tiles</t>
        </is>
      </c>
      <c r="D1469" s="1" t="inlineStr">
        <is>
          <t>600x600x9mm</t>
        </is>
      </c>
      <c r="E1469" s="1" t="n">
        <v>29.95</v>
      </c>
      <c r="F1469" s="1" t="n">
        <v>0</v>
      </c>
      <c r="G1469" s="1" t="inlineStr">
        <is>
          <t>SQM</t>
        </is>
      </c>
      <c r="H1469" s="1" t="inlineStr">
        <is>
          <t>Porcelain</t>
        </is>
      </c>
      <c r="I1469" s="1" t="inlineStr">
        <is>
          <t>Polished</t>
        </is>
      </c>
      <c r="J1469" t="n">
        <v>29.95</v>
      </c>
      <c r="K1469" t="inlineStr"/>
      <c r="L1469" t="n">
        <v>29.95</v>
      </c>
    </row>
    <row r="1470">
      <c r="A1470" s="1">
        <f>Hyperlink("https://www.wallsandfloors.co.uk/lounge-tiles-polished-beige-60x30-tiles","Product")</f>
        <v/>
      </c>
      <c r="B1470" s="1" t="inlineStr">
        <is>
          <t>11363</t>
        </is>
      </c>
      <c r="C1470" s="1" t="inlineStr">
        <is>
          <t>Lounge Polished Beige Tiles</t>
        </is>
      </c>
      <c r="D1470" s="1" t="inlineStr">
        <is>
          <t>600x300x9mm</t>
        </is>
      </c>
      <c r="E1470" s="1" t="n">
        <v>29.95</v>
      </c>
      <c r="F1470" s="1" t="n">
        <v>0</v>
      </c>
      <c r="G1470" s="1" t="inlineStr">
        <is>
          <t>SQM</t>
        </is>
      </c>
      <c r="H1470" s="1" t="inlineStr">
        <is>
          <t>Porcelain</t>
        </is>
      </c>
      <c r="I1470" s="1" t="inlineStr">
        <is>
          <t>Polished</t>
        </is>
      </c>
      <c r="J1470" t="n">
        <v>29.95</v>
      </c>
      <c r="K1470" t="n">
        <v>29.95</v>
      </c>
      <c r="L1470" t="n">
        <v>29.95</v>
      </c>
    </row>
    <row r="1471">
      <c r="A1471" s="1">
        <f>Hyperlink("https://www.wallsandfloors.co.uk/lounge-tiles-matt-light-grey-floor-tiles","Product")</f>
        <v/>
      </c>
      <c r="B1471" s="1" t="inlineStr">
        <is>
          <t>11195</t>
        </is>
      </c>
      <c r="C1471" s="1" t="inlineStr">
        <is>
          <t>Lounge Matt Light Grey Tiles</t>
        </is>
      </c>
      <c r="D1471" s="1" t="inlineStr">
        <is>
          <t>600x300x9mm</t>
        </is>
      </c>
      <c r="E1471" s="1" t="n">
        <v>28.95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Matt</t>
        </is>
      </c>
      <c r="J1471" t="n">
        <v>28.95</v>
      </c>
      <c r="K1471" t="n">
        <v>28.95</v>
      </c>
      <c r="L1471" t="n">
        <v>28.95</v>
      </c>
    </row>
    <row r="1472">
      <c r="A1472" s="1">
        <f>Hyperlink("https://www.wallsandfloors.co.uk/lounge-tiles-matt-light-grey-60x60-tiles","Product")</f>
        <v/>
      </c>
      <c r="B1472" s="1" t="inlineStr">
        <is>
          <t>11196</t>
        </is>
      </c>
      <c r="C1472" s="1" t="inlineStr">
        <is>
          <t>Lounge Matt Light Grey Tiles</t>
        </is>
      </c>
      <c r="D1472" s="1" t="inlineStr">
        <is>
          <t>600x600x9mm</t>
        </is>
      </c>
      <c r="E1472" s="1" t="n">
        <v>28.95</v>
      </c>
      <c r="F1472" s="1" t="n">
        <v>0</v>
      </c>
      <c r="G1472" s="1" t="inlineStr"/>
      <c r="H1472" s="1" t="inlineStr">
        <is>
          <t>Porcelain</t>
        </is>
      </c>
      <c r="I1472" s="1" t="inlineStr">
        <is>
          <t>Matt</t>
        </is>
      </c>
      <c r="J1472" t="inlineStr"/>
      <c r="K1472" t="n">
        <v>28.95</v>
      </c>
      <c r="L1472" t="n">
        <v>28.95</v>
      </c>
    </row>
    <row r="1473">
      <c r="A1473" s="1">
        <f>Hyperlink("https://www.wallsandfloors.co.uk/lounge-tiles-matt-ivory-60x30-tiles","Product")</f>
        <v/>
      </c>
      <c r="B1473" s="1" t="inlineStr">
        <is>
          <t>11199</t>
        </is>
      </c>
      <c r="C1473" s="1" t="inlineStr">
        <is>
          <t>Lounge Matt Ivory Tiles</t>
        </is>
      </c>
      <c r="D1473" s="1" t="inlineStr">
        <is>
          <t>600x300x9mm</t>
        </is>
      </c>
      <c r="E1473" s="1" t="n">
        <v>28.95</v>
      </c>
      <c r="F1473" s="1" t="n">
        <v>0</v>
      </c>
      <c r="G1473" s="1" t="inlineStr">
        <is>
          <t>SQM</t>
        </is>
      </c>
      <c r="H1473" s="1" t="inlineStr">
        <is>
          <t>Porcelain</t>
        </is>
      </c>
      <c r="I1473" s="1" t="inlineStr">
        <is>
          <t>Matt</t>
        </is>
      </c>
      <c r="J1473" t="n">
        <v>28.95</v>
      </c>
      <c r="K1473" t="n">
        <v>28.95</v>
      </c>
      <c r="L1473" t="n">
        <v>28.95</v>
      </c>
    </row>
    <row r="1474">
      <c r="A1474" s="1">
        <f>Hyperlink("https://www.wallsandfloors.co.uk/lounge-tiles-matt-dark-grey-60x60-tiles","Product")</f>
        <v/>
      </c>
      <c r="B1474" s="1" t="inlineStr">
        <is>
          <t>11501</t>
        </is>
      </c>
      <c r="C1474" s="1" t="inlineStr">
        <is>
          <t>Lounge Matt Dark Grey Tiles</t>
        </is>
      </c>
      <c r="D1474" s="1" t="inlineStr">
        <is>
          <t>600x600x9mm</t>
        </is>
      </c>
      <c r="E1474" s="1" t="n">
        <v>28.95</v>
      </c>
      <c r="F1474" s="1" t="n">
        <v>0</v>
      </c>
      <c r="G1474" s="1" t="inlineStr">
        <is>
          <t>SQM</t>
        </is>
      </c>
      <c r="H1474" s="1" t="inlineStr">
        <is>
          <t>Porcelain</t>
        </is>
      </c>
      <c r="I1474" s="1" t="inlineStr">
        <is>
          <t>Matt</t>
        </is>
      </c>
      <c r="J1474" t="n">
        <v>28.95</v>
      </c>
      <c r="K1474" t="n">
        <v>28.95</v>
      </c>
      <c r="L1474" t="n">
        <v>28.95</v>
      </c>
    </row>
    <row r="1475">
      <c r="A1475" s="1">
        <f>Hyperlink("https://www.wallsandfloors.co.uk/lounge-tiles-matt-dark-grey-60x30-tiles","Product")</f>
        <v/>
      </c>
      <c r="B1475" s="1" t="inlineStr">
        <is>
          <t>11502</t>
        </is>
      </c>
      <c r="C1475" s="1" t="inlineStr">
        <is>
          <t>Lounge Matt Dark Grey Tiles</t>
        </is>
      </c>
      <c r="D1475" s="1" t="inlineStr">
        <is>
          <t>600x300x9mm</t>
        </is>
      </c>
      <c r="E1475" s="1" t="n">
        <v>28.95</v>
      </c>
      <c r="F1475" s="1" t="n">
        <v>0</v>
      </c>
      <c r="G1475" s="1" t="inlineStr">
        <is>
          <t>SQM</t>
        </is>
      </c>
      <c r="H1475" s="1" t="inlineStr">
        <is>
          <t>Porcelain</t>
        </is>
      </c>
      <c r="I1475" s="1" t="inlineStr">
        <is>
          <t>Matt</t>
        </is>
      </c>
      <c r="J1475" t="n">
        <v>28.95</v>
      </c>
      <c r="K1475" t="inlineStr"/>
      <c r="L1475" t="n">
        <v>28.95</v>
      </c>
    </row>
    <row r="1476">
      <c r="A1476" s="1">
        <f>Hyperlink("https://www.wallsandfloors.co.uk/lounge-tiles-matt-black-60x30-tiles","Product")</f>
        <v/>
      </c>
      <c r="B1476" s="1" t="inlineStr">
        <is>
          <t>11191</t>
        </is>
      </c>
      <c r="C1476" s="1" t="inlineStr">
        <is>
          <t>Lounge Matt Black Tiles</t>
        </is>
      </c>
      <c r="D1476" s="1" t="inlineStr">
        <is>
          <t>600x300x9mm</t>
        </is>
      </c>
      <c r="E1476" s="1" t="n">
        <v>28.95</v>
      </c>
      <c r="F1476" s="1" t="n">
        <v>0</v>
      </c>
      <c r="G1476" s="1" t="inlineStr">
        <is>
          <t>SQM</t>
        </is>
      </c>
      <c r="H1476" s="1" t="inlineStr">
        <is>
          <t>Porcelain</t>
        </is>
      </c>
      <c r="I1476" s="1" t="inlineStr">
        <is>
          <t>Matt</t>
        </is>
      </c>
      <c r="J1476" t="n">
        <v>28.95</v>
      </c>
      <c r="K1476" t="n">
        <v>28.95</v>
      </c>
      <c r="L1476" t="n">
        <v>28.95</v>
      </c>
    </row>
    <row r="1477">
      <c r="A1477" s="1">
        <f>Hyperlink("https://www.wallsandfloors.co.uk/lounge-tiles-matt-beige-60x60-tiles","Product")</f>
        <v/>
      </c>
      <c r="B1477" s="1" t="inlineStr">
        <is>
          <t>11364</t>
        </is>
      </c>
      <c r="C1477" s="1" t="inlineStr">
        <is>
          <t>Lounge Matt Beige Tiles</t>
        </is>
      </c>
      <c r="D1477" s="1" t="inlineStr">
        <is>
          <t>600x600x9mm</t>
        </is>
      </c>
      <c r="E1477" s="1" t="n">
        <v>28.95</v>
      </c>
      <c r="F1477" s="1" t="n">
        <v>0</v>
      </c>
      <c r="G1477" s="1" t="inlineStr">
        <is>
          <t>SQM</t>
        </is>
      </c>
      <c r="H1477" s="1" t="inlineStr">
        <is>
          <t>Porcelain</t>
        </is>
      </c>
      <c r="I1477" s="1" t="inlineStr">
        <is>
          <t>Matt</t>
        </is>
      </c>
      <c r="J1477" t="n">
        <v>28.95</v>
      </c>
      <c r="K1477" t="inlineStr"/>
      <c r="L1477" t="n">
        <v>28.95</v>
      </c>
    </row>
    <row r="1478">
      <c r="A1478" s="1">
        <f>Hyperlink("https://www.wallsandfloors.co.uk/lounge-tiles-matt-beige-60x30-tiles","Product")</f>
        <v/>
      </c>
      <c r="B1478" s="1" t="inlineStr">
        <is>
          <t>11365</t>
        </is>
      </c>
      <c r="C1478" s="1" t="inlineStr">
        <is>
          <t>Lounge Matt Beige Tiles</t>
        </is>
      </c>
      <c r="D1478" s="1" t="inlineStr">
        <is>
          <t>600x300x9mm</t>
        </is>
      </c>
      <c r="E1478" s="1" t="n">
        <v>28.95</v>
      </c>
      <c r="F1478" s="1" t="n">
        <v>0</v>
      </c>
      <c r="G1478" s="1" t="inlineStr">
        <is>
          <t>SQM</t>
        </is>
      </c>
      <c r="H1478" s="1" t="inlineStr">
        <is>
          <t>Porcelain</t>
        </is>
      </c>
      <c r="I1478" s="1" t="inlineStr">
        <is>
          <t>Matt</t>
        </is>
      </c>
      <c r="J1478" t="inlineStr"/>
      <c r="K1478" t="n">
        <v>28.95</v>
      </c>
      <c r="L1478" t="n">
        <v>28.95</v>
      </c>
    </row>
    <row r="1479">
      <c r="A1479" s="1">
        <f>Hyperlink("https://www.wallsandfloors.co.uk/look-tiles-silver-floor-gloss-tiles","Product")</f>
        <v/>
      </c>
      <c r="B1479" s="1" t="inlineStr">
        <is>
          <t>10937</t>
        </is>
      </c>
      <c r="C1479" s="1" t="inlineStr">
        <is>
          <t>Silver Floor Gloss Tiles</t>
        </is>
      </c>
      <c r="D1479" s="1" t="inlineStr">
        <is>
          <t>450x450x9mm</t>
        </is>
      </c>
      <c r="E1479" s="1" t="n">
        <v>15.95</v>
      </c>
      <c r="F1479" s="1" t="n">
        <v>0</v>
      </c>
      <c r="G1479" s="1" t="inlineStr">
        <is>
          <t>SQM</t>
        </is>
      </c>
      <c r="H1479" s="1" t="inlineStr">
        <is>
          <t>Ceramic</t>
        </is>
      </c>
      <c r="I1479" s="1" t="inlineStr">
        <is>
          <t>Gloss</t>
        </is>
      </c>
      <c r="J1479" t="n">
        <v>15.95</v>
      </c>
      <c r="K1479" t="n">
        <v>15.95</v>
      </c>
      <c r="L1479" t="n">
        <v>15.95</v>
      </c>
    </row>
    <row r="1480">
      <c r="A1480" s="1">
        <f>Hyperlink("https://www.wallsandfloors.co.uk/linen-squares-50mm-tiles","Product")</f>
        <v/>
      </c>
      <c r="B1480" s="1" t="inlineStr">
        <is>
          <t>990087</t>
        </is>
      </c>
      <c r="C1480" s="1" t="inlineStr">
        <is>
          <t>Linen Squares 50mm Tiles</t>
        </is>
      </c>
      <c r="D1480" s="1" t="inlineStr">
        <is>
          <t>50x50x9-10mm</t>
        </is>
      </c>
      <c r="E1480" s="1" t="n">
        <v>0.67</v>
      </c>
      <c r="F1480" s="1" t="n">
        <v>0</v>
      </c>
      <c r="G1480" s="1" t="inlineStr">
        <is>
          <t>SQM</t>
        </is>
      </c>
      <c r="H1480" s="1" t="inlineStr">
        <is>
          <t>Porcelain</t>
        </is>
      </c>
      <c r="I1480" s="1" t="inlineStr">
        <is>
          <t>Matt</t>
        </is>
      </c>
      <c r="J1480" t="inlineStr"/>
      <c r="K1480" t="inlineStr"/>
      <c r="L1480" t="n">
        <v>0.67</v>
      </c>
    </row>
    <row r="1481">
      <c r="A1481" s="1">
        <f>Hyperlink("https://www.wallsandfloors.co.uk/linear-tiles-white-gloss-linear-tiles","Product")</f>
        <v/>
      </c>
      <c r="B1481" s="1" t="inlineStr">
        <is>
          <t>13920</t>
        </is>
      </c>
      <c r="C1481" s="1" t="inlineStr">
        <is>
          <t>Linear White Gloss Brick Tiles</t>
        </is>
      </c>
      <c r="D1481" s="1" t="inlineStr">
        <is>
          <t>300x100x8mm</t>
        </is>
      </c>
      <c r="E1481" s="1" t="n">
        <v>18.95</v>
      </c>
      <c r="F1481" s="1" t="n">
        <v>0</v>
      </c>
      <c r="G1481" s="1" t="inlineStr">
        <is>
          <t>SQM</t>
        </is>
      </c>
      <c r="H1481" s="1" t="inlineStr">
        <is>
          <t>Ceramic</t>
        </is>
      </c>
      <c r="I1481" s="1" t="inlineStr">
        <is>
          <t>Gloss</t>
        </is>
      </c>
      <c r="J1481" t="n">
        <v>18.95</v>
      </c>
      <c r="K1481" t="n">
        <v>18.95</v>
      </c>
      <c r="L1481" t="n">
        <v>18.95</v>
      </c>
    </row>
    <row r="1482">
      <c r="A1482" s="1">
        <f>Hyperlink("https://www.wallsandfloors.co.uk/linear-tiles-light-grey-gloss-linear-tiles","Product")</f>
        <v/>
      </c>
      <c r="B1482" s="1" t="inlineStr">
        <is>
          <t>13918</t>
        </is>
      </c>
      <c r="C1482" s="1" t="inlineStr">
        <is>
          <t>Linear Light Grey Gloss Brick Tiles</t>
        </is>
      </c>
      <c r="D1482" s="1" t="inlineStr">
        <is>
          <t>300x100x8mm</t>
        </is>
      </c>
      <c r="E1482" s="1" t="n">
        <v>19.95</v>
      </c>
      <c r="F1482" s="1" t="n">
        <v>0</v>
      </c>
      <c r="G1482" s="1" t="inlineStr">
        <is>
          <t>SQM</t>
        </is>
      </c>
      <c r="H1482" s="1" t="inlineStr">
        <is>
          <t>Ceramic</t>
        </is>
      </c>
      <c r="I1482" s="1" t="inlineStr">
        <is>
          <t>Gloss</t>
        </is>
      </c>
      <c r="J1482" t="inlineStr"/>
      <c r="K1482" t="n">
        <v>19.95</v>
      </c>
      <c r="L1482" t="n">
        <v>19.95</v>
      </c>
    </row>
    <row r="1483">
      <c r="A1483" s="1">
        <f>Hyperlink("https://www.wallsandfloors.co.uk/linear-tiles-grey-matt-linear-tiles","Product")</f>
        <v/>
      </c>
      <c r="B1483" s="1" t="inlineStr">
        <is>
          <t>13925</t>
        </is>
      </c>
      <c r="C1483" s="1" t="inlineStr">
        <is>
          <t>Linear Grey Matt Brick Tiles</t>
        </is>
      </c>
      <c r="D1483" s="1" t="inlineStr">
        <is>
          <t>300x100x8mm</t>
        </is>
      </c>
      <c r="E1483" s="1" t="n">
        <v>18.95</v>
      </c>
      <c r="F1483" s="1" t="n">
        <v>0</v>
      </c>
      <c r="G1483" s="1" t="inlineStr">
        <is>
          <t>SQM</t>
        </is>
      </c>
      <c r="H1483" s="1" t="inlineStr">
        <is>
          <t>Ceramic</t>
        </is>
      </c>
      <c r="I1483" s="1" t="inlineStr">
        <is>
          <t>Matt</t>
        </is>
      </c>
      <c r="J1483" t="inlineStr"/>
      <c r="K1483" t="n">
        <v>18.95</v>
      </c>
      <c r="L1483" t="n">
        <v>18.95</v>
      </c>
    </row>
    <row r="1484">
      <c r="A1484" s="1">
        <f>Hyperlink("https://www.wallsandfloors.co.uk/linear-tiles-grey-gloss-linear-tiles","Product")</f>
        <v/>
      </c>
      <c r="B1484" s="1" t="inlineStr">
        <is>
          <t>13924</t>
        </is>
      </c>
      <c r="C1484" s="1" t="inlineStr">
        <is>
          <t>Linear Grey Gloss Brick Tiles</t>
        </is>
      </c>
      <c r="D1484" s="1" t="inlineStr">
        <is>
          <t>300x100x8mm</t>
        </is>
      </c>
      <c r="E1484" s="1" t="n">
        <v>19.95</v>
      </c>
      <c r="F1484" s="1" t="n">
        <v>0</v>
      </c>
      <c r="G1484" s="1" t="inlineStr"/>
      <c r="H1484" s="1" t="inlineStr">
        <is>
          <t>Ceramic</t>
        </is>
      </c>
      <c r="I1484" s="1" t="inlineStr">
        <is>
          <t>Gloss</t>
        </is>
      </c>
      <c r="J1484" t="n">
        <v>19.95</v>
      </c>
      <c r="K1484" t="n">
        <v>19.95</v>
      </c>
      <c r="L1484" t="n">
        <v>19.95</v>
      </c>
    </row>
    <row r="1485">
      <c r="A1485" s="1">
        <f>Hyperlink("https://www.wallsandfloors.co.uk/linear-tiles-dark-grey-matt-linear-tiles","Product")</f>
        <v/>
      </c>
      <c r="B1485" s="1" t="inlineStr">
        <is>
          <t>13917</t>
        </is>
      </c>
      <c r="C1485" s="1" t="inlineStr">
        <is>
          <t>Linear Dark Grey Matt Brick Tiles</t>
        </is>
      </c>
      <c r="D1485" s="1" t="inlineStr">
        <is>
          <t>300x100x8mm</t>
        </is>
      </c>
      <c r="E1485" s="1" t="n">
        <v>19.95</v>
      </c>
      <c r="F1485" s="1" t="n">
        <v>0</v>
      </c>
      <c r="G1485" s="1" t="inlineStr">
        <is>
          <t>SQM</t>
        </is>
      </c>
      <c r="H1485" s="1" t="inlineStr">
        <is>
          <t>Ceramic</t>
        </is>
      </c>
      <c r="I1485" s="1" t="inlineStr">
        <is>
          <t>Matt</t>
        </is>
      </c>
      <c r="J1485" t="inlineStr"/>
      <c r="K1485" t="n">
        <v>19.95</v>
      </c>
      <c r="L1485" t="n">
        <v>19.95</v>
      </c>
    </row>
    <row r="1486">
      <c r="A1486" s="1">
        <f>Hyperlink("https://www.wallsandfloors.co.uk/linear-tiles-cream-gloss-linear-tiles","Product")</f>
        <v/>
      </c>
      <c r="B1486" s="1" t="inlineStr">
        <is>
          <t>13922</t>
        </is>
      </c>
      <c r="C1486" s="1" t="inlineStr">
        <is>
          <t>Linear Cream Gloss Brick Tiles</t>
        </is>
      </c>
      <c r="D1486" s="1" t="inlineStr">
        <is>
          <t>300x100x8mm</t>
        </is>
      </c>
      <c r="E1486" s="1" t="n">
        <v>19.95</v>
      </c>
      <c r="F1486" s="1" t="n">
        <v>0</v>
      </c>
      <c r="G1486" s="1" t="inlineStr">
        <is>
          <t>SQM</t>
        </is>
      </c>
      <c r="H1486" s="1" t="inlineStr">
        <is>
          <t>Ceramic</t>
        </is>
      </c>
      <c r="I1486" s="1" t="inlineStr">
        <is>
          <t>Gloss</t>
        </is>
      </c>
      <c r="J1486" t="n">
        <v>19.95</v>
      </c>
      <c r="K1486" t="n">
        <v>19.95</v>
      </c>
      <c r="L1486" t="n">
        <v>19.95</v>
      </c>
    </row>
    <row r="1487">
      <c r="A1487" s="1">
        <f>Hyperlink("https://www.wallsandfloors.co.uk/mapei-starlike-adhesive-grout-kerapoxy-design-pearl-grey-tile-adhesive-grout","Product")</f>
        <v/>
      </c>
      <c r="B1487" s="1" t="inlineStr">
        <is>
          <t>11435</t>
        </is>
      </c>
      <c r="C1487" s="1" t="inlineStr">
        <is>
          <t>Kerapoxy Design Pearl Grey Tile Adhesive &amp; Grout</t>
        </is>
      </c>
      <c r="D1487" s="1" t="inlineStr">
        <is>
          <t>3 kg</t>
        </is>
      </c>
      <c r="E1487" s="1" t="n">
        <v>41.12</v>
      </c>
      <c r="F1487" s="1" t="n">
        <v>0</v>
      </c>
      <c r="G1487" s="1" t="inlineStr">
        <is>
          <t>Unit</t>
        </is>
      </c>
      <c r="H1487" s="1" t="inlineStr">
        <is>
          <t>Grout</t>
        </is>
      </c>
      <c r="I1487" s="1" t="inlineStr">
        <is>
          <t>-</t>
        </is>
      </c>
      <c r="J1487" t="n">
        <v>41.12</v>
      </c>
      <c r="K1487" t="n">
        <v>41.12</v>
      </c>
      <c r="L1487" t="n">
        <v>41.12</v>
      </c>
    </row>
    <row r="1488">
      <c r="A1488" s="1">
        <f>Hyperlink("https://www.wallsandfloors.co.uk/mapei-starlike-adhesive-grout-kerapoxy-design-transluscent-tile-adhesive-grout","Product")</f>
        <v/>
      </c>
      <c r="B1488" s="1" t="inlineStr">
        <is>
          <t>11433</t>
        </is>
      </c>
      <c r="C1488" s="1" t="inlineStr">
        <is>
          <t>Kerapoxy Design Transluscent Tile Adhesive &amp; Grout</t>
        </is>
      </c>
      <c r="D1488" s="1" t="inlineStr">
        <is>
          <t>3 kg</t>
        </is>
      </c>
      <c r="E1488" s="1" t="n">
        <v>41.12</v>
      </c>
      <c r="F1488" s="1" t="n">
        <v>0</v>
      </c>
      <c r="G1488" s="1" t="inlineStr">
        <is>
          <t>Unit</t>
        </is>
      </c>
      <c r="H1488" s="1" t="inlineStr">
        <is>
          <t>Grout</t>
        </is>
      </c>
      <c r="I1488" s="1" t="inlineStr">
        <is>
          <t>-</t>
        </is>
      </c>
      <c r="J1488" t="n">
        <v>41.12</v>
      </c>
      <c r="K1488" t="inlineStr"/>
      <c r="L1488" t="n">
        <v>41.12</v>
      </c>
    </row>
    <row r="1489">
      <c r="A1489" s="1">
        <f>Hyperlink("https://www.wallsandfloors.co.uk/mapei-starlike-adhesive-grout-mapeglitter-gold-tile-grout-additive","Product")</f>
        <v/>
      </c>
      <c r="B1489" s="1" t="inlineStr">
        <is>
          <t>11441</t>
        </is>
      </c>
      <c r="C1489" s="1" t="inlineStr">
        <is>
          <t>Mapeglitter Gold Tile Grout Additive</t>
        </is>
      </c>
      <c r="D1489" s="1" t="inlineStr">
        <is>
          <t>100g</t>
        </is>
      </c>
      <c r="E1489" s="1" t="n">
        <v>12.88</v>
      </c>
      <c r="F1489" s="1" t="n">
        <v>0</v>
      </c>
      <c r="G1489" s="1" t="inlineStr">
        <is>
          <t>Unit</t>
        </is>
      </c>
      <c r="H1489" s="1" t="inlineStr">
        <is>
          <t>Grout</t>
        </is>
      </c>
      <c r="I1489" s="1" t="inlineStr">
        <is>
          <t>-</t>
        </is>
      </c>
      <c r="J1489" t="n">
        <v>12.88</v>
      </c>
      <c r="K1489" t="n">
        <v>12.88</v>
      </c>
      <c r="L1489" t="n">
        <v>12.88</v>
      </c>
    </row>
    <row r="1490">
      <c r="A1490" s="1">
        <f>Hyperlink("https://www.wallsandfloors.co.uk/marvel-tiles-oriental-green-gloss-tiles","Product")</f>
        <v/>
      </c>
      <c r="B1490" s="1" t="inlineStr">
        <is>
          <t>13701</t>
        </is>
      </c>
      <c r="C1490" s="1" t="inlineStr">
        <is>
          <t>Marvel Gloss Oriental Green Wall Tiles</t>
        </is>
      </c>
      <c r="D1490" s="1" t="inlineStr">
        <is>
          <t>148x148x6mm</t>
        </is>
      </c>
      <c r="E1490" s="1" t="n">
        <v>23.95</v>
      </c>
      <c r="F1490" s="1" t="n">
        <v>0</v>
      </c>
      <c r="G1490" s="1" t="inlineStr">
        <is>
          <t>SQM</t>
        </is>
      </c>
      <c r="H1490" s="1" t="inlineStr">
        <is>
          <t>Ceramic</t>
        </is>
      </c>
      <c r="I1490" s="1" t="inlineStr">
        <is>
          <t>Gloss</t>
        </is>
      </c>
      <c r="J1490" t="inlineStr"/>
      <c r="K1490" t="inlineStr"/>
      <c r="L1490" t="n">
        <v>23.95</v>
      </c>
    </row>
    <row r="1491">
      <c r="A1491" s="1">
        <f>Hyperlink("https://www.wallsandfloors.co.uk/marvel-tiles-muted-yellow-matt-tiles","Product")</f>
        <v/>
      </c>
      <c r="B1491" s="1" t="inlineStr">
        <is>
          <t>13708</t>
        </is>
      </c>
      <c r="C1491" s="1" t="inlineStr">
        <is>
          <t>Marvel Matt Muted Yellow Wall Tiles</t>
        </is>
      </c>
      <c r="D1491" s="1" t="inlineStr">
        <is>
          <t>148x148x6mm</t>
        </is>
      </c>
      <c r="E1491" s="1" t="n">
        <v>23.95</v>
      </c>
      <c r="F1491" s="1" t="n">
        <v>0</v>
      </c>
      <c r="G1491" s="1" t="inlineStr">
        <is>
          <t>SQM</t>
        </is>
      </c>
      <c r="H1491" s="1" t="inlineStr">
        <is>
          <t>Ceramic</t>
        </is>
      </c>
      <c r="I1491" s="1" t="inlineStr">
        <is>
          <t>Matt</t>
        </is>
      </c>
      <c r="J1491" t="n">
        <v>23.95</v>
      </c>
      <c r="K1491" t="n">
        <v>23.95</v>
      </c>
      <c r="L1491" t="n">
        <v>23.95</v>
      </c>
    </row>
    <row r="1492">
      <c r="A1492" s="1">
        <f>Hyperlink("https://www.wallsandfloors.co.uk/marvel-tiles-lemon-zest-yellow-matt-tiles","Product")</f>
        <v/>
      </c>
      <c r="B1492" s="1" t="inlineStr">
        <is>
          <t>13686</t>
        </is>
      </c>
      <c r="C1492" s="1" t="inlineStr">
        <is>
          <t>Marvel Matt Lemon Zest Yellow Wall Tiles</t>
        </is>
      </c>
      <c r="D1492" s="1" t="inlineStr">
        <is>
          <t>148x148x6mm</t>
        </is>
      </c>
      <c r="E1492" s="1" t="n">
        <v>23.95</v>
      </c>
      <c r="F1492" s="1" t="n">
        <v>0</v>
      </c>
      <c r="G1492" s="1" t="inlineStr">
        <is>
          <t>SQM</t>
        </is>
      </c>
      <c r="H1492" s="1" t="inlineStr">
        <is>
          <t>Ceramic</t>
        </is>
      </c>
      <c r="I1492" s="1" t="inlineStr">
        <is>
          <t>Matt</t>
        </is>
      </c>
      <c r="J1492" t="inlineStr"/>
      <c r="K1492" t="n">
        <v>23.95</v>
      </c>
      <c r="L1492" t="n">
        <v>23.95</v>
      </c>
    </row>
    <row r="1493">
      <c r="A1493" s="1">
        <f>Hyperlink("https://www.wallsandfloors.co.uk/marvel-tiles-lemon-zest-yellow-gloss-tiles","Product")</f>
        <v/>
      </c>
      <c r="B1493" s="1" t="inlineStr">
        <is>
          <t>13685</t>
        </is>
      </c>
      <c r="C1493" s="1" t="inlineStr">
        <is>
          <t>Marvel Gloss Lemon Zest Yellow Wall Tiles</t>
        </is>
      </c>
      <c r="D1493" s="1" t="inlineStr">
        <is>
          <t>148x148x6mm</t>
        </is>
      </c>
      <c r="E1493" s="1" t="n">
        <v>23.95</v>
      </c>
      <c r="F1493" s="1" t="n">
        <v>0</v>
      </c>
      <c r="G1493" s="1" t="inlineStr">
        <is>
          <t>SQM</t>
        </is>
      </c>
      <c r="H1493" s="1" t="inlineStr">
        <is>
          <t>Ceramic</t>
        </is>
      </c>
      <c r="I1493" s="1" t="inlineStr">
        <is>
          <t>Gloss</t>
        </is>
      </c>
      <c r="J1493" t="n">
        <v>23.95</v>
      </c>
      <c r="K1493" t="n">
        <v>23.95</v>
      </c>
      <c r="L1493" t="n">
        <v>23.95</v>
      </c>
    </row>
    <row r="1494">
      <c r="A1494" s="1">
        <f>Hyperlink("https://www.wallsandfloors.co.uk/marvel-tiles-gravel-dark-grey-matt-tiles","Product")</f>
        <v/>
      </c>
      <c r="B1494" s="1" t="inlineStr">
        <is>
          <t>13680</t>
        </is>
      </c>
      <c r="C1494" s="1" t="inlineStr">
        <is>
          <t>Marvel Matt Gravel Dark Grey Wall Tiles</t>
        </is>
      </c>
      <c r="D1494" s="1" t="inlineStr">
        <is>
          <t>148x148x6mm</t>
        </is>
      </c>
      <c r="E1494" s="1" t="n">
        <v>23.95</v>
      </c>
      <c r="F1494" s="1" t="n">
        <v>0</v>
      </c>
      <c r="G1494" s="1" t="inlineStr">
        <is>
          <t>SQM</t>
        </is>
      </c>
      <c r="H1494" s="1" t="inlineStr">
        <is>
          <t>Ceramic</t>
        </is>
      </c>
      <c r="I1494" s="1" t="inlineStr">
        <is>
          <t>Matt</t>
        </is>
      </c>
      <c r="J1494" t="inlineStr"/>
      <c r="K1494" t="inlineStr"/>
      <c r="L1494" t="n">
        <v>23.95</v>
      </c>
    </row>
    <row r="1495">
      <c r="A1495" s="1">
        <f>Hyperlink("https://www.wallsandfloors.co.uk/marvel-tiles-gravel-dark-grey-gloss-tiles","Product")</f>
        <v/>
      </c>
      <c r="B1495" s="1" t="inlineStr">
        <is>
          <t>13679</t>
        </is>
      </c>
      <c r="C1495" s="1" t="inlineStr">
        <is>
          <t>Marvel Gloss Gravel Dark Grey Wall Tiles</t>
        </is>
      </c>
      <c r="D1495" s="1" t="inlineStr">
        <is>
          <t>148x148x6mm</t>
        </is>
      </c>
      <c r="E1495" s="1" t="n">
        <v>19.95</v>
      </c>
      <c r="F1495" s="1" t="n">
        <v>0</v>
      </c>
      <c r="G1495" s="1" t="inlineStr">
        <is>
          <t>SQM</t>
        </is>
      </c>
      <c r="H1495" s="1" t="inlineStr">
        <is>
          <t>Ceramic</t>
        </is>
      </c>
      <c r="I1495" s="1" t="inlineStr">
        <is>
          <t>Gloss</t>
        </is>
      </c>
      <c r="J1495" t="n">
        <v>19.95</v>
      </c>
      <c r="K1495" t="inlineStr"/>
      <c r="L1495" t="n">
        <v>19.95</v>
      </c>
    </row>
    <row r="1496">
      <c r="A1496" s="1">
        <f>Hyperlink("https://www.wallsandfloors.co.uk/marvel-tiles-fiery-red-gloss-tiles","Product")</f>
        <v/>
      </c>
      <c r="B1496" s="1" t="inlineStr">
        <is>
          <t>13703</t>
        </is>
      </c>
      <c r="C1496" s="1" t="inlineStr">
        <is>
          <t>Marvel Fiery Gloss Red Wall Tiles</t>
        </is>
      </c>
      <c r="D1496" s="1" t="inlineStr">
        <is>
          <t>148x148x6mm</t>
        </is>
      </c>
      <c r="E1496" s="1" t="n">
        <v>23.95</v>
      </c>
      <c r="F1496" s="1" t="n">
        <v>0</v>
      </c>
      <c r="G1496" s="1" t="inlineStr">
        <is>
          <t>SQM</t>
        </is>
      </c>
      <c r="H1496" s="1" t="inlineStr">
        <is>
          <t>Ceramic</t>
        </is>
      </c>
      <c r="I1496" s="1" t="inlineStr">
        <is>
          <t>Gloss</t>
        </is>
      </c>
      <c r="J1496" t="inlineStr"/>
      <c r="K1496" t="n">
        <v>23.95</v>
      </c>
      <c r="L1496" t="n">
        <v>23.95</v>
      </c>
    </row>
    <row r="1497">
      <c r="A1497" s="1">
        <f>Hyperlink("https://www.wallsandfloors.co.uk/marvel-tiles-creamy-tea-cream-gloss-tiles","Product")</f>
        <v/>
      </c>
      <c r="B1497" s="1" t="inlineStr">
        <is>
          <t>13677</t>
        </is>
      </c>
      <c r="C1497" s="1" t="inlineStr">
        <is>
          <t>Marvel Gloss Creamy Tea Cream Wall Tiles</t>
        </is>
      </c>
      <c r="D1497" s="1" t="inlineStr">
        <is>
          <t>148x148x6mm</t>
        </is>
      </c>
      <c r="E1497" s="1" t="n">
        <v>23.95</v>
      </c>
      <c r="F1497" s="1" t="n">
        <v>0</v>
      </c>
      <c r="G1497" s="1" t="inlineStr">
        <is>
          <t>SQM</t>
        </is>
      </c>
      <c r="H1497" s="1" t="inlineStr">
        <is>
          <t>Ceramic</t>
        </is>
      </c>
      <c r="I1497" s="1" t="inlineStr">
        <is>
          <t>Gloss</t>
        </is>
      </c>
      <c r="J1497" t="n">
        <v>23.95</v>
      </c>
      <c r="K1497" t="inlineStr"/>
      <c r="L1497" t="n">
        <v>23.95</v>
      </c>
    </row>
    <row r="1498">
      <c r="A1498" s="1">
        <f>Hyperlink("https://www.wallsandfloors.co.uk/marvel-tiles-blue-skies-matt-tiles","Product")</f>
        <v/>
      </c>
      <c r="B1498" s="1" t="inlineStr">
        <is>
          <t>13706</t>
        </is>
      </c>
      <c r="C1498" s="1" t="inlineStr">
        <is>
          <t>Marvel Matt Blue Skies Wall Tiles</t>
        </is>
      </c>
      <c r="D1498" s="1" t="inlineStr">
        <is>
          <t>148x148x6mm</t>
        </is>
      </c>
      <c r="E1498" s="1" t="n">
        <v>23.95</v>
      </c>
      <c r="F1498" s="1" t="n">
        <v>0</v>
      </c>
      <c r="G1498" s="1" t="inlineStr">
        <is>
          <t>SQM</t>
        </is>
      </c>
      <c r="H1498" s="1" t="inlineStr">
        <is>
          <t>Ceramic</t>
        </is>
      </c>
      <c r="I1498" s="1" t="inlineStr">
        <is>
          <t>Matt</t>
        </is>
      </c>
      <c r="J1498" t="n">
        <v>23.95</v>
      </c>
      <c r="K1498" t="n">
        <v>23.95</v>
      </c>
      <c r="L1498" t="n">
        <v>23.95</v>
      </c>
    </row>
    <row r="1499">
      <c r="A1499" s="1">
        <f>Hyperlink("https://www.wallsandfloors.co.uk/marvel-tiles-blue-skies-gloss-tiles","Product")</f>
        <v/>
      </c>
      <c r="B1499" s="1" t="inlineStr">
        <is>
          <t>13705</t>
        </is>
      </c>
      <c r="C1499" s="1" t="inlineStr">
        <is>
          <t>Marvel Gloss Blue Skies Wall Tiles</t>
        </is>
      </c>
      <c r="D1499" s="1" t="inlineStr">
        <is>
          <t>148x148x6mm</t>
        </is>
      </c>
      <c r="E1499" s="1" t="n">
        <v>23.95</v>
      </c>
      <c r="F1499" s="1" t="n">
        <v>0</v>
      </c>
      <c r="G1499" s="1" t="inlineStr">
        <is>
          <t>SQM</t>
        </is>
      </c>
      <c r="H1499" s="1" t="inlineStr">
        <is>
          <t>Ceramic</t>
        </is>
      </c>
      <c r="I1499" s="1" t="inlineStr">
        <is>
          <t>Gloss</t>
        </is>
      </c>
      <c r="J1499" t="n">
        <v>23.95</v>
      </c>
      <c r="K1499" t="inlineStr"/>
      <c r="L1499" t="n">
        <v>23.95</v>
      </c>
    </row>
    <row r="1500">
      <c r="A1500" s="1">
        <f>Hyperlink("https://www.wallsandfloors.co.uk/marvel-tiles-almond-milk-matt-tiles","Product")</f>
        <v/>
      </c>
      <c r="B1500" s="1" t="inlineStr">
        <is>
          <t>13674</t>
        </is>
      </c>
      <c r="C1500" s="1" t="inlineStr">
        <is>
          <t>Marvel Matt Almond Milk Wall Tiles</t>
        </is>
      </c>
      <c r="D1500" s="1" t="inlineStr">
        <is>
          <t>148x148x6mm</t>
        </is>
      </c>
      <c r="E1500" s="1" t="n">
        <v>23.95</v>
      </c>
      <c r="F1500" s="1" t="n">
        <v>0</v>
      </c>
      <c r="G1500" s="1" t="inlineStr">
        <is>
          <t>SQM</t>
        </is>
      </c>
      <c r="H1500" s="1" t="inlineStr">
        <is>
          <t>Ceramic</t>
        </is>
      </c>
      <c r="I1500" s="1" t="inlineStr">
        <is>
          <t>Matt</t>
        </is>
      </c>
      <c r="J1500" t="n">
        <v>23.95</v>
      </c>
      <c r="K1500" t="n">
        <v>23.95</v>
      </c>
      <c r="L1500" t="n">
        <v>23.95</v>
      </c>
    </row>
    <row r="1501">
      <c r="A1501" s="1">
        <f>Hyperlink("https://www.wallsandfloors.co.uk/marvel-tiles-almond-milk-gloss-tiles","Product")</f>
        <v/>
      </c>
      <c r="B1501" s="1" t="inlineStr">
        <is>
          <t>13673</t>
        </is>
      </c>
      <c r="C1501" s="1" t="inlineStr">
        <is>
          <t>Marvel Gloss Almond Milk Wall Tiles</t>
        </is>
      </c>
      <c r="D1501" s="1" t="inlineStr">
        <is>
          <t>148x148x6mm</t>
        </is>
      </c>
      <c r="E1501" s="1" t="n">
        <v>23.95</v>
      </c>
      <c r="F1501" s="1" t="n">
        <v>0</v>
      </c>
      <c r="G1501" s="1" t="inlineStr"/>
      <c r="H1501" s="1" t="inlineStr">
        <is>
          <t>Ceramic</t>
        </is>
      </c>
      <c r="I1501" s="1" t="inlineStr">
        <is>
          <t>Gloss</t>
        </is>
      </c>
      <c r="J1501" t="n">
        <v>23.95</v>
      </c>
      <c r="K1501" t="n">
        <v>23.95</v>
      </c>
      <c r="L1501" t="n">
        <v>23.95</v>
      </c>
    </row>
    <row r="1502">
      <c r="A1502" s="1">
        <f>Hyperlink("https://www.wallsandfloors.co.uk/marvel-plus-wild-mushroom-matt-tiles","Product")</f>
        <v/>
      </c>
      <c r="B1502" s="1" t="inlineStr">
        <is>
          <t>39307</t>
        </is>
      </c>
      <c r="C1502" s="1" t="inlineStr">
        <is>
          <t>Marvel Plus Wild Mushroom Matt Tiles</t>
        </is>
      </c>
      <c r="D1502" s="1" t="inlineStr">
        <is>
          <t>598x298x10mm</t>
        </is>
      </c>
      <c r="E1502" s="1" t="n">
        <v>17.95</v>
      </c>
      <c r="F1502" s="1" t="n">
        <v>0</v>
      </c>
      <c r="G1502" s="1" t="inlineStr">
        <is>
          <t>SQM</t>
        </is>
      </c>
      <c r="H1502" s="1" t="inlineStr">
        <is>
          <t>Ceramic</t>
        </is>
      </c>
      <c r="I1502" s="1" t="inlineStr">
        <is>
          <t>Matt</t>
        </is>
      </c>
      <c r="J1502" t="n">
        <v>17.95</v>
      </c>
      <c r="K1502" t="n">
        <v>17.95</v>
      </c>
      <c r="L1502" t="n">
        <v>17.95</v>
      </c>
    </row>
    <row r="1503">
      <c r="A1503" s="1">
        <f>Hyperlink("https://www.wallsandfloors.co.uk/marvel-plus-wild-mushroom-gloss-tiles","Product")</f>
        <v/>
      </c>
      <c r="B1503" s="1" t="inlineStr">
        <is>
          <t>39308</t>
        </is>
      </c>
      <c r="C1503" s="1" t="inlineStr">
        <is>
          <t>Marvel Plus Wild Mushroom Gloss Tiles</t>
        </is>
      </c>
      <c r="D1503" s="1" t="inlineStr">
        <is>
          <t>598x298x10mm</t>
        </is>
      </c>
      <c r="E1503" s="1" t="n">
        <v>17.95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Gloss</t>
        </is>
      </c>
      <c r="J1503" t="n">
        <v>17.95</v>
      </c>
      <c r="K1503" t="n">
        <v>17.95</v>
      </c>
      <c r="L1503" t="n">
        <v>17.95</v>
      </c>
    </row>
    <row r="1504">
      <c r="A1504" s="1">
        <f>Hyperlink("https://www.wallsandfloors.co.uk/zoetic-marble-effect-tiles-french-vanilla-grey-marble-effect-wall-tiles","Product")</f>
        <v/>
      </c>
      <c r="B1504" s="1" t="inlineStr">
        <is>
          <t>14764</t>
        </is>
      </c>
      <c r="C1504" s="1" t="inlineStr">
        <is>
          <t>French Vanilla Grey Marble Effect Wall Tiles</t>
        </is>
      </c>
      <c r="D1504" s="1" t="inlineStr">
        <is>
          <t>550x333x8mm</t>
        </is>
      </c>
      <c r="E1504" s="1" t="n">
        <v>17.95</v>
      </c>
      <c r="F1504" s="1" t="n">
        <v>0</v>
      </c>
      <c r="G1504" s="1" t="inlineStr">
        <is>
          <t>SQM</t>
        </is>
      </c>
      <c r="H1504" s="1" t="inlineStr">
        <is>
          <t>Ceramic</t>
        </is>
      </c>
      <c r="I1504" s="1" t="inlineStr">
        <is>
          <t>Gloss</t>
        </is>
      </c>
      <c r="J1504" t="n">
        <v>17.95</v>
      </c>
      <c r="K1504" t="n">
        <v>17.95</v>
      </c>
      <c r="L1504" t="n">
        <v>17.95</v>
      </c>
    </row>
    <row r="1505">
      <c r="A1505" s="1">
        <f>Hyperlink("https://www.wallsandfloors.co.uk/marvel-plus-white-matt-decor-tiles","Product")</f>
        <v/>
      </c>
      <c r="B1505" s="1" t="inlineStr">
        <is>
          <t>39317</t>
        </is>
      </c>
      <c r="C1505" s="1" t="inlineStr">
        <is>
          <t>Marvel Plus White Matt Decor Tiles</t>
        </is>
      </c>
      <c r="D1505" s="1" t="inlineStr">
        <is>
          <t>598x298x10mm</t>
        </is>
      </c>
      <c r="E1505" s="1" t="n">
        <v>17.95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Matt</t>
        </is>
      </c>
      <c r="J1505" t="n">
        <v>17.95</v>
      </c>
      <c r="K1505" t="inlineStr"/>
      <c r="L1505" t="n">
        <v>17.95</v>
      </c>
    </row>
    <row r="1506">
      <c r="A1506" s="1">
        <f>Hyperlink("https://www.wallsandfloors.co.uk/marvel-plus-white-gloss-tiles","Product")</f>
        <v/>
      </c>
      <c r="B1506" s="1" t="inlineStr">
        <is>
          <t>39318</t>
        </is>
      </c>
      <c r="C1506" s="1" t="inlineStr">
        <is>
          <t>Marvel Plus White Gloss Tiles</t>
        </is>
      </c>
      <c r="D1506" s="1" t="inlineStr">
        <is>
          <t>598x298x10mm</t>
        </is>
      </c>
      <c r="E1506" s="1" t="n">
        <v>17.95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n">
        <v>17.95</v>
      </c>
      <c r="K1506" t="n">
        <v>17.95</v>
      </c>
      <c r="L1506" t="n">
        <v>17.95</v>
      </c>
    </row>
    <row r="1507">
      <c r="A1507" s="1">
        <f>Hyperlink("https://www.wallsandfloors.co.uk/marvel-plus-white-gloss-decor-tiles","Product")</f>
        <v/>
      </c>
      <c r="B1507" s="1" t="inlineStr">
        <is>
          <t>39316</t>
        </is>
      </c>
      <c r="C1507" s="1" t="inlineStr">
        <is>
          <t>Marvel Plus White Gloss Decor Tiles</t>
        </is>
      </c>
      <c r="D1507" s="1" t="inlineStr">
        <is>
          <t>598x298x10mm</t>
        </is>
      </c>
      <c r="E1507" s="1" t="n">
        <v>17.95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/>
      <c r="K1507" t="n">
        <v>17.95</v>
      </c>
      <c r="L1507" t="n">
        <v>17.95</v>
      </c>
    </row>
    <row r="1508">
      <c r="A1508" s="1">
        <f>Hyperlink("https://www.wallsandfloors.co.uk/marvel-plus-smokey-black-matt-decor-tiles","Product")</f>
        <v/>
      </c>
      <c r="B1508" s="1" t="inlineStr">
        <is>
          <t>39309</t>
        </is>
      </c>
      <c r="C1508" s="1" t="inlineStr">
        <is>
          <t>Marvel Plus Smokey Black Matt Decor Tiles</t>
        </is>
      </c>
      <c r="D1508" s="1" t="inlineStr">
        <is>
          <t>598x298x10mm</t>
        </is>
      </c>
      <c r="E1508" s="1" t="n">
        <v>17.95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Matt</t>
        </is>
      </c>
      <c r="J1508" t="n">
        <v>17.95</v>
      </c>
      <c r="K1508" t="n">
        <v>17.95</v>
      </c>
      <c r="L1508" t="n">
        <v>17.95</v>
      </c>
    </row>
    <row r="1509">
      <c r="A1509" s="1">
        <f>Hyperlink("https://www.wallsandfloors.co.uk/marvel-plus-pebble-matt-tiles","Product")</f>
        <v/>
      </c>
      <c r="B1509" s="1" t="inlineStr">
        <is>
          <t>39310</t>
        </is>
      </c>
      <c r="C1509" s="1" t="inlineStr">
        <is>
          <t>Marvel Plus Pebble Matt Tiles</t>
        </is>
      </c>
      <c r="D1509" s="1" t="inlineStr">
        <is>
          <t>598x298x10mm</t>
        </is>
      </c>
      <c r="E1509" s="1" t="n">
        <v>20.95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Matt</t>
        </is>
      </c>
      <c r="J1509" t="n">
        <v>20.95</v>
      </c>
      <c r="K1509" t="inlineStr"/>
      <c r="L1509" t="n">
        <v>20.95</v>
      </c>
    </row>
    <row r="1510">
      <c r="A1510" s="1">
        <f>Hyperlink("https://www.wallsandfloors.co.uk/marvel-plus-pebble-gloss-tiles","Product")</f>
        <v/>
      </c>
      <c r="B1510" s="1" t="inlineStr">
        <is>
          <t>39311</t>
        </is>
      </c>
      <c r="C1510" s="1" t="inlineStr">
        <is>
          <t>Marvel Plus Pebble Gloss Tiles</t>
        </is>
      </c>
      <c r="D1510" s="1" t="inlineStr">
        <is>
          <t>598x298x10mm</t>
        </is>
      </c>
      <c r="E1510" s="1" t="n">
        <v>17.95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n">
        <v>17.95</v>
      </c>
      <c r="K1510" t="n">
        <v>17.95</v>
      </c>
      <c r="L1510" t="n">
        <v>17.95</v>
      </c>
    </row>
    <row r="1511">
      <c r="A1511" s="1">
        <f>Hyperlink("https://www.wallsandfloors.co.uk/marvel-plus-almond-milk-matt-tiles","Product")</f>
        <v/>
      </c>
      <c r="B1511" s="1" t="inlineStr">
        <is>
          <t>39312</t>
        </is>
      </c>
      <c r="C1511" s="1" t="inlineStr">
        <is>
          <t>Marvel Plus Almond Milk Matt Tiles</t>
        </is>
      </c>
      <c r="D1511" s="1" t="inlineStr">
        <is>
          <t>598x298x10mm</t>
        </is>
      </c>
      <c r="E1511" s="1" t="n">
        <v>17.95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Matt</t>
        </is>
      </c>
      <c r="J1511" t="n">
        <v>17.95</v>
      </c>
      <c r="K1511" t="inlineStr"/>
      <c r="L1511" t="n">
        <v>17.95</v>
      </c>
    </row>
    <row r="1512">
      <c r="A1512" s="1">
        <f>Hyperlink("https://www.wallsandfloors.co.uk/marvel-plus-almond-milk-gloss-tiles","Product")</f>
        <v/>
      </c>
      <c r="B1512" s="1" t="inlineStr">
        <is>
          <t>39315</t>
        </is>
      </c>
      <c r="C1512" s="1" t="inlineStr">
        <is>
          <t>Marvel Plus Almond Milk Gloss Tiles</t>
        </is>
      </c>
      <c r="D1512" s="1" t="inlineStr">
        <is>
          <t>598x298x10mm</t>
        </is>
      </c>
      <c r="E1512" s="1" t="n">
        <v>17.95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inlineStr"/>
      <c r="K1512" t="inlineStr"/>
      <c r="L1512" t="n">
        <v>17.95</v>
      </c>
    </row>
    <row r="1513">
      <c r="A1513" s="1">
        <f>Hyperlink("https://www.wallsandfloors.co.uk/marvel-tiles-pebble-grey-gloss-tiles","Product")</f>
        <v/>
      </c>
      <c r="B1513" s="1" t="inlineStr">
        <is>
          <t>13671</t>
        </is>
      </c>
      <c r="C1513" s="1" t="inlineStr">
        <is>
          <t>Marvel Gloss Pebble Grey Wall Tiles</t>
        </is>
      </c>
      <c r="D1513" s="1" t="inlineStr">
        <is>
          <t>148x148x6mm</t>
        </is>
      </c>
      <c r="E1513" s="1" t="n">
        <v>23.95</v>
      </c>
      <c r="F1513" s="1" t="n">
        <v>0</v>
      </c>
      <c r="G1513" s="1" t="inlineStr">
        <is>
          <t>SQM</t>
        </is>
      </c>
      <c r="H1513" s="1" t="inlineStr">
        <is>
          <t>Ceramic</t>
        </is>
      </c>
      <c r="I1513" s="1" t="inlineStr">
        <is>
          <t>Gloss</t>
        </is>
      </c>
      <c r="J1513" t="n">
        <v>23.95</v>
      </c>
      <c r="K1513" t="inlineStr"/>
      <c r="L1513" t="n">
        <v>23.95</v>
      </c>
    </row>
    <row r="1514">
      <c r="A1514" s="1">
        <f>Hyperlink("https://www.wallsandfloors.co.uk/marron-glass-brick-tiles","Product")</f>
        <v/>
      </c>
      <c r="B1514" s="1" t="inlineStr">
        <is>
          <t>37270</t>
        </is>
      </c>
      <c r="C1514" s="1" t="inlineStr">
        <is>
          <t>Marron Glass Brick Tiles</t>
        </is>
      </c>
      <c r="D1514" s="1" t="inlineStr">
        <is>
          <t>300x75x8mm</t>
        </is>
      </c>
      <c r="E1514" s="1" t="n">
        <v>1.55</v>
      </c>
      <c r="F1514" s="1" t="n">
        <v>0</v>
      </c>
      <c r="G1514" s="1" t="inlineStr">
        <is>
          <t>SQM</t>
        </is>
      </c>
      <c r="H1514" s="1" t="inlineStr">
        <is>
          <t>Glass</t>
        </is>
      </c>
      <c r="I1514" s="1" t="inlineStr">
        <is>
          <t>Gloss</t>
        </is>
      </c>
      <c r="J1514" t="n">
        <v>1.55</v>
      </c>
      <c r="K1514" t="n">
        <v>1.55</v>
      </c>
      <c r="L1514" t="n">
        <v>1.55</v>
      </c>
    </row>
    <row r="1515">
      <c r="A1515" s="1">
        <f>Hyperlink("https://www.wallsandfloors.co.uk/marvel-tiles-pebble-grey-matt-tiles","Product")</f>
        <v/>
      </c>
      <c r="B1515" s="1" t="inlineStr">
        <is>
          <t>13672</t>
        </is>
      </c>
      <c r="C1515" s="1" t="inlineStr">
        <is>
          <t>Marvel Matt Pebble Grey Wall Tiles</t>
        </is>
      </c>
      <c r="D1515" s="1" t="inlineStr">
        <is>
          <t>148x148x6mm</t>
        </is>
      </c>
      <c r="E1515" s="1" t="n">
        <v>20.95</v>
      </c>
      <c r="F1515" s="1" t="n">
        <v>0</v>
      </c>
      <c r="G1515" s="1" t="inlineStr">
        <is>
          <t>SQM</t>
        </is>
      </c>
      <c r="H1515" s="1" t="inlineStr">
        <is>
          <t>Ceramic</t>
        </is>
      </c>
      <c r="I1515" s="1" t="inlineStr">
        <is>
          <t>Matt</t>
        </is>
      </c>
      <c r="J1515" t="n">
        <v>20.95</v>
      </c>
      <c r="K1515" t="n">
        <v>20.95</v>
      </c>
      <c r="L1515" t="n">
        <v>20.95</v>
      </c>
    </row>
    <row r="1516">
      <c r="A1516" s="1">
        <f>Hyperlink("https://www.wallsandfloors.co.uk/marvel-tiles-sapphire-dark-blue-gloss-tiles","Product")</f>
        <v/>
      </c>
      <c r="B1516" s="1" t="inlineStr">
        <is>
          <t>13675</t>
        </is>
      </c>
      <c r="C1516" s="1" t="inlineStr">
        <is>
          <t>Marvel Gloss Sapphire Dark Blue Wall Tiles</t>
        </is>
      </c>
      <c r="D1516" s="1" t="inlineStr">
        <is>
          <t>148x148x6mm</t>
        </is>
      </c>
      <c r="E1516" s="1" t="n">
        <v>23.95</v>
      </c>
      <c r="F1516" s="1" t="n">
        <v>0</v>
      </c>
      <c r="G1516" s="1" t="inlineStr">
        <is>
          <t>SQM</t>
        </is>
      </c>
      <c r="H1516" s="1" t="inlineStr">
        <is>
          <t>Ceramic</t>
        </is>
      </c>
      <c r="I1516" s="1" t="inlineStr">
        <is>
          <t>Gloss</t>
        </is>
      </c>
      <c r="J1516" t="n">
        <v>23.95</v>
      </c>
      <c r="K1516" t="n">
        <v>23.95</v>
      </c>
      <c r="L1516" t="n">
        <v>23.95</v>
      </c>
    </row>
    <row r="1517">
      <c r="A1517" s="1">
        <f>Hyperlink("https://www.wallsandfloors.co.uk/mediterranean-marble-effect-tiles-light-tan-gloss-marble-effect-tiles","Product")</f>
        <v/>
      </c>
      <c r="B1517" s="1" t="inlineStr">
        <is>
          <t>12826</t>
        </is>
      </c>
      <c r="C1517" s="1" t="inlineStr">
        <is>
          <t>Mediterranean Light Tan Marble Effect Tiles</t>
        </is>
      </c>
      <c r="D1517" s="1" t="inlineStr">
        <is>
          <t>500x250x8mm</t>
        </is>
      </c>
      <c r="E1517" s="1" t="n">
        <v>13.95</v>
      </c>
      <c r="F1517" s="1" t="n">
        <v>0</v>
      </c>
      <c r="G1517" s="1" t="inlineStr">
        <is>
          <t>SQM</t>
        </is>
      </c>
      <c r="H1517" s="1" t="inlineStr">
        <is>
          <t>Ceramic</t>
        </is>
      </c>
      <c r="I1517" s="1" t="inlineStr">
        <is>
          <t>Gloss</t>
        </is>
      </c>
      <c r="J1517" t="n">
        <v>13.95</v>
      </c>
      <c r="K1517" t="n">
        <v>13.95</v>
      </c>
      <c r="L1517" t="n">
        <v>13.95</v>
      </c>
    </row>
    <row r="1518">
      <c r="A1518" s="1">
        <f>Hyperlink("https://www.wallsandfloors.co.uk/mediterranean-marble-effect-tiles-light-grey-gloss-marble-effect-tiles","Product")</f>
        <v/>
      </c>
      <c r="B1518" s="1" t="inlineStr">
        <is>
          <t>12827</t>
        </is>
      </c>
      <c r="C1518" s="1" t="inlineStr">
        <is>
          <t>Mediterranean Light Grey Marble Effect Wall Tiles</t>
        </is>
      </c>
      <c r="D1518" s="1" t="inlineStr">
        <is>
          <t>500x250x8mm</t>
        </is>
      </c>
      <c r="E1518" s="1" t="n">
        <v>15.95</v>
      </c>
      <c r="F1518" s="1" t="n">
        <v>0</v>
      </c>
      <c r="G1518" s="1" t="inlineStr">
        <is>
          <t>SQM</t>
        </is>
      </c>
      <c r="H1518" s="1" t="inlineStr">
        <is>
          <t>Ceramic</t>
        </is>
      </c>
      <c r="I1518" s="1" t="inlineStr">
        <is>
          <t>Gloss</t>
        </is>
      </c>
      <c r="J1518" t="n">
        <v>15.95</v>
      </c>
      <c r="K1518" t="n">
        <v>15.95</v>
      </c>
      <c r="L1518" t="n">
        <v>15.95</v>
      </c>
    </row>
    <row r="1519">
      <c r="A1519" s="1">
        <f>Hyperlink("https://www.wallsandfloors.co.uk/mediterranean-marble-effect-tiles-grey-mix-gloss-mosaic-marble-effect-tiles","Product")</f>
        <v/>
      </c>
      <c r="B1519" s="1" t="inlineStr">
        <is>
          <t>13264</t>
        </is>
      </c>
      <c r="C1519" s="1" t="inlineStr">
        <is>
          <t>Mediterranean Grey Mix Marble Effect Tiles</t>
        </is>
      </c>
      <c r="D1519" s="1" t="inlineStr">
        <is>
          <t>500x250x8mm</t>
        </is>
      </c>
      <c r="E1519" s="1" t="n">
        <v>16.95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Gloss</t>
        </is>
      </c>
      <c r="J1519" t="inlineStr"/>
      <c r="K1519" t="n">
        <v>16.95</v>
      </c>
      <c r="L1519" t="n">
        <v>16.95</v>
      </c>
    </row>
    <row r="1520">
      <c r="A1520" s="1">
        <f>Hyperlink("https://www.wallsandfloors.co.uk/mediterranean-marble-effect-tiles-dark-grey-gloss-marble-effect-tiles","Product")</f>
        <v/>
      </c>
      <c r="B1520" s="1" t="inlineStr">
        <is>
          <t>12829</t>
        </is>
      </c>
      <c r="C1520" s="1" t="inlineStr">
        <is>
          <t>Dark Grey Gloss Marble Effect Wall Tiles</t>
        </is>
      </c>
      <c r="D1520" s="1" t="inlineStr">
        <is>
          <t>500x250x8mm</t>
        </is>
      </c>
      <c r="E1520" s="1" t="n">
        <v>13.95</v>
      </c>
      <c r="F1520" s="1" t="n">
        <v>0</v>
      </c>
      <c r="G1520" s="1" t="inlineStr">
        <is>
          <t>SQM</t>
        </is>
      </c>
      <c r="H1520" s="1" t="inlineStr">
        <is>
          <t>Ceramic</t>
        </is>
      </c>
      <c r="I1520" s="1" t="inlineStr">
        <is>
          <t>Gloss</t>
        </is>
      </c>
      <c r="J1520" t="inlineStr"/>
      <c r="K1520" t="n">
        <v>13.95</v>
      </c>
      <c r="L1520" t="n">
        <v>13.95</v>
      </c>
    </row>
    <row r="1521">
      <c r="A1521" s="1">
        <f>Hyperlink("https://www.wallsandfloors.co.uk/mediterranean-marble-effect-tiles-cream-gloss-mix-mosaic-marble-effect-tiles","Product")</f>
        <v/>
      </c>
      <c r="B1521" s="1" t="inlineStr">
        <is>
          <t>14145</t>
        </is>
      </c>
      <c r="C1521" s="1" t="inlineStr">
        <is>
          <t>Mediterranean Cream Mix Marble Effect Tiles</t>
        </is>
      </c>
      <c r="D1521" s="1" t="inlineStr">
        <is>
          <t>500x250x8mm</t>
        </is>
      </c>
      <c r="E1521" s="1" t="n">
        <v>16.95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16.95</v>
      </c>
      <c r="K1521" t="n">
        <v>16.95</v>
      </c>
      <c r="L1521" t="n">
        <v>16.95</v>
      </c>
    </row>
    <row r="1522">
      <c r="A1522" s="1">
        <f>Hyperlink("https://www.wallsandfloors.co.uk/mediterranean-marble-effect-tiles-cream-gloss-marble-effect-tiles","Product")</f>
        <v/>
      </c>
      <c r="B1522" s="1" t="inlineStr">
        <is>
          <t>12831</t>
        </is>
      </c>
      <c r="C1522" s="1" t="inlineStr">
        <is>
          <t>Mediterranean Cream Marble Effect Wall Tiles</t>
        </is>
      </c>
      <c r="D1522" s="1" t="inlineStr">
        <is>
          <t>500x250x8mm</t>
        </is>
      </c>
      <c r="E1522" s="1" t="n">
        <v>10.95</v>
      </c>
      <c r="F1522" s="1" t="n">
        <v>0</v>
      </c>
      <c r="G1522" s="1" t="inlineStr">
        <is>
          <t>SQM</t>
        </is>
      </c>
      <c r="H1522" s="1" t="inlineStr">
        <is>
          <t>Ceramic</t>
        </is>
      </c>
      <c r="I1522" s="1" t="inlineStr">
        <is>
          <t>Gloss</t>
        </is>
      </c>
      <c r="J1522" t="n">
        <v>10.95</v>
      </c>
      <c r="K1522" t="n">
        <v>10.95</v>
      </c>
      <c r="L1522" t="n">
        <v>10.95</v>
      </c>
    </row>
    <row r="1523">
      <c r="A1523" s="1">
        <f>Hyperlink("https://www.wallsandfloors.co.uk/medici-plus-natural-600x600x20-tiles","Product")</f>
        <v/>
      </c>
      <c r="B1523" s="1" t="inlineStr">
        <is>
          <t>44179</t>
        </is>
      </c>
      <c r="C1523" s="1" t="inlineStr">
        <is>
          <t>Medici Plus Natural Porcelain Paving Slabs</t>
        </is>
      </c>
      <c r="D1523" s="1" t="inlineStr">
        <is>
          <t>595x595x20mm</t>
        </is>
      </c>
      <c r="E1523" s="1" t="n">
        <v>25.95</v>
      </c>
      <c r="F1523" s="1" t="n">
        <v>0</v>
      </c>
      <c r="G1523" s="1" t="inlineStr">
        <is>
          <t>SQM</t>
        </is>
      </c>
      <c r="H1523" s="1" t="inlineStr">
        <is>
          <t>Porcelain</t>
        </is>
      </c>
      <c r="I1523" s="1" t="inlineStr">
        <is>
          <t>Matt</t>
        </is>
      </c>
      <c r="J1523" t="n">
        <v>25.95</v>
      </c>
      <c r="K1523" t="n">
        <v>25.95</v>
      </c>
      <c r="L1523" t="n">
        <v>25.95</v>
      </c>
    </row>
    <row r="1524">
      <c r="A1524" s="1">
        <f>Hyperlink("https://www.wallsandfloors.co.uk/mazurka-mosaic-tiles-pepite-tiles","Product")</f>
        <v/>
      </c>
      <c r="B1524" s="1" t="inlineStr">
        <is>
          <t>10563</t>
        </is>
      </c>
      <c r="C1524" s="1" t="inlineStr">
        <is>
          <t>Mazurka Pepite Yellow Mosaic Tiles</t>
        </is>
      </c>
      <c r="D1524" s="1" t="inlineStr">
        <is>
          <t>348x348x4mm</t>
        </is>
      </c>
      <c r="E1524" s="1" t="n">
        <v>29.95</v>
      </c>
      <c r="F1524" s="1" t="n">
        <v>0</v>
      </c>
      <c r="G1524" s="1" t="inlineStr">
        <is>
          <t>Sheet</t>
        </is>
      </c>
      <c r="H1524" s="1" t="inlineStr">
        <is>
          <t>Porcelain</t>
        </is>
      </c>
      <c r="I1524" s="1" t="inlineStr">
        <is>
          <t>Matt</t>
        </is>
      </c>
      <c r="J1524" t="n">
        <v>29.95</v>
      </c>
      <c r="K1524" t="n">
        <v>29.95</v>
      </c>
      <c r="L1524" t="n">
        <v>29.95</v>
      </c>
    </row>
    <row r="1525">
      <c r="A1525" s="1">
        <f>Hyperlink("https://www.wallsandfloors.co.uk/mazurka-mosaic-tiles-malachite-tiles","Product")</f>
        <v/>
      </c>
      <c r="B1525" s="1" t="inlineStr">
        <is>
          <t>10568</t>
        </is>
      </c>
      <c r="C1525" s="1" t="inlineStr">
        <is>
          <t>Mazurka Malachite Teal Mosaic Tiles</t>
        </is>
      </c>
      <c r="D1525" s="1" t="inlineStr">
        <is>
          <t>348x348x4mm</t>
        </is>
      </c>
      <c r="E1525" s="1" t="n">
        <v>26.95</v>
      </c>
      <c r="F1525" s="1" t="n">
        <v>0</v>
      </c>
      <c r="G1525" s="1" t="inlineStr">
        <is>
          <t>Sheet</t>
        </is>
      </c>
      <c r="H1525" s="1" t="inlineStr">
        <is>
          <t>Porcelain</t>
        </is>
      </c>
      <c r="I1525" s="1" t="inlineStr">
        <is>
          <t>Matt</t>
        </is>
      </c>
      <c r="J1525" t="n">
        <v>26.95</v>
      </c>
      <c r="K1525" t="n">
        <v>26.95</v>
      </c>
      <c r="L1525" t="n">
        <v>26.95</v>
      </c>
    </row>
    <row r="1526">
      <c r="A1526" s="1">
        <f>Hyperlink("https://www.wallsandfloors.co.uk/mazurka-mosaic-tiles-lave-tiles","Product")</f>
        <v/>
      </c>
      <c r="B1526" s="1" t="inlineStr">
        <is>
          <t>10555</t>
        </is>
      </c>
      <c r="C1526" s="1" t="inlineStr">
        <is>
          <t>Mazurka Lave Grey Mosaic Tiles</t>
        </is>
      </c>
      <c r="D1526" s="1" t="inlineStr">
        <is>
          <t>348x348x4mm</t>
        </is>
      </c>
      <c r="E1526" s="1" t="n">
        <v>26.95</v>
      </c>
      <c r="F1526" s="1" t="n">
        <v>0</v>
      </c>
      <c r="G1526" s="1" t="inlineStr">
        <is>
          <t>Sheet</t>
        </is>
      </c>
      <c r="H1526" s="1" t="inlineStr">
        <is>
          <t>Porcelain</t>
        </is>
      </c>
      <c r="I1526" s="1" t="inlineStr">
        <is>
          <t>Matt</t>
        </is>
      </c>
      <c r="J1526" t="n">
        <v>26.95</v>
      </c>
      <c r="K1526" t="n">
        <v>26.95</v>
      </c>
      <c r="L1526" t="n">
        <v>26.95</v>
      </c>
    </row>
    <row r="1527">
      <c r="A1527" s="1">
        <f>Hyperlink("https://www.wallsandfloors.co.uk/mazurka-mosaic-tiles-cobalt-tiles","Product")</f>
        <v/>
      </c>
      <c r="B1527" s="1" t="inlineStr">
        <is>
          <t>10574</t>
        </is>
      </c>
      <c r="C1527" s="1" t="inlineStr">
        <is>
          <t>Mazurka Cobalt Dark Blue Mosaic Tiles</t>
        </is>
      </c>
      <c r="D1527" s="1" t="inlineStr">
        <is>
          <t>348x348x4mm</t>
        </is>
      </c>
      <c r="E1527" s="1" t="n">
        <v>29.95</v>
      </c>
      <c r="F1527" s="1" t="n">
        <v>0</v>
      </c>
      <c r="G1527" s="1" t="inlineStr">
        <is>
          <t>Sheet</t>
        </is>
      </c>
      <c r="H1527" s="1" t="inlineStr">
        <is>
          <t>Porcelain</t>
        </is>
      </c>
      <c r="I1527" s="1" t="inlineStr">
        <is>
          <t>Matt</t>
        </is>
      </c>
      <c r="J1527" t="n">
        <v>29.95</v>
      </c>
      <c r="K1527" t="n">
        <v>29.95</v>
      </c>
      <c r="L1527" t="n">
        <v>29.95</v>
      </c>
    </row>
    <row r="1528">
      <c r="A1528" s="1">
        <f>Hyperlink("https://www.wallsandfloors.co.uk/matt-carrara-marble-effect-60x60-tiles","Product")</f>
        <v/>
      </c>
      <c r="B1528" s="1" t="inlineStr">
        <is>
          <t>36583</t>
        </is>
      </c>
      <c r="C1528" s="1" t="inlineStr">
        <is>
          <t>Cappella Matt Carrara Marble Effect Tiles</t>
        </is>
      </c>
      <c r="D1528" s="1" t="inlineStr">
        <is>
          <t>605x605x8mm</t>
        </is>
      </c>
      <c r="E1528" s="1" t="n">
        <v>17.95</v>
      </c>
      <c r="F1528" s="1" t="n">
        <v>0</v>
      </c>
      <c r="G1528" s="1" t="inlineStr">
        <is>
          <t>SQM</t>
        </is>
      </c>
      <c r="H1528" s="1" t="inlineStr">
        <is>
          <t>Porcelain</t>
        </is>
      </c>
      <c r="I1528" s="1" t="inlineStr">
        <is>
          <t>Matt</t>
        </is>
      </c>
      <c r="J1528" t="inlineStr"/>
      <c r="K1528" t="inlineStr"/>
      <c r="L1528" t="n">
        <v>17.95</v>
      </c>
    </row>
    <row r="1529">
      <c r="A1529" s="1">
        <f>Hyperlink("https://www.wallsandfloors.co.uk/matt-black-white-floor-tiles-black-floor-tiles-15071","Product")</f>
        <v/>
      </c>
      <c r="B1529" s="1" t="inlineStr">
        <is>
          <t>15071</t>
        </is>
      </c>
      <c r="C1529" s="1" t="inlineStr">
        <is>
          <t>Matt Black Floor Tiles</t>
        </is>
      </c>
      <c r="D1529" s="1" t="inlineStr">
        <is>
          <t>333x333x7mm</t>
        </is>
      </c>
      <c r="E1529" s="1" t="n">
        <v>13.95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13.95</v>
      </c>
      <c r="K1529" t="inlineStr"/>
      <c r="L1529" t="n">
        <v>13.95</v>
      </c>
    </row>
    <row r="1530">
      <c r="A1530" s="1">
        <f>Hyperlink("https://www.wallsandfloors.co.uk/matt-black-white-floor-tiles-black-floor-tiles","Product")</f>
        <v/>
      </c>
      <c r="B1530" s="1" t="inlineStr">
        <is>
          <t>15628</t>
        </is>
      </c>
      <c r="C1530" s="1" t="inlineStr">
        <is>
          <t>Chroma Black Anti Slip Floor Tiles</t>
        </is>
      </c>
      <c r="D1530" s="1" t="inlineStr">
        <is>
          <t>338x338x7mm</t>
        </is>
      </c>
      <c r="E1530" s="1" t="n">
        <v>18.95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Matt</t>
        </is>
      </c>
      <c r="J1530" t="n">
        <v>18.95</v>
      </c>
      <c r="K1530" t="n">
        <v>18.95</v>
      </c>
      <c r="L1530" t="n">
        <v>18.95</v>
      </c>
    </row>
    <row r="1531">
      <c r="A1531" s="1">
        <f>Hyperlink("https://www.wallsandfloors.co.uk/matt-black-200x200-tiles","Product")</f>
        <v/>
      </c>
      <c r="B1531" s="1" t="inlineStr">
        <is>
          <t>14915</t>
        </is>
      </c>
      <c r="C1531" s="1" t="inlineStr">
        <is>
          <t>Spellbound Matt Black Tiles</t>
        </is>
      </c>
      <c r="D1531" s="1" t="inlineStr">
        <is>
          <t>197x197x6mm</t>
        </is>
      </c>
      <c r="E1531" s="1" t="n">
        <v>25.95</v>
      </c>
      <c r="F1531" s="1" t="n">
        <v>0</v>
      </c>
      <c r="G1531" s="1" t="inlineStr">
        <is>
          <t>SQM</t>
        </is>
      </c>
      <c r="H1531" s="1" t="inlineStr">
        <is>
          <t>Porcelain</t>
        </is>
      </c>
      <c r="I1531" s="1" t="inlineStr">
        <is>
          <t>Matt</t>
        </is>
      </c>
      <c r="J1531" t="n">
        <v>25.95</v>
      </c>
      <c r="K1531" t="n">
        <v>25.95</v>
      </c>
      <c r="L1531" t="n">
        <v>25.95</v>
      </c>
    </row>
    <row r="1532">
      <c r="A1532" s="1">
        <f>Hyperlink("https://www.wallsandfloors.co.uk/matlock-tiles-cream-marble-gloss-tiles","Product")</f>
        <v/>
      </c>
      <c r="B1532" s="1" t="inlineStr">
        <is>
          <t>7262</t>
        </is>
      </c>
      <c r="C1532" s="1" t="inlineStr">
        <is>
          <t>Cream Marble Gloss Tiles</t>
        </is>
      </c>
      <c r="D1532" s="1" t="inlineStr">
        <is>
          <t>300x200x8mm</t>
        </is>
      </c>
      <c r="E1532" s="1" t="n">
        <v>27.75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n">
        <v>27.75</v>
      </c>
      <c r="K1532" t="n">
        <v>27.75</v>
      </c>
      <c r="L1532" t="n">
        <v>27.75</v>
      </c>
    </row>
    <row r="1533">
      <c r="A1533" s="1">
        <f>Hyperlink("https://www.wallsandfloors.co.uk/marvel-tiles-timber-wolf-pale-grey-matt-tiles","Product")</f>
        <v/>
      </c>
      <c r="B1533" s="1" t="inlineStr">
        <is>
          <t>13698</t>
        </is>
      </c>
      <c r="C1533" s="1" t="inlineStr">
        <is>
          <t>Marvel Matt Timber Wolf Pale Grey Wall Tiles</t>
        </is>
      </c>
      <c r="D1533" s="1" t="inlineStr">
        <is>
          <t>148x148x6mm</t>
        </is>
      </c>
      <c r="E1533" s="1" t="n">
        <v>23.95</v>
      </c>
      <c r="F1533" s="1" t="n">
        <v>0</v>
      </c>
      <c r="G1533" s="1" t="inlineStr"/>
      <c r="H1533" s="1" t="inlineStr">
        <is>
          <t>Ceramic</t>
        </is>
      </c>
      <c r="I1533" s="1" t="inlineStr">
        <is>
          <t>Matt</t>
        </is>
      </c>
      <c r="J1533" t="n">
        <v>23.95</v>
      </c>
      <c r="K1533" t="inlineStr"/>
      <c r="L1533" t="n">
        <v>23.95</v>
      </c>
    </row>
    <row r="1534">
      <c r="A1534" s="1">
        <f>Hyperlink("https://www.wallsandfloors.co.uk/marvel-tiles-steel-blue-matt-tiles","Product")</f>
        <v/>
      </c>
      <c r="B1534" s="1" t="inlineStr">
        <is>
          <t>13668</t>
        </is>
      </c>
      <c r="C1534" s="1" t="inlineStr">
        <is>
          <t>Marvel Matt Steel Blue Wall Tiles</t>
        </is>
      </c>
      <c r="D1534" s="1" t="inlineStr">
        <is>
          <t>148x148x6mm</t>
        </is>
      </c>
      <c r="E1534" s="1" t="n">
        <v>23.95</v>
      </c>
      <c r="F1534" s="1" t="n">
        <v>0</v>
      </c>
      <c r="G1534" s="1" t="inlineStr">
        <is>
          <t>SQM</t>
        </is>
      </c>
      <c r="H1534" s="1" t="inlineStr">
        <is>
          <t>Ceramic</t>
        </is>
      </c>
      <c r="I1534" s="1" t="inlineStr">
        <is>
          <t>Matt</t>
        </is>
      </c>
      <c r="J1534" t="inlineStr"/>
      <c r="K1534" t="n">
        <v>23.95</v>
      </c>
      <c r="L1534" t="n">
        <v>23.95</v>
      </c>
    </row>
    <row r="1535">
      <c r="A1535" s="1">
        <f>Hyperlink("https://www.wallsandfloors.co.uk/marvel-tiles-steel-blue-gloss-tiles","Product")</f>
        <v/>
      </c>
      <c r="B1535" s="1" t="inlineStr">
        <is>
          <t>13667</t>
        </is>
      </c>
      <c r="C1535" s="1" t="inlineStr">
        <is>
          <t>Marvel Gloss Steel Blue Wall Tiles</t>
        </is>
      </c>
      <c r="D1535" s="1" t="inlineStr">
        <is>
          <t>148x148x6mm</t>
        </is>
      </c>
      <c r="E1535" s="1" t="n">
        <v>23.95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n">
        <v>23.95</v>
      </c>
      <c r="K1535" t="n">
        <v>23.95</v>
      </c>
      <c r="L1535" t="n">
        <v>23.95</v>
      </c>
    </row>
    <row r="1536">
      <c r="A1536" s="1">
        <f>Hyperlink("https://www.wallsandfloors.co.uk/marvel-tiles-smokey-black-matt-tiles","Product")</f>
        <v/>
      </c>
      <c r="B1536" s="1" t="inlineStr">
        <is>
          <t>13666</t>
        </is>
      </c>
      <c r="C1536" s="1" t="inlineStr">
        <is>
          <t>Marvel Matt Smokey Black Wall Tiles</t>
        </is>
      </c>
      <c r="D1536" s="1" t="inlineStr">
        <is>
          <t>148x148x6mm</t>
        </is>
      </c>
      <c r="E1536" s="1" t="n">
        <v>23.95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Matt</t>
        </is>
      </c>
      <c r="J1536" t="inlineStr"/>
      <c r="K1536" t="n">
        <v>23.95</v>
      </c>
      <c r="L1536" t="n">
        <v>23.95</v>
      </c>
    </row>
    <row r="1537">
      <c r="A1537" s="1">
        <f>Hyperlink("https://www.wallsandfloors.co.uk/marvel-tiles-smokey-black-gloss-tiles","Product")</f>
        <v/>
      </c>
      <c r="B1537" s="1" t="inlineStr">
        <is>
          <t>13665</t>
        </is>
      </c>
      <c r="C1537" s="1" t="inlineStr">
        <is>
          <t>Marvel Gloss Smokey Black Wall Tiles</t>
        </is>
      </c>
      <c r="D1537" s="1" t="inlineStr">
        <is>
          <t>148x148x6mm</t>
        </is>
      </c>
      <c r="E1537" s="1" t="n">
        <v>23.95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Gloss</t>
        </is>
      </c>
      <c r="J1537" t="n">
        <v>23.95</v>
      </c>
      <c r="K1537" t="n">
        <v>23.95</v>
      </c>
      <c r="L1537" t="n">
        <v>23.95</v>
      </c>
    </row>
    <row r="1538">
      <c r="A1538" s="1">
        <f>Hyperlink("https://www.wallsandfloors.co.uk/marvel-tiles-sea-green-gloss-tiles","Product")</f>
        <v/>
      </c>
      <c r="B1538" s="1" t="inlineStr">
        <is>
          <t>13683</t>
        </is>
      </c>
      <c r="C1538" s="1" t="inlineStr">
        <is>
          <t>Marvel Gloss Sea Green Wall Tiles</t>
        </is>
      </c>
      <c r="D1538" s="1" t="inlineStr">
        <is>
          <t>148x148x6mm</t>
        </is>
      </c>
      <c r="E1538" s="1" t="n">
        <v>23.95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n">
        <v>23.95</v>
      </c>
      <c r="K1538" t="n">
        <v>23.95</v>
      </c>
      <c r="L1538" t="n">
        <v>23.95</v>
      </c>
    </row>
    <row r="1539">
      <c r="A1539" s="1">
        <f>Hyperlink("https://www.wallsandfloors.co.uk/marvel-tiles-sapphire-dark-blue-matt-tiles","Product")</f>
        <v/>
      </c>
      <c r="B1539" s="1" t="inlineStr">
        <is>
          <t>13676</t>
        </is>
      </c>
      <c r="C1539" s="1" t="inlineStr">
        <is>
          <t>Marvel Matt Sapphire Dark Blue Wall Tiles</t>
        </is>
      </c>
      <c r="D1539" s="1" t="inlineStr">
        <is>
          <t>148x148x6mm</t>
        </is>
      </c>
      <c r="E1539" s="1" t="n">
        <v>23.95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Matt</t>
        </is>
      </c>
      <c r="J1539" t="n">
        <v>23.95</v>
      </c>
      <c r="K1539" t="n">
        <v>23.95</v>
      </c>
      <c r="L1539" t="n">
        <v>23.95</v>
      </c>
    </row>
    <row r="1540">
      <c r="A1540" s="1">
        <f>Hyperlink("https://www.wallsandfloors.co.uk/marvel-tiles-sable-grey-anthracite-matt-tiles","Product")</f>
        <v/>
      </c>
      <c r="B1540" s="1" t="inlineStr">
        <is>
          <t>13664</t>
        </is>
      </c>
      <c r="C1540" s="1" t="inlineStr">
        <is>
          <t>Marvel Matt Sable Grey Anthracite Wall Tiles</t>
        </is>
      </c>
      <c r="D1540" s="1" t="inlineStr">
        <is>
          <t>148x148x6mm</t>
        </is>
      </c>
      <c r="E1540" s="1" t="n">
        <v>23.95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Matt</t>
        </is>
      </c>
      <c r="J1540" t="n">
        <v>23.95</v>
      </c>
      <c r="K1540" t="inlineStr"/>
      <c r="L1540" t="n">
        <v>23.95</v>
      </c>
    </row>
    <row r="1541">
      <c r="A1541" s="1">
        <f>Hyperlink("https://www.wallsandfloors.co.uk/lagoon-mosaics-tiles-cobalto-tiles","Product")</f>
        <v/>
      </c>
      <c r="B1541" s="1" t="inlineStr">
        <is>
          <t>188</t>
        </is>
      </c>
      <c r="C1541" s="1" t="inlineStr">
        <is>
          <t>Lagoon Cobalto Purple Mosaic Tiles</t>
        </is>
      </c>
      <c r="D1541" s="1" t="inlineStr">
        <is>
          <t>327x327x4mm</t>
        </is>
      </c>
      <c r="E1541" s="1" t="n">
        <v>1.95</v>
      </c>
      <c r="F1541" s="1" t="n">
        <v>0</v>
      </c>
      <c r="G1541" s="1" t="inlineStr">
        <is>
          <t>Sheet</t>
        </is>
      </c>
      <c r="H1541" s="1" t="inlineStr">
        <is>
          <t>Glass</t>
        </is>
      </c>
      <c r="I1541" s="1" t="inlineStr">
        <is>
          <t>Matt</t>
        </is>
      </c>
      <c r="J1541" t="inlineStr"/>
      <c r="K1541" t="inlineStr"/>
      <c r="L1541" t="n">
        <v>1.95</v>
      </c>
    </row>
    <row r="1542">
      <c r="A1542" s="1">
        <f>Hyperlink("https://www.wallsandfloors.co.uk/marquina-black-matt-marble-effect-tiles","Product")</f>
        <v/>
      </c>
      <c r="B1542" s="1" t="inlineStr">
        <is>
          <t>39306</t>
        </is>
      </c>
      <c r="C1542" s="1" t="inlineStr">
        <is>
          <t>Marquina Black Matt Marble Effect Tiles</t>
        </is>
      </c>
      <c r="D1542" s="1" t="inlineStr">
        <is>
          <t>585x585x8mm</t>
        </is>
      </c>
      <c r="E1542" s="1" t="n">
        <v>30.95</v>
      </c>
      <c r="F1542" s="1" t="n">
        <v>0</v>
      </c>
      <c r="G1542" s="1" t="inlineStr">
        <is>
          <t>SQM</t>
        </is>
      </c>
      <c r="H1542" s="1" t="inlineStr">
        <is>
          <t>Porcelain</t>
        </is>
      </c>
      <c r="I1542" s="1" t="inlineStr">
        <is>
          <t>Matt</t>
        </is>
      </c>
      <c r="J1542" t="n">
        <v>30.95</v>
      </c>
      <c r="K1542" t="inlineStr"/>
      <c r="L1542" t="n">
        <v>30.95</v>
      </c>
    </row>
    <row r="1543">
      <c r="A1543" s="1">
        <f>Hyperlink("https://www.wallsandfloors.co.uk/marble-and-glass-mosaics-tiles-copper-bronze-brick-bond-mosaic-tiles","Product")</f>
        <v/>
      </c>
      <c r="B1543" s="1" t="inlineStr">
        <is>
          <t>11476</t>
        </is>
      </c>
      <c r="C1543" s="1" t="inlineStr">
        <is>
          <t>Copper Bronze Brick Bond Mosaic</t>
        </is>
      </c>
      <c r="D1543" s="1" t="inlineStr">
        <is>
          <t>320x295x8mm</t>
        </is>
      </c>
      <c r="E1543" s="1" t="n">
        <v>5.15</v>
      </c>
      <c r="F1543" s="1" t="n">
        <v>0</v>
      </c>
      <c r="G1543" s="1" t="inlineStr">
        <is>
          <t>Sheet</t>
        </is>
      </c>
      <c r="H1543" s="1" t="inlineStr">
        <is>
          <t>Glass, Marble</t>
        </is>
      </c>
      <c r="I1543" s="1" t="inlineStr">
        <is>
          <t>Mixed</t>
        </is>
      </c>
      <c r="J1543" t="n">
        <v>5.15</v>
      </c>
      <c r="K1543" t="n">
        <v>5.15</v>
      </c>
      <c r="L1543" t="n">
        <v>5.15</v>
      </c>
    </row>
    <row r="1544">
      <c r="A1544" s="1">
        <f>Hyperlink("https://www.wallsandfloors.co.uk/mapei-ultracolour-plus-grout-ultracolour-plus-120-black-tile-grout-12935","Product")</f>
        <v/>
      </c>
      <c r="B1544" s="1" t="inlineStr">
        <is>
          <t>12935</t>
        </is>
      </c>
      <c r="C1544" s="1" t="inlineStr">
        <is>
          <t>Mapei Ultracolour Plus 120 Black Tile Grout 2 Kg Per Unit</t>
        </is>
      </c>
      <c r="D1544" s="1" t="inlineStr">
        <is>
          <t>2 Kg</t>
        </is>
      </c>
      <c r="E1544" s="1" t="n">
        <v>8.949999999999999</v>
      </c>
      <c r="F1544" s="1" t="n">
        <v>0</v>
      </c>
      <c r="G1544" s="1" t="inlineStr">
        <is>
          <t>Unit</t>
        </is>
      </c>
      <c r="H1544" s="1" t="inlineStr">
        <is>
          <t>Floor Grout</t>
        </is>
      </c>
      <c r="I1544" s="1" t="inlineStr">
        <is>
          <t>-</t>
        </is>
      </c>
      <c r="J1544" t="n">
        <v>8.949999999999999</v>
      </c>
      <c r="K1544" t="n">
        <v>8.949999999999999</v>
      </c>
      <c r="L1544" t="n">
        <v>8.949999999999999</v>
      </c>
    </row>
    <row r="1545">
      <c r="A1545" s="1">
        <f>Hyperlink("https://www.wallsandfloors.co.uk/mapei-ultracolour-plus-grout-ultracolour-plus-114-anthracite-tile-grout-12934","Product")</f>
        <v/>
      </c>
      <c r="B1545" s="1" t="inlineStr">
        <is>
          <t>12934</t>
        </is>
      </c>
      <c r="C1545" s="1" t="inlineStr">
        <is>
          <t>Mapei Ultracolour Plus 114 Anthracite Tile Grout 2 Kg Per Unit</t>
        </is>
      </c>
      <c r="D1545" s="1" t="inlineStr">
        <is>
          <t>2 Kg</t>
        </is>
      </c>
      <c r="E1545" s="1" t="n">
        <v>8.949999999999999</v>
      </c>
      <c r="F1545" s="1" t="n">
        <v>0</v>
      </c>
      <c r="G1545" s="1" t="inlineStr">
        <is>
          <t>Unit</t>
        </is>
      </c>
      <c r="H1545" s="1" t="inlineStr">
        <is>
          <t>Floor Grout</t>
        </is>
      </c>
      <c r="I1545" s="1" t="inlineStr">
        <is>
          <t>-</t>
        </is>
      </c>
      <c r="J1545" t="n">
        <v>8.949999999999999</v>
      </c>
      <c r="K1545" t="n">
        <v>8.949999999999999</v>
      </c>
      <c r="L1545" t="n">
        <v>8.949999999999999</v>
      </c>
    </row>
    <row r="1546">
      <c r="A1546" s="1">
        <f>Hyperlink("https://www.wallsandfloors.co.uk/mapei-ultracolour-plus-grout-ultracolour-plus-114-anthracite-tile-grout","Product")</f>
        <v/>
      </c>
      <c r="B1546" s="1" t="inlineStr">
        <is>
          <t>10664</t>
        </is>
      </c>
      <c r="C1546" s="1" t="inlineStr">
        <is>
          <t>Mapei Ultracolour Plus 114 Anthracite Tile Grout 5 Kg Per Unit</t>
        </is>
      </c>
      <c r="D1546" s="1" t="inlineStr">
        <is>
          <t>5 Kg</t>
        </is>
      </c>
      <c r="E1546" s="1" t="n">
        <v>13.95</v>
      </c>
      <c r="F1546" s="1" t="n">
        <v>0</v>
      </c>
      <c r="G1546" s="1" t="inlineStr">
        <is>
          <t>Unit</t>
        </is>
      </c>
      <c r="H1546" s="1" t="inlineStr">
        <is>
          <t>Floor Grout</t>
        </is>
      </c>
      <c r="I1546" s="1" t="inlineStr">
        <is>
          <t>-</t>
        </is>
      </c>
      <c r="J1546" t="inlineStr"/>
      <c r="K1546" t="inlineStr"/>
      <c r="L1546" t="n">
        <v>13.95</v>
      </c>
    </row>
    <row r="1547">
      <c r="A1547" s="1">
        <f>Hyperlink("https://www.wallsandfloors.co.uk/mapei-ultracolour-plus-grout-ultracolour-plus-113-cement-grey-tile-grout-12933","Product")</f>
        <v/>
      </c>
      <c r="B1547" s="1" t="inlineStr">
        <is>
          <t>12933</t>
        </is>
      </c>
      <c r="C1547" s="1" t="inlineStr">
        <is>
          <t>Mapei Ultracolour Plus 113 Cement Grey Tile Grout 2 Kg Per Unit</t>
        </is>
      </c>
      <c r="D1547" s="1" t="inlineStr">
        <is>
          <t>2 Kg</t>
        </is>
      </c>
      <c r="E1547" s="1" t="n">
        <v>8.949999999999999</v>
      </c>
      <c r="F1547" s="1" t="n">
        <v>0</v>
      </c>
      <c r="G1547" s="1" t="inlineStr">
        <is>
          <t>Unit</t>
        </is>
      </c>
      <c r="H1547" s="1" t="inlineStr">
        <is>
          <t>Floor Grout</t>
        </is>
      </c>
      <c r="I1547" s="1" t="inlineStr">
        <is>
          <t>-</t>
        </is>
      </c>
      <c r="J1547" t="n">
        <v>8.949999999999999</v>
      </c>
      <c r="K1547" t="n">
        <v>8.949999999999999</v>
      </c>
      <c r="L1547" t="n">
        <v>8.949999999999999</v>
      </c>
    </row>
    <row r="1548">
      <c r="A1548" s="1">
        <f>Hyperlink("https://www.wallsandfloors.co.uk/mapei-ultracolour-plus-grout-ultracolour-plus-112-medium-grey-tile-grout-12932","Product")</f>
        <v/>
      </c>
      <c r="B1548" s="1" t="inlineStr">
        <is>
          <t>12932</t>
        </is>
      </c>
      <c r="C1548" s="1" t="inlineStr">
        <is>
          <t>Mapei Ultracolour Plus 112 Medium Grey Tile Grout 2 Kg Per Unit</t>
        </is>
      </c>
      <c r="D1548" s="1" t="inlineStr">
        <is>
          <t>2 Kg</t>
        </is>
      </c>
      <c r="E1548" s="1" t="n">
        <v>8.949999999999999</v>
      </c>
      <c r="F1548" s="1" t="n">
        <v>0</v>
      </c>
      <c r="G1548" s="1" t="inlineStr">
        <is>
          <t>Unit</t>
        </is>
      </c>
      <c r="H1548" s="1" t="inlineStr">
        <is>
          <t>Floor Grout</t>
        </is>
      </c>
      <c r="I1548" s="1" t="inlineStr">
        <is>
          <t>-</t>
        </is>
      </c>
      <c r="J1548" t="n">
        <v>8.949999999999999</v>
      </c>
      <c r="K1548" t="n">
        <v>8.949999999999999</v>
      </c>
      <c r="L1548" t="n">
        <v>8.949999999999999</v>
      </c>
    </row>
    <row r="1549">
      <c r="A1549" s="1">
        <f>Hyperlink("https://www.wallsandfloors.co.uk/mapei-ultracolour-plus-grout-ultracolour-plus-112-medium-grey-tile-grout","Product")</f>
        <v/>
      </c>
      <c r="B1549" s="1" t="inlineStr">
        <is>
          <t>12931</t>
        </is>
      </c>
      <c r="C1549" s="1" t="inlineStr">
        <is>
          <t>Ultracolour Plus 112 Medium Grey Tile Grout</t>
        </is>
      </c>
      <c r="D1549" s="1" t="inlineStr">
        <is>
          <t>5 Kg</t>
        </is>
      </c>
      <c r="E1549" s="1" t="n">
        <v>13.95</v>
      </c>
      <c r="F1549" s="1" t="n">
        <v>0</v>
      </c>
      <c r="G1549" s="1" t="inlineStr">
        <is>
          <t>Unit</t>
        </is>
      </c>
      <c r="H1549" s="1" t="inlineStr">
        <is>
          <t>Floor Grout</t>
        </is>
      </c>
      <c r="I1549" s="1" t="inlineStr">
        <is>
          <t>-</t>
        </is>
      </c>
      <c r="J1549" t="inlineStr"/>
      <c r="K1549" t="inlineStr"/>
      <c r="L1549" t="n">
        <v>13.95</v>
      </c>
    </row>
    <row r="1550">
      <c r="A1550" s="1">
        <f>Hyperlink("https://www.wallsandfloors.co.uk/mapei-ultracolour-plus-grout-ultracolour-plus-111-silver-tile-grout-12930","Product")</f>
        <v/>
      </c>
      <c r="B1550" s="1" t="inlineStr">
        <is>
          <t>12930</t>
        </is>
      </c>
      <c r="C1550" s="1" t="inlineStr">
        <is>
          <t>Mapei Ultracolour Plus 111 Silver Tile Grout 2 Kg Per Unit</t>
        </is>
      </c>
      <c r="D1550" s="1" t="inlineStr">
        <is>
          <t>2 Kg</t>
        </is>
      </c>
      <c r="E1550" s="1" t="n">
        <v>8.949999999999999</v>
      </c>
      <c r="F1550" s="1" t="n">
        <v>0</v>
      </c>
      <c r="G1550" s="1" t="inlineStr">
        <is>
          <t>Unit</t>
        </is>
      </c>
      <c r="H1550" s="1" t="inlineStr">
        <is>
          <t>Floor Grout</t>
        </is>
      </c>
      <c r="I1550" s="1" t="inlineStr">
        <is>
          <t>-</t>
        </is>
      </c>
      <c r="J1550" t="inlineStr"/>
      <c r="K1550" t="n">
        <v>8.949999999999999</v>
      </c>
      <c r="L1550" t="n">
        <v>8.949999999999999</v>
      </c>
    </row>
    <row r="1551">
      <c r="A1551" s="1">
        <f>Hyperlink("https://www.wallsandfloors.co.uk/mapei-ultracolour-plus-grout-ultracolour-plus-110-manhattan-grey-tile-grout-12927","Product")</f>
        <v/>
      </c>
      <c r="B1551" s="1" t="inlineStr">
        <is>
          <t>12927</t>
        </is>
      </c>
      <c r="C1551" s="1" t="inlineStr">
        <is>
          <t>Mapei Ultracolour Plus 110 Manhattan Grey Tile Grout 2 Kg Per Unit</t>
        </is>
      </c>
      <c r="D1551" s="1" t="inlineStr">
        <is>
          <t>2 Kg</t>
        </is>
      </c>
      <c r="E1551" s="1" t="n">
        <v>9.949999999999999</v>
      </c>
      <c r="F1551" s="1" t="n">
        <v>0</v>
      </c>
      <c r="G1551" s="1" t="inlineStr">
        <is>
          <t>Unit</t>
        </is>
      </c>
      <c r="H1551" s="1" t="inlineStr">
        <is>
          <t>Floor Grout</t>
        </is>
      </c>
      <c r="I1551" s="1" t="inlineStr">
        <is>
          <t>-</t>
        </is>
      </c>
      <c r="J1551" t="inlineStr"/>
      <c r="K1551" t="n">
        <v>9.949999999999999</v>
      </c>
      <c r="L1551" t="n">
        <v>9.949999999999999</v>
      </c>
    </row>
    <row r="1552">
      <c r="A1552" s="1">
        <f>Hyperlink("https://www.wallsandfloors.co.uk/mapei-ultracolour-plus-grout-ultracolour-plus-110-manhattan-grey-tile-grout","Product")</f>
        <v/>
      </c>
      <c r="B1552" s="1" t="inlineStr">
        <is>
          <t>12383</t>
        </is>
      </c>
      <c r="C1552" s="1" t="inlineStr">
        <is>
          <t>Ultracolour Plus 110 Manhattan Grey Tile Grout</t>
        </is>
      </c>
      <c r="D1552" s="1" t="inlineStr">
        <is>
          <t>5 Kg</t>
        </is>
      </c>
      <c r="E1552" s="1" t="n">
        <v>13.95</v>
      </c>
      <c r="F1552" s="1" t="n">
        <v>0</v>
      </c>
      <c r="G1552" s="1" t="inlineStr">
        <is>
          <t>Unit</t>
        </is>
      </c>
      <c r="H1552" s="1" t="inlineStr">
        <is>
          <t>Floor Grout</t>
        </is>
      </c>
      <c r="I1552" s="1" t="inlineStr">
        <is>
          <t>-</t>
        </is>
      </c>
      <c r="J1552" t="inlineStr"/>
      <c r="K1552" t="n">
        <v>13.95</v>
      </c>
      <c r="L1552" t="n">
        <v>13.95</v>
      </c>
    </row>
    <row r="1553">
      <c r="A1553" s="1">
        <f>Hyperlink("https://www.wallsandfloors.co.uk/mapei-ultracolour-plus-grout-ultracolour-plus-103-moon-white-tile-grout","Product")</f>
        <v/>
      </c>
      <c r="B1553" s="1" t="inlineStr">
        <is>
          <t>15440</t>
        </is>
      </c>
      <c r="C1553" s="1" t="inlineStr">
        <is>
          <t>Mapei Ultracolour Plus 103 Moon White Tile Grout 5 Kg Per Unit</t>
        </is>
      </c>
      <c r="D1553" s="1" t="inlineStr">
        <is>
          <t>5 Kg</t>
        </is>
      </c>
      <c r="E1553" s="1" t="n">
        <v>13.95</v>
      </c>
      <c r="F1553" s="1" t="n">
        <v>0</v>
      </c>
      <c r="G1553" s="1" t="inlineStr">
        <is>
          <t>Unit</t>
        </is>
      </c>
      <c r="H1553" s="1" t="inlineStr">
        <is>
          <t>Floor Grout</t>
        </is>
      </c>
      <c r="I1553" s="1" t="inlineStr">
        <is>
          <t>-</t>
        </is>
      </c>
      <c r="J1553" t="n">
        <v>13.95</v>
      </c>
      <c r="K1553" t="n">
        <v>13.95</v>
      </c>
      <c r="L1553" t="n">
        <v>13.95</v>
      </c>
    </row>
    <row r="1554">
      <c r="A1554" s="1">
        <f>Hyperlink("https://www.wallsandfloors.co.uk/mapei-ultracolour-plus-grout-ultracolour-plus-100-white-tile-grout","Product")</f>
        <v/>
      </c>
      <c r="B1554" s="1" t="inlineStr">
        <is>
          <t>10662</t>
        </is>
      </c>
      <c r="C1554" s="1" t="inlineStr">
        <is>
          <t>Ultracolour Plus 100 White Tile Grout</t>
        </is>
      </c>
      <c r="D1554" s="1" t="inlineStr">
        <is>
          <t>5 Kg</t>
        </is>
      </c>
      <c r="E1554" s="1" t="n">
        <v>12.95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n">
        <v>12.95</v>
      </c>
      <c r="K1554" t="n">
        <v>12.95</v>
      </c>
      <c r="L1554" t="n">
        <v>12.95</v>
      </c>
    </row>
    <row r="1555">
      <c r="A1555" s="1">
        <f>Hyperlink("https://www.wallsandfloors.co.uk/mapei-ultracolour-plus-138-almond-tile-grout","Product")</f>
        <v/>
      </c>
      <c r="B1555" s="1" t="inlineStr">
        <is>
          <t>39279</t>
        </is>
      </c>
      <c r="C1555" s="1" t="inlineStr">
        <is>
          <t>Ultracolour Plus 138 Almond Tile Grout</t>
        </is>
      </c>
      <c r="D1555" s="1" t="inlineStr">
        <is>
          <t>5 Kg</t>
        </is>
      </c>
      <c r="E1555" s="1" t="n">
        <v>14.95</v>
      </c>
      <c r="F1555" s="1" t="n">
        <v>0</v>
      </c>
      <c r="G1555" s="1" t="inlineStr">
        <is>
          <t>Unit</t>
        </is>
      </c>
      <c r="H1555" s="1" t="inlineStr">
        <is>
          <t>Floor Grout</t>
        </is>
      </c>
      <c r="I1555" s="1" t="inlineStr">
        <is>
          <t>-</t>
        </is>
      </c>
      <c r="J1555" t="n">
        <v>14.95</v>
      </c>
      <c r="K1555" t="n">
        <v>14.95</v>
      </c>
      <c r="L1555" t="n">
        <v>14.95</v>
      </c>
    </row>
    <row r="1556">
      <c r="A1556" s="1">
        <f>Hyperlink("https://www.wallsandfloors.co.uk/mapei-ultracolor-plus-299-limestone-tile-grout","Product")</f>
        <v/>
      </c>
      <c r="B1556" s="1" t="inlineStr">
        <is>
          <t>33374</t>
        </is>
      </c>
      <c r="C1556" s="1" t="inlineStr">
        <is>
          <t>Ultracolour Plus 299 Limestone Tile Grout</t>
        </is>
      </c>
      <c r="D1556" s="1" t="inlineStr">
        <is>
          <t>5 Kg</t>
        </is>
      </c>
      <c r="E1556" s="1" t="n">
        <v>13.95</v>
      </c>
      <c r="F1556" s="1" t="n">
        <v>0</v>
      </c>
      <c r="G1556" s="1" t="inlineStr">
        <is>
          <t>Unit</t>
        </is>
      </c>
      <c r="H1556" s="1" t="inlineStr">
        <is>
          <t>Grout</t>
        </is>
      </c>
      <c r="I1556" s="1" t="inlineStr">
        <is>
          <t>-</t>
        </is>
      </c>
      <c r="J1556" t="n">
        <v>13.95</v>
      </c>
      <c r="K1556" t="n">
        <v>13.95</v>
      </c>
      <c r="L1556" t="n">
        <v>13.95</v>
      </c>
    </row>
    <row r="1557">
      <c r="A1557" s="1">
        <f>Hyperlink("https://www.wallsandfloors.co.uk/mapei-ultracolor-plus-174-tornado-grey-tile-grout","Product")</f>
        <v/>
      </c>
      <c r="B1557" s="1" t="inlineStr">
        <is>
          <t>12958</t>
        </is>
      </c>
      <c r="C1557" s="1" t="inlineStr">
        <is>
          <t>Mapei Ultracolour Plus 174 Tornado Grey Tile Grout 5Kg Per Unit</t>
        </is>
      </c>
      <c r="D1557" s="1" t="inlineStr">
        <is>
          <t>5 Kg</t>
        </is>
      </c>
      <c r="E1557" s="1" t="n">
        <v>13.95</v>
      </c>
      <c r="F1557" s="1" t="n">
        <v>0</v>
      </c>
      <c r="G1557" s="1" t="inlineStr">
        <is>
          <t>Unit</t>
        </is>
      </c>
      <c r="H1557" s="1" t="inlineStr">
        <is>
          <t>Grout</t>
        </is>
      </c>
      <c r="I1557" s="1" t="inlineStr">
        <is>
          <t>-</t>
        </is>
      </c>
      <c r="J1557" t="n">
        <v>13.95</v>
      </c>
      <c r="K1557" t="inlineStr"/>
      <c r="L1557" t="n">
        <v>13.95</v>
      </c>
    </row>
    <row r="1558">
      <c r="A1558" s="1">
        <f>Hyperlink("https://www.wallsandfloors.co.uk/mapei-tile-preparation-sealants-ultraplan-renovation-screed-levelling-compound","Product")</f>
        <v/>
      </c>
      <c r="B1558" s="1" t="inlineStr">
        <is>
          <t>10666</t>
        </is>
      </c>
      <c r="C1558" s="1" t="inlineStr">
        <is>
          <t>Ultraplan Renovation Screed Levelling Compound</t>
        </is>
      </c>
      <c r="D1558" s="1" t="inlineStr">
        <is>
          <t>25 Kg</t>
        </is>
      </c>
      <c r="E1558" s="1" t="n">
        <v>19.94</v>
      </c>
      <c r="F1558" s="1" t="n">
        <v>0</v>
      </c>
      <c r="G1558" s="1" t="inlineStr">
        <is>
          <t>Unit</t>
        </is>
      </c>
      <c r="H1558" s="1" t="inlineStr">
        <is>
          <t>Preparation Products</t>
        </is>
      </c>
      <c r="I1558" s="1" t="inlineStr">
        <is>
          <t>-</t>
        </is>
      </c>
      <c r="J1558" t="n">
        <v>19.94</v>
      </c>
      <c r="K1558" t="n">
        <v>19.94</v>
      </c>
      <c r="L1558" t="n">
        <v>19.94</v>
      </c>
    </row>
    <row r="1559">
      <c r="A1559" s="1">
        <f>Hyperlink("https://www.wallsandfloors.co.uk/mapei-tile-preparation-sealants-primer-g-substrate","Product")</f>
        <v/>
      </c>
      <c r="B1559" s="1" t="inlineStr">
        <is>
          <t>10657</t>
        </is>
      </c>
      <c r="C1559" s="1" t="inlineStr">
        <is>
          <t>Mapei Primer G Substrate 1kg</t>
        </is>
      </c>
      <c r="D1559" s="1" t="inlineStr">
        <is>
          <t>1 Kg</t>
        </is>
      </c>
      <c r="E1559" s="1" t="n">
        <v>8.949999999999999</v>
      </c>
      <c r="F1559" s="1" t="n">
        <v>0</v>
      </c>
      <c r="G1559" s="1" t="inlineStr"/>
      <c r="H1559" s="1" t="inlineStr">
        <is>
          <t>Priming and Bonding Agents</t>
        </is>
      </c>
      <c r="I1559" s="1" t="inlineStr">
        <is>
          <t>-</t>
        </is>
      </c>
      <c r="J1559" t="inlineStr"/>
      <c r="K1559" t="n">
        <v>8.949999999999999</v>
      </c>
      <c r="L1559" t="n">
        <v>8.949999999999999</v>
      </c>
    </row>
    <row r="1560">
      <c r="A1560" s="1">
        <f>Hyperlink("https://www.wallsandfloors.co.uk/mapei-tile-preparation-sealants-mapesil-ac-130-jasmine","Product")</f>
        <v/>
      </c>
      <c r="B1560" s="1" t="inlineStr">
        <is>
          <t>10661</t>
        </is>
      </c>
      <c r="C1560" s="1" t="inlineStr">
        <is>
          <t>Mapesil AC 130 Jasmine</t>
        </is>
      </c>
      <c r="D1560" s="1" t="inlineStr">
        <is>
          <t>310ml</t>
        </is>
      </c>
      <c r="E1560" s="1" t="n">
        <v>6.45</v>
      </c>
      <c r="F1560" s="1" t="n">
        <v>0</v>
      </c>
      <c r="G1560" s="1" t="inlineStr">
        <is>
          <t>Unit</t>
        </is>
      </c>
      <c r="H1560" s="1" t="inlineStr">
        <is>
          <t>Silicone</t>
        </is>
      </c>
      <c r="I1560" s="1" t="inlineStr">
        <is>
          <t>-</t>
        </is>
      </c>
      <c r="J1560" t="inlineStr"/>
      <c r="K1560" t="n">
        <v>6.45</v>
      </c>
      <c r="L1560" t="n">
        <v>6.45</v>
      </c>
    </row>
    <row r="1561">
      <c r="A1561" s="1">
        <f>Hyperlink("https://www.wallsandfloors.co.uk/mapei-tile-preparation-sealants-mapesil-ac-114-anthracite","Product")</f>
        <v/>
      </c>
      <c r="B1561" s="1" t="inlineStr">
        <is>
          <t>10660</t>
        </is>
      </c>
      <c r="C1561" s="1" t="inlineStr">
        <is>
          <t>Mapesil AC 114 Anthracite</t>
        </is>
      </c>
      <c r="D1561" s="1" t="inlineStr">
        <is>
          <t>310ml</t>
        </is>
      </c>
      <c r="E1561" s="1" t="n">
        <v>6.45</v>
      </c>
      <c r="F1561" s="1" t="n">
        <v>0</v>
      </c>
      <c r="G1561" s="1" t="inlineStr">
        <is>
          <t>Unit</t>
        </is>
      </c>
      <c r="H1561" s="1" t="inlineStr">
        <is>
          <t>Silicone</t>
        </is>
      </c>
      <c r="I1561" s="1" t="inlineStr">
        <is>
          <t>-</t>
        </is>
      </c>
      <c r="J1561" t="n">
        <v>6.45</v>
      </c>
      <c r="K1561" t="inlineStr"/>
      <c r="L1561" t="n">
        <v>6.45</v>
      </c>
    </row>
    <row r="1562">
      <c r="A1562" s="1">
        <f>Hyperlink("https://www.wallsandfloors.co.uk/mapei-tile-preparation-sealants-mapesil-ac-113-cement-grey","Product")</f>
        <v/>
      </c>
      <c r="B1562" s="1" t="inlineStr">
        <is>
          <t>10659</t>
        </is>
      </c>
      <c r="C1562" s="1" t="inlineStr">
        <is>
          <t>Mapesil AC 113 Cement Grey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n">
        <v>6.45</v>
      </c>
      <c r="K1562" t="inlineStr"/>
      <c r="L1562" t="n">
        <v>6.45</v>
      </c>
    </row>
    <row r="1563">
      <c r="A1563" s="1">
        <f>Hyperlink("https://www.wallsandfloors.co.uk/mapei-tile-preparation-sealants-mapesil-ac-112-medium-grey","Product")</f>
        <v/>
      </c>
      <c r="B1563" s="1" t="inlineStr">
        <is>
          <t>33314</t>
        </is>
      </c>
      <c r="C1563" s="1" t="inlineStr">
        <is>
          <t>Mapesil AC 112 Medium Grey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n">
        <v>6.45</v>
      </c>
      <c r="K1563" t="n">
        <v>6.45</v>
      </c>
      <c r="L1563" t="n">
        <v>6.45</v>
      </c>
    </row>
    <row r="1564">
      <c r="A1564" s="1">
        <f>Hyperlink("https://www.wallsandfloors.co.uk/mapei-tile-preparation-sealants-mapesil-ac-100-white","Product")</f>
        <v/>
      </c>
      <c r="B1564" s="1" t="inlineStr">
        <is>
          <t>10658</t>
        </is>
      </c>
      <c r="C1564" s="1" t="inlineStr">
        <is>
          <t>Mapesil AC 100 White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n">
        <v>6.45</v>
      </c>
      <c r="K1564" t="n">
        <v>6.45</v>
      </c>
      <c r="L1564" t="n">
        <v>6.45</v>
      </c>
    </row>
    <row r="1565">
      <c r="A1565" s="1">
        <f>Hyperlink("https://www.wallsandfloors.co.uk/mapei-tile-preparation-sealants-latex-plus-additive","Product")</f>
        <v/>
      </c>
      <c r="B1565" s="1" t="inlineStr">
        <is>
          <t>10652</t>
        </is>
      </c>
      <c r="C1565" s="1" t="inlineStr">
        <is>
          <t>Latex Plus Additive</t>
        </is>
      </c>
      <c r="D1565" s="1" t="inlineStr">
        <is>
          <t>6 Kg</t>
        </is>
      </c>
      <c r="E1565" s="1" t="n">
        <v>30.53</v>
      </c>
      <c r="F1565" s="1" t="n">
        <v>0</v>
      </c>
      <c r="G1565" s="1" t="inlineStr">
        <is>
          <t>Unit</t>
        </is>
      </c>
      <c r="H1565" s="1" t="inlineStr">
        <is>
          <t>Latex and Screeds</t>
        </is>
      </c>
      <c r="I1565" s="1" t="inlineStr">
        <is>
          <t>-</t>
        </is>
      </c>
      <c r="J1565" t="n">
        <v>30.53</v>
      </c>
      <c r="K1565" t="inlineStr"/>
      <c r="L1565" t="n">
        <v>30.53</v>
      </c>
    </row>
    <row r="1566">
      <c r="A1566" s="1">
        <f>Hyperlink("https://www.wallsandfloors.co.uk/mapei-starlike-adhesive-grout-mapeglitter-silver-tile-grout-additive","Product")</f>
        <v/>
      </c>
      <c r="B1566" s="1" t="inlineStr">
        <is>
          <t>11442</t>
        </is>
      </c>
      <c r="C1566" s="1" t="inlineStr">
        <is>
          <t>Mapeglitter Silver Tile Grout Additive</t>
        </is>
      </c>
      <c r="D1566" s="1" t="inlineStr">
        <is>
          <t>100g</t>
        </is>
      </c>
      <c r="E1566" s="1" t="n">
        <v>12.88</v>
      </c>
      <c r="F1566" s="1" t="n">
        <v>0</v>
      </c>
      <c r="G1566" s="1" t="inlineStr">
        <is>
          <t>Unit</t>
        </is>
      </c>
      <c r="H1566" s="1" t="inlineStr">
        <is>
          <t>Grout</t>
        </is>
      </c>
      <c r="I1566" s="1" t="inlineStr">
        <is>
          <t>-</t>
        </is>
      </c>
      <c r="J1566" t="n">
        <v>12.88</v>
      </c>
      <c r="K1566" t="n">
        <v>12.88</v>
      </c>
      <c r="L1566" t="n">
        <v>12.88</v>
      </c>
    </row>
    <row r="1567">
      <c r="A1567" s="1">
        <f>Hyperlink("https://www.wallsandfloors.co.uk/mapei-ultracolour-plus-grout-ultracolour-plus-130-jasmine-tile-grout","Product")</f>
        <v/>
      </c>
      <c r="B1567" s="1" t="inlineStr">
        <is>
          <t>10665</t>
        </is>
      </c>
      <c r="C1567" s="1" t="inlineStr">
        <is>
          <t>Ultracolour Plus 130 Jasmine Tile Grout</t>
        </is>
      </c>
      <c r="D1567" s="1" t="inlineStr">
        <is>
          <t>5 Kg</t>
        </is>
      </c>
      <c r="E1567" s="1" t="n">
        <v>13.95</v>
      </c>
      <c r="F1567" s="1" t="n">
        <v>0</v>
      </c>
      <c r="G1567" s="1" t="inlineStr">
        <is>
          <t>Unit</t>
        </is>
      </c>
      <c r="H1567" s="1" t="inlineStr">
        <is>
          <t>Floor Grout</t>
        </is>
      </c>
      <c r="I1567" s="1" t="inlineStr">
        <is>
          <t>-</t>
        </is>
      </c>
      <c r="J1567" t="inlineStr"/>
      <c r="K1567" t="n">
        <v>13.95</v>
      </c>
      <c r="L1567" t="n">
        <v>13.95</v>
      </c>
    </row>
    <row r="1568">
      <c r="A1568" s="1">
        <f>Hyperlink("https://www.wallsandfloors.co.uk/marquina-black-gloss-marble-effect-tiles","Product")</f>
        <v/>
      </c>
      <c r="B1568" s="1" t="inlineStr">
        <is>
          <t>39305</t>
        </is>
      </c>
      <c r="C1568" s="1" t="inlineStr">
        <is>
          <t>Marquina Black Gloss Marble Effect Tiles</t>
        </is>
      </c>
      <c r="D1568" s="1" t="inlineStr">
        <is>
          <t>585x585x8mm</t>
        </is>
      </c>
      <c r="E1568" s="1" t="n">
        <v>30.95</v>
      </c>
      <c r="F1568" s="1" t="n">
        <v>0</v>
      </c>
      <c r="G1568" s="1" t="inlineStr">
        <is>
          <t>SQM</t>
        </is>
      </c>
      <c r="H1568" s="1" t="inlineStr">
        <is>
          <t>Porcelain</t>
        </is>
      </c>
      <c r="I1568" s="1" t="inlineStr">
        <is>
          <t>Gloss</t>
        </is>
      </c>
      <c r="J1568" t="n">
        <v>30.95</v>
      </c>
      <c r="K1568" t="inlineStr"/>
      <c r="L1568" t="n">
        <v>30.95</v>
      </c>
    </row>
    <row r="1569">
      <c r="A1569" s="1">
        <f>Hyperlink("https://www.wallsandfloors.co.uk/mapei-ultracolour-plus-grout-ultracolour-plus-130-jasmine-tile-grout-12936","Product")</f>
        <v/>
      </c>
      <c r="B1569" s="1" t="inlineStr">
        <is>
          <t>12936</t>
        </is>
      </c>
      <c r="C1569" s="1" t="inlineStr">
        <is>
          <t>Mapei Ultracolour Plus 130 Jasmine Tile Grout 2 Kg</t>
        </is>
      </c>
      <c r="D1569" s="1" t="inlineStr">
        <is>
          <t>2 Kg</t>
        </is>
      </c>
      <c r="E1569" s="1" t="n">
        <v>8.949999999999999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n">
        <v>8.949999999999999</v>
      </c>
      <c r="K1569" t="n">
        <v>8.949999999999999</v>
      </c>
      <c r="L1569" t="n">
        <v>8.949999999999999</v>
      </c>
    </row>
    <row r="1570">
      <c r="A1570" s="1">
        <f>Hyperlink("https://www.wallsandfloors.co.uk/mapei-ultracolour-plus-grout-ultracolour-plus-131-vanilla-tile-grout-12939","Product")</f>
        <v/>
      </c>
      <c r="B1570" s="1" t="inlineStr">
        <is>
          <t>12939</t>
        </is>
      </c>
      <c r="C1570" s="1" t="inlineStr">
        <is>
          <t>Mapei Ultracolour Plus 131 Vanilla Tile Grout 2 Kg Per Unit</t>
        </is>
      </c>
      <c r="D1570" s="1" t="inlineStr">
        <is>
          <t>2 Kg</t>
        </is>
      </c>
      <c r="E1570" s="1" t="n">
        <v>8.949999999999999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n">
        <v>8.949999999999999</v>
      </c>
      <c r="K1570" t="n">
        <v>8.949999999999999</v>
      </c>
      <c r="L1570" t="n">
        <v>8.949999999999999</v>
      </c>
    </row>
    <row r="1571">
      <c r="A1571" s="1">
        <f>Hyperlink("https://www.wallsandfloors.co.uk/mapesil-ac-299-limestone","Product")</f>
        <v/>
      </c>
      <c r="B1571" s="1" t="inlineStr">
        <is>
          <t>33337</t>
        </is>
      </c>
      <c r="C1571" s="1" t="inlineStr">
        <is>
          <t>Mapesil AC 299 Limestone</t>
        </is>
      </c>
      <c r="D1571" s="1" t="inlineStr">
        <is>
          <t>310ml</t>
        </is>
      </c>
      <c r="E1571" s="1" t="n">
        <v>6.45</v>
      </c>
      <c r="F1571" s="1" t="n">
        <v>0</v>
      </c>
      <c r="G1571" s="1" t="inlineStr">
        <is>
          <t>Unit</t>
        </is>
      </c>
      <c r="H1571" s="1" t="inlineStr">
        <is>
          <t>Silicone</t>
        </is>
      </c>
      <c r="I1571" s="1" t="inlineStr">
        <is>
          <t>-</t>
        </is>
      </c>
      <c r="J1571" t="inlineStr"/>
      <c r="K1571" t="n">
        <v>6.45</v>
      </c>
      <c r="L1571" t="n">
        <v>6.45</v>
      </c>
    </row>
    <row r="1572">
      <c r="A1572" s="1">
        <f>Hyperlink("https://www.wallsandfloors.co.uk/mapesil-ac-174-tornado","Product")</f>
        <v/>
      </c>
      <c r="B1572" s="1" t="inlineStr">
        <is>
          <t>36526</t>
        </is>
      </c>
      <c r="C1572" s="1" t="inlineStr">
        <is>
          <t>Mapesil AC 174 Tornado Grey Silicone Sealant</t>
        </is>
      </c>
      <c r="D1572" s="1" t="inlineStr">
        <is>
          <t>310ml</t>
        </is>
      </c>
      <c r="E1572" s="1" t="n">
        <v>6.45</v>
      </c>
      <c r="F1572" s="1" t="n">
        <v>0</v>
      </c>
      <c r="G1572" s="1" t="inlineStr">
        <is>
          <t>Unit</t>
        </is>
      </c>
      <c r="H1572" s="1" t="inlineStr">
        <is>
          <t>Silicone</t>
        </is>
      </c>
      <c r="I1572" s="1" t="inlineStr">
        <is>
          <t>-</t>
        </is>
      </c>
      <c r="J1572" t="n">
        <v>6.45</v>
      </c>
      <c r="K1572" t="n">
        <v>6.45</v>
      </c>
      <c r="L1572" t="n">
        <v>6.45</v>
      </c>
    </row>
    <row r="1573">
      <c r="A1573" s="1">
        <f>Hyperlink("https://www.wallsandfloors.co.uk/mapesil-ac-172-space-blue","Product")</f>
        <v/>
      </c>
      <c r="B1573" s="1" t="inlineStr">
        <is>
          <t>33333</t>
        </is>
      </c>
      <c r="C1573" s="1" t="inlineStr">
        <is>
          <t>Mapesil AC 172 Space Blue</t>
        </is>
      </c>
      <c r="D1573" s="1" t="inlineStr">
        <is>
          <t>310ml</t>
        </is>
      </c>
      <c r="E1573" s="1" t="n">
        <v>6.45</v>
      </c>
      <c r="F1573" s="1" t="n">
        <v>0</v>
      </c>
      <c r="G1573" s="1" t="inlineStr">
        <is>
          <t>Unit</t>
        </is>
      </c>
      <c r="H1573" s="1" t="inlineStr">
        <is>
          <t>Silicone</t>
        </is>
      </c>
      <c r="I1573" s="1" t="inlineStr">
        <is>
          <t>-</t>
        </is>
      </c>
      <c r="J1573" t="n">
        <v>6.45</v>
      </c>
      <c r="K1573" t="inlineStr"/>
      <c r="L1573" t="n">
        <v>6.45</v>
      </c>
    </row>
    <row r="1574">
      <c r="A1574" s="1">
        <f>Hyperlink("https://www.wallsandfloors.co.uk/mapesil-ac-144-chocolate","Product")</f>
        <v/>
      </c>
      <c r="B1574" s="1" t="inlineStr">
        <is>
          <t>33326</t>
        </is>
      </c>
      <c r="C1574" s="1" t="inlineStr">
        <is>
          <t>Mapesil AC 144 Chocolate</t>
        </is>
      </c>
      <c r="D1574" s="1" t="inlineStr">
        <is>
          <t>310ml</t>
        </is>
      </c>
      <c r="E1574" s="1" t="n">
        <v>6.45</v>
      </c>
      <c r="F1574" s="1" t="n">
        <v>0</v>
      </c>
      <c r="G1574" s="1" t="inlineStr">
        <is>
          <t>Unit</t>
        </is>
      </c>
      <c r="H1574" s="1" t="inlineStr">
        <is>
          <t>Silicone</t>
        </is>
      </c>
      <c r="I1574" s="1" t="inlineStr">
        <is>
          <t>-</t>
        </is>
      </c>
      <c r="J1574" t="inlineStr"/>
      <c r="K1574" t="n">
        <v>6.45</v>
      </c>
      <c r="L1574" t="n">
        <v>6.45</v>
      </c>
    </row>
    <row r="1575">
      <c r="A1575" s="1">
        <f>Hyperlink("https://www.wallsandfloors.co.uk/mapesil-ac-132-beige","Product")</f>
        <v/>
      </c>
      <c r="B1575" s="1" t="inlineStr">
        <is>
          <t>33317</t>
        </is>
      </c>
      <c r="C1575" s="1" t="inlineStr">
        <is>
          <t>Mapesil AC 132 Beige</t>
        </is>
      </c>
      <c r="D1575" s="1" t="inlineStr">
        <is>
          <t>310ml</t>
        </is>
      </c>
      <c r="E1575" s="1" t="n">
        <v>6.45</v>
      </c>
      <c r="F1575" s="1" t="n">
        <v>0</v>
      </c>
      <c r="G1575" s="1" t="inlineStr">
        <is>
          <t>Unit</t>
        </is>
      </c>
      <c r="H1575" s="1" t="inlineStr">
        <is>
          <t>Silicone</t>
        </is>
      </c>
      <c r="I1575" s="1" t="inlineStr">
        <is>
          <t>-</t>
        </is>
      </c>
      <c r="J1575" t="n">
        <v>6.45</v>
      </c>
      <c r="K1575" t="n">
        <v>6.45</v>
      </c>
      <c r="L1575" t="n">
        <v>6.45</v>
      </c>
    </row>
    <row r="1576">
      <c r="A1576" s="1">
        <f>Hyperlink("https://www.wallsandfloors.co.uk/mapesil-ac-120-black","Product")</f>
        <v/>
      </c>
      <c r="B1576" s="1" t="inlineStr">
        <is>
          <t>33315</t>
        </is>
      </c>
      <c r="C1576" s="1" t="inlineStr">
        <is>
          <t>Mapesil AC 120 Black</t>
        </is>
      </c>
      <c r="D1576" s="1" t="inlineStr">
        <is>
          <t>310ml</t>
        </is>
      </c>
      <c r="E1576" s="1" t="n">
        <v>6.45</v>
      </c>
      <c r="F1576" s="1" t="n">
        <v>0</v>
      </c>
      <c r="G1576" s="1" t="inlineStr">
        <is>
          <t>Unit</t>
        </is>
      </c>
      <c r="H1576" s="1" t="inlineStr">
        <is>
          <t>Silicone</t>
        </is>
      </c>
      <c r="I1576" s="1" t="inlineStr">
        <is>
          <t>-</t>
        </is>
      </c>
      <c r="J1576" t="n">
        <v>6.45</v>
      </c>
      <c r="K1576" t="inlineStr"/>
      <c r="L1576" t="n">
        <v>6.45</v>
      </c>
    </row>
    <row r="1577">
      <c r="A1577" s="1">
        <f>Hyperlink("https://www.wallsandfloors.co.uk/mapesil-ac-119-london-grey","Product")</f>
        <v/>
      </c>
      <c r="B1577" s="1" t="inlineStr">
        <is>
          <t>39101</t>
        </is>
      </c>
      <c r="C1577" s="1" t="inlineStr">
        <is>
          <t>Mapesil AC 119 London Grey</t>
        </is>
      </c>
      <c r="D1577" s="1" t="inlineStr">
        <is>
          <t>310ml</t>
        </is>
      </c>
      <c r="E1577" s="1" t="n">
        <v>6.45</v>
      </c>
      <c r="F1577" s="1" t="n">
        <v>0</v>
      </c>
      <c r="G1577" s="1" t="inlineStr">
        <is>
          <t>Unit</t>
        </is>
      </c>
      <c r="H1577" s="1" t="inlineStr">
        <is>
          <t>Silicone</t>
        </is>
      </c>
      <c r="I1577" s="1" t="inlineStr">
        <is>
          <t>-</t>
        </is>
      </c>
      <c r="J1577" t="n">
        <v>6.45</v>
      </c>
      <c r="K1577" t="n">
        <v>6.45</v>
      </c>
      <c r="L1577" t="n">
        <v>6.45</v>
      </c>
    </row>
    <row r="1578">
      <c r="A1578" s="1">
        <f>Hyperlink("https://www.wallsandfloors.co.uk/mapesil-ac-111-silver-grey","Product")</f>
        <v/>
      </c>
      <c r="B1578" s="1" t="inlineStr">
        <is>
          <t>33313</t>
        </is>
      </c>
      <c r="C1578" s="1" t="inlineStr">
        <is>
          <t>Mapesil AC 111 Silver Grey</t>
        </is>
      </c>
      <c r="D1578" s="1" t="inlineStr">
        <is>
          <t>310ml</t>
        </is>
      </c>
      <c r="E1578" s="1" t="n">
        <v>6.45</v>
      </c>
      <c r="F1578" s="1" t="n">
        <v>0</v>
      </c>
      <c r="G1578" s="1" t="inlineStr">
        <is>
          <t>Unit</t>
        </is>
      </c>
      <c r="H1578" s="1" t="inlineStr">
        <is>
          <t>Silicone</t>
        </is>
      </c>
      <c r="I1578" s="1" t="inlineStr">
        <is>
          <t>-</t>
        </is>
      </c>
      <c r="J1578" t="n">
        <v>6.45</v>
      </c>
      <c r="K1578" t="n">
        <v>6.45</v>
      </c>
      <c r="L1578" t="n">
        <v>6.45</v>
      </c>
    </row>
    <row r="1579">
      <c r="A1579" s="1">
        <f>Hyperlink("https://www.wallsandfloors.co.uk/mapesil-ac-110-manhattan-grey","Product")</f>
        <v/>
      </c>
      <c r="B1579" s="1" t="inlineStr">
        <is>
          <t>33312</t>
        </is>
      </c>
      <c r="C1579" s="1" t="inlineStr">
        <is>
          <t>Mapesil AC 110  Manhattan Grey</t>
        </is>
      </c>
      <c r="D1579" s="1" t="inlineStr">
        <is>
          <t>310ml</t>
        </is>
      </c>
      <c r="E1579" s="1" t="n">
        <v>6.45</v>
      </c>
      <c r="F1579" s="1" t="n">
        <v>0</v>
      </c>
      <c r="G1579" s="1" t="inlineStr">
        <is>
          <t>Unit</t>
        </is>
      </c>
      <c r="H1579" s="1" t="inlineStr">
        <is>
          <t>Silicone</t>
        </is>
      </c>
      <c r="I1579" s="1" t="inlineStr">
        <is>
          <t>-</t>
        </is>
      </c>
      <c r="J1579" t="n">
        <v>6.45</v>
      </c>
      <c r="K1579" t="inlineStr"/>
      <c r="L1579" t="n">
        <v>6.45</v>
      </c>
    </row>
    <row r="1580">
      <c r="A1580" s="1">
        <f>Hyperlink("https://www.wallsandfloors.co.uk/mapesil-ac-103-moon-white","Product")</f>
        <v/>
      </c>
      <c r="B1580" s="1" t="inlineStr">
        <is>
          <t>33311</t>
        </is>
      </c>
      <c r="C1580" s="1" t="inlineStr">
        <is>
          <t>Mapesil AC 103 Moon White</t>
        </is>
      </c>
      <c r="D1580" s="1" t="inlineStr">
        <is>
          <t>310ml</t>
        </is>
      </c>
      <c r="E1580" s="1" t="n">
        <v>6.45</v>
      </c>
      <c r="F1580" s="1" t="n">
        <v>0</v>
      </c>
      <c r="G1580" s="1" t="inlineStr">
        <is>
          <t>Unit</t>
        </is>
      </c>
      <c r="H1580" s="1" t="inlineStr">
        <is>
          <t>Silicone</t>
        </is>
      </c>
      <c r="I1580" s="1" t="inlineStr">
        <is>
          <t>-</t>
        </is>
      </c>
      <c r="J1580" t="n">
        <v>6.45</v>
      </c>
      <c r="K1580" t="n">
        <v>6.45</v>
      </c>
      <c r="L1580" t="n">
        <v>6.45</v>
      </c>
    </row>
    <row r="1581">
      <c r="A1581" s="1">
        <f>Hyperlink("https://www.wallsandfloors.co.uk/mapei-ultracolour-plus-grout-ultracolour-plus-172-space-blue-tile-grout","Product")</f>
        <v/>
      </c>
      <c r="B1581" s="1" t="inlineStr">
        <is>
          <t>12960</t>
        </is>
      </c>
      <c r="C1581" s="1" t="inlineStr">
        <is>
          <t>Mapei Ultracolour Plus 172 Space Blue Tile Grout 5Kg</t>
        </is>
      </c>
      <c r="D1581" s="1" t="inlineStr">
        <is>
          <t>5 Kg</t>
        </is>
      </c>
      <c r="E1581" s="1" t="n">
        <v>16.95</v>
      </c>
      <c r="F1581" s="1" t="n">
        <v>0</v>
      </c>
      <c r="G1581" s="1" t="inlineStr">
        <is>
          <t>Unit</t>
        </is>
      </c>
      <c r="H1581" s="1" t="inlineStr">
        <is>
          <t>Floor Grout</t>
        </is>
      </c>
      <c r="I1581" s="1" t="inlineStr">
        <is>
          <t>-</t>
        </is>
      </c>
      <c r="J1581" t="n">
        <v>16.95</v>
      </c>
      <c r="K1581" t="n">
        <v>16.95</v>
      </c>
      <c r="L1581" t="n">
        <v>16.95</v>
      </c>
    </row>
    <row r="1582">
      <c r="A1582" s="1">
        <f>Hyperlink("https://www.wallsandfloors.co.uk/mapei-ultracolour-plus-grout-ultracolour-plus-145-terra-di-siena-tile-grout","Product")</f>
        <v/>
      </c>
      <c r="B1582" s="1" t="inlineStr">
        <is>
          <t>12955</t>
        </is>
      </c>
      <c r="C1582" s="1" t="inlineStr">
        <is>
          <t>Ultracolour Plus 145 Terra Di Siena Tile Grout</t>
        </is>
      </c>
      <c r="D1582" s="1" t="inlineStr">
        <is>
          <t>5 Kg</t>
        </is>
      </c>
      <c r="E1582" s="1" t="n">
        <v>16.95</v>
      </c>
      <c r="F1582" s="1" t="n">
        <v>0</v>
      </c>
      <c r="G1582" s="1" t="inlineStr"/>
      <c r="H1582" s="1" t="inlineStr">
        <is>
          <t>Floor Grout</t>
        </is>
      </c>
      <c r="I1582" s="1" t="inlineStr">
        <is>
          <t>-</t>
        </is>
      </c>
      <c r="J1582" t="inlineStr"/>
      <c r="K1582" t="n">
        <v>16.95</v>
      </c>
      <c r="L1582" t="n">
        <v>16.95</v>
      </c>
    </row>
    <row r="1583">
      <c r="A1583" s="1">
        <f>Hyperlink("https://www.wallsandfloors.co.uk/mapei-ultracolour-plus-grout-ultracolour-plus-144-chocolate-tile-grout-12954","Product")</f>
        <v/>
      </c>
      <c r="B1583" s="1" t="inlineStr">
        <is>
          <t>12954</t>
        </is>
      </c>
      <c r="C1583" s="1" t="inlineStr">
        <is>
          <t>Mapei Ultracolour Plus 144 Chocolate Tile Grout 2 Kg Per Unit</t>
        </is>
      </c>
      <c r="D1583" s="1" t="inlineStr">
        <is>
          <t>2 Kg</t>
        </is>
      </c>
      <c r="E1583" s="1" t="n">
        <v>8.949999999999999</v>
      </c>
      <c r="F1583" s="1" t="n">
        <v>0</v>
      </c>
      <c r="G1583" s="1" t="inlineStr">
        <is>
          <t>Unit</t>
        </is>
      </c>
      <c r="H1583" s="1" t="inlineStr">
        <is>
          <t>Floor Grout</t>
        </is>
      </c>
      <c r="I1583" s="1" t="inlineStr">
        <is>
          <t>-</t>
        </is>
      </c>
      <c r="J1583" t="n">
        <v>8.949999999999999</v>
      </c>
      <c r="K1583" t="n">
        <v>8.949999999999999</v>
      </c>
      <c r="L1583" t="n">
        <v>8.949999999999999</v>
      </c>
    </row>
    <row r="1584">
      <c r="A1584" s="1">
        <f>Hyperlink("https://www.wallsandfloors.co.uk/mapei-ultracolour-plus-grout-ultracolour-plus-144-chocolate-tile-grout","Product")</f>
        <v/>
      </c>
      <c r="B1584" s="1" t="inlineStr">
        <is>
          <t>12952</t>
        </is>
      </c>
      <c r="C1584" s="1" t="inlineStr">
        <is>
          <t>Mapei Ultracolour Plus 144 Chocolate Tile Grout 5 Kg Per Unit</t>
        </is>
      </c>
      <c r="D1584" s="1" t="inlineStr">
        <is>
          <t>5 Kg</t>
        </is>
      </c>
      <c r="E1584" s="1" t="n">
        <v>13.95</v>
      </c>
      <c r="F1584" s="1" t="n">
        <v>0</v>
      </c>
      <c r="G1584" s="1" t="inlineStr">
        <is>
          <t>Unit</t>
        </is>
      </c>
      <c r="H1584" s="1" t="inlineStr">
        <is>
          <t>Floor Grout</t>
        </is>
      </c>
      <c r="I1584" s="1" t="inlineStr">
        <is>
          <t>-</t>
        </is>
      </c>
      <c r="J1584" t="inlineStr"/>
      <c r="K1584" t="n">
        <v>13.95</v>
      </c>
      <c r="L1584" t="n">
        <v>13.95</v>
      </c>
    </row>
    <row r="1585">
      <c r="A1585" s="1">
        <f>Hyperlink("https://www.wallsandfloors.co.uk/mapei-ultracolour-plus-grout-ultracolour-plus-143-terracotta-tile-grout","Product")</f>
        <v/>
      </c>
      <c r="B1585" s="1" t="inlineStr">
        <is>
          <t>12951</t>
        </is>
      </c>
      <c r="C1585" s="1" t="inlineStr">
        <is>
          <t>Mapei Ultracolour Plus 143 Terracotta Tile Grout 5 Kg</t>
        </is>
      </c>
      <c r="D1585" s="1" t="inlineStr">
        <is>
          <t>5 Kg</t>
        </is>
      </c>
      <c r="E1585" s="1" t="n">
        <v>13.95</v>
      </c>
      <c r="F1585" s="1" t="n">
        <v>0</v>
      </c>
      <c r="G1585" s="1" t="inlineStr">
        <is>
          <t>Unit</t>
        </is>
      </c>
      <c r="H1585" s="1" t="inlineStr">
        <is>
          <t>Floor Grout</t>
        </is>
      </c>
      <c r="I1585" s="1" t="inlineStr">
        <is>
          <t>-</t>
        </is>
      </c>
      <c r="J1585" t="n">
        <v>13.95</v>
      </c>
      <c r="K1585" t="inlineStr"/>
      <c r="L1585" t="n">
        <v>13.95</v>
      </c>
    </row>
    <row r="1586">
      <c r="A1586" s="1">
        <f>Hyperlink("https://www.wallsandfloors.co.uk/mapei-ultracolour-plus-grout-ultracolour-plus-142-brown-tile-grout-12950","Product")</f>
        <v/>
      </c>
      <c r="B1586" s="1" t="inlineStr">
        <is>
          <t>12950</t>
        </is>
      </c>
      <c r="C1586" s="1" t="inlineStr">
        <is>
          <t>Mapei Ultracolour Plus 142 Brown Tile Grout 2 Kg</t>
        </is>
      </c>
      <c r="D1586" s="1" t="inlineStr">
        <is>
          <t>2 Kg</t>
        </is>
      </c>
      <c r="E1586" s="1" t="n">
        <v>8.949999999999999</v>
      </c>
      <c r="F1586" s="1" t="n">
        <v>0</v>
      </c>
      <c r="G1586" s="1" t="inlineStr"/>
      <c r="H1586" s="1" t="inlineStr">
        <is>
          <t>Floor Grout</t>
        </is>
      </c>
      <c r="I1586" s="1" t="inlineStr">
        <is>
          <t>-</t>
        </is>
      </c>
      <c r="J1586" t="n">
        <v>8.949999999999999</v>
      </c>
      <c r="K1586" t="n">
        <v>8.949999999999999</v>
      </c>
      <c r="L1586" t="n">
        <v>8.949999999999999</v>
      </c>
    </row>
    <row r="1587">
      <c r="A1587" s="1">
        <f>Hyperlink("https://www.wallsandfloors.co.uk/mapei-ultracolour-plus-grout-ultracolour-plus-142-brown-tile-grout","Product")</f>
        <v/>
      </c>
      <c r="B1587" s="1" t="inlineStr">
        <is>
          <t>12949</t>
        </is>
      </c>
      <c r="C1587" s="1" t="inlineStr">
        <is>
          <t>Ultracolour Plus 142 Brown Tile Grout</t>
        </is>
      </c>
      <c r="D1587" s="1" t="inlineStr">
        <is>
          <t>5 Kg</t>
        </is>
      </c>
      <c r="E1587" s="1" t="n">
        <v>13.95</v>
      </c>
      <c r="F1587" s="1" t="n">
        <v>0</v>
      </c>
      <c r="G1587" s="1" t="inlineStr">
        <is>
          <t>Unit</t>
        </is>
      </c>
      <c r="H1587" s="1" t="inlineStr">
        <is>
          <t>Floor Grout</t>
        </is>
      </c>
      <c r="I1587" s="1" t="inlineStr">
        <is>
          <t>-</t>
        </is>
      </c>
      <c r="J1587" t="n">
        <v>13.95</v>
      </c>
      <c r="K1587" t="n">
        <v>13.95</v>
      </c>
      <c r="L1587" t="n">
        <v>13.95</v>
      </c>
    </row>
    <row r="1588">
      <c r="A1588" s="1">
        <f>Hyperlink("https://www.wallsandfloors.co.uk/mapei-ultracolour-plus-grout-ultracolour-plus-141-caramel-tile-grout","Product")</f>
        <v/>
      </c>
      <c r="B1588" s="1" t="inlineStr">
        <is>
          <t>12948</t>
        </is>
      </c>
      <c r="C1588" s="1" t="inlineStr">
        <is>
          <t>Ultracolour Plus 141 Caramel Tile Grout</t>
        </is>
      </c>
      <c r="D1588" s="1" t="inlineStr">
        <is>
          <t>5 Kg</t>
        </is>
      </c>
      <c r="E1588" s="1" t="n">
        <v>13.95</v>
      </c>
      <c r="F1588" s="1" t="n">
        <v>0</v>
      </c>
      <c r="G1588" s="1" t="inlineStr">
        <is>
          <t>Unit</t>
        </is>
      </c>
      <c r="H1588" s="1" t="inlineStr">
        <is>
          <t>Floor Grout</t>
        </is>
      </c>
      <c r="I1588" s="1" t="inlineStr">
        <is>
          <t>-</t>
        </is>
      </c>
      <c r="J1588" t="n">
        <v>13.95</v>
      </c>
      <c r="K1588" t="n">
        <v>13.95</v>
      </c>
      <c r="L1588" t="n">
        <v>13.95</v>
      </c>
    </row>
    <row r="1589">
      <c r="A1589" s="1">
        <f>Hyperlink("https://www.wallsandfloors.co.uk/mapei-ultracolour-plus-grout-ultracolour-plus-136-mud-tile-grout","Product")</f>
        <v/>
      </c>
      <c r="B1589" s="1" t="inlineStr">
        <is>
          <t>15443</t>
        </is>
      </c>
      <c r="C1589" s="1" t="inlineStr">
        <is>
          <t>Mapei Ultracolour Plus 136 Mud Tile Grout 5 Kg Per Unit</t>
        </is>
      </c>
      <c r="D1589" s="1" t="inlineStr">
        <is>
          <t>5 Kg</t>
        </is>
      </c>
      <c r="E1589" s="1" t="n">
        <v>13.95</v>
      </c>
      <c r="F1589" s="1" t="n">
        <v>0</v>
      </c>
      <c r="G1589" s="1" t="inlineStr">
        <is>
          <t>Unit</t>
        </is>
      </c>
      <c r="H1589" s="1" t="inlineStr">
        <is>
          <t>Floor Grout</t>
        </is>
      </c>
      <c r="I1589" s="1" t="inlineStr">
        <is>
          <t>-</t>
        </is>
      </c>
      <c r="J1589" t="n">
        <v>13.95</v>
      </c>
      <c r="K1589" t="inlineStr"/>
      <c r="L1589" t="n">
        <v>13.95</v>
      </c>
    </row>
    <row r="1590">
      <c r="A1590" s="1">
        <f>Hyperlink("https://www.wallsandfloors.co.uk/mapei-ultracolour-plus-grout-ultracolour-plus-135-golden-dust-tile-grout","Product")</f>
        <v/>
      </c>
      <c r="B1590" s="1" t="inlineStr">
        <is>
          <t>15442</t>
        </is>
      </c>
      <c r="C1590" s="1" t="inlineStr">
        <is>
          <t>Mapei Ultracolour Plus 135 Golden Dust Tile Grout 5 Kg Per Unit</t>
        </is>
      </c>
      <c r="D1590" s="1" t="inlineStr">
        <is>
          <t>5 Kg</t>
        </is>
      </c>
      <c r="E1590" s="1" t="n">
        <v>13.95</v>
      </c>
      <c r="F1590" s="1" t="n">
        <v>0</v>
      </c>
      <c r="G1590" s="1" t="inlineStr">
        <is>
          <t>Unit</t>
        </is>
      </c>
      <c r="H1590" s="1" t="inlineStr">
        <is>
          <t>Floor Grout</t>
        </is>
      </c>
      <c r="I1590" s="1" t="inlineStr">
        <is>
          <t>-</t>
        </is>
      </c>
      <c r="J1590" t="inlineStr"/>
      <c r="K1590" t="n">
        <v>13.95</v>
      </c>
      <c r="L1590" t="n">
        <v>13.95</v>
      </c>
    </row>
    <row r="1591">
      <c r="A1591" s="1">
        <f>Hyperlink("https://www.wallsandfloors.co.uk/mapei-ultracolour-plus-grout-ultracolour-plus-133-sand-tile-grout","Product")</f>
        <v/>
      </c>
      <c r="B1591" s="1" t="inlineStr">
        <is>
          <t>15441</t>
        </is>
      </c>
      <c r="C1591" s="1" t="inlineStr">
        <is>
          <t>Mapei Ultracolour Plus 133 Sand Tile Grout 5 Kg Per Unit</t>
        </is>
      </c>
      <c r="D1591" s="1" t="inlineStr">
        <is>
          <t>5 Kg</t>
        </is>
      </c>
      <c r="E1591" s="1" t="n">
        <v>13.95</v>
      </c>
      <c r="F1591" s="1" t="n">
        <v>0</v>
      </c>
      <c r="G1591" s="1" t="inlineStr">
        <is>
          <t>Unit</t>
        </is>
      </c>
      <c r="H1591" s="1" t="inlineStr">
        <is>
          <t>Floor Grout</t>
        </is>
      </c>
      <c r="I1591" s="1" t="inlineStr">
        <is>
          <t>-</t>
        </is>
      </c>
      <c r="J1591" t="n">
        <v>13.95</v>
      </c>
      <c r="K1591" t="n">
        <v>13.95</v>
      </c>
      <c r="L1591" t="n">
        <v>13.95</v>
      </c>
    </row>
    <row r="1592">
      <c r="A1592" s="1">
        <f>Hyperlink("https://www.wallsandfloors.co.uk/mapei-ultracolour-plus-grout-ultracolour-plus-132-beige-tile-grout-12947","Product")</f>
        <v/>
      </c>
      <c r="B1592" s="1" t="inlineStr">
        <is>
          <t>12947</t>
        </is>
      </c>
      <c r="C1592" s="1" t="inlineStr">
        <is>
          <t>Mapei Ultracolour Plus 132 Beige Tile Grout 2 Kg</t>
        </is>
      </c>
      <c r="D1592" s="1" t="inlineStr">
        <is>
          <t>2 Kg</t>
        </is>
      </c>
      <c r="E1592" s="1" t="n">
        <v>8.949999999999999</v>
      </c>
      <c r="F1592" s="1" t="n">
        <v>0</v>
      </c>
      <c r="G1592" s="1" t="inlineStr">
        <is>
          <t>Unit</t>
        </is>
      </c>
      <c r="H1592" s="1" t="inlineStr">
        <is>
          <t>Floor Grout</t>
        </is>
      </c>
      <c r="I1592" s="1" t="inlineStr">
        <is>
          <t>-</t>
        </is>
      </c>
      <c r="J1592" t="n">
        <v>8.949999999999999</v>
      </c>
      <c r="K1592" t="inlineStr"/>
      <c r="L1592" t="n">
        <v>8.949999999999999</v>
      </c>
    </row>
    <row r="1593">
      <c r="A1593" s="1">
        <f>Hyperlink("https://www.wallsandfloors.co.uk/mapei-ultracolour-plus-grout-ultracolour-plus-132-beige-tile-grout","Product")</f>
        <v/>
      </c>
      <c r="B1593" s="1" t="inlineStr">
        <is>
          <t>12940</t>
        </is>
      </c>
      <c r="C1593" s="1" t="inlineStr">
        <is>
          <t>Ultracolour Plus 132 Beige Tile Grout</t>
        </is>
      </c>
      <c r="D1593" s="1" t="inlineStr">
        <is>
          <t>5 Kg</t>
        </is>
      </c>
      <c r="E1593" s="1" t="n">
        <v>13.95</v>
      </c>
      <c r="F1593" s="1" t="n">
        <v>0</v>
      </c>
      <c r="G1593" s="1" t="inlineStr">
        <is>
          <t>Unit</t>
        </is>
      </c>
      <c r="H1593" s="1" t="inlineStr">
        <is>
          <t>Floor Grout</t>
        </is>
      </c>
      <c r="I1593" s="1" t="inlineStr">
        <is>
          <t>-</t>
        </is>
      </c>
      <c r="J1593" t="n">
        <v>13.95</v>
      </c>
      <c r="K1593" t="n">
        <v>13.95</v>
      </c>
      <c r="L1593" t="n">
        <v>13.95</v>
      </c>
    </row>
    <row r="1594">
      <c r="A1594" s="1">
        <f>Hyperlink("https://www.wallsandfloors.co.uk/mapei-ultracolour-plus-grout-ultracolour-plus-131-vanilla-tile-grout","Product")</f>
        <v/>
      </c>
      <c r="B1594" s="1" t="inlineStr">
        <is>
          <t>12938</t>
        </is>
      </c>
      <c r="C1594" s="1" t="inlineStr">
        <is>
          <t>Ultracolour Plus 131 Vanilla Tile Grout</t>
        </is>
      </c>
      <c r="D1594" s="1" t="inlineStr">
        <is>
          <t>5 Kg</t>
        </is>
      </c>
      <c r="E1594" s="1" t="n">
        <v>13.95</v>
      </c>
      <c r="F1594" s="1" t="n">
        <v>0</v>
      </c>
      <c r="G1594" s="1" t="inlineStr">
        <is>
          <t>Unit</t>
        </is>
      </c>
      <c r="H1594" s="1" t="inlineStr">
        <is>
          <t>Floor Grout</t>
        </is>
      </c>
      <c r="I1594" s="1" t="inlineStr">
        <is>
          <t>-</t>
        </is>
      </c>
      <c r="J1594" t="n">
        <v>13.95</v>
      </c>
      <c r="K1594" t="n">
        <v>13.95</v>
      </c>
      <c r="L1594" t="n">
        <v>13.95</v>
      </c>
    </row>
    <row r="1595">
      <c r="A1595" s="1">
        <f>Hyperlink("https://www.wallsandfloors.co.uk/meknes-tiles-maalem-decor-matt-tiles","Product")</f>
        <v/>
      </c>
      <c r="B1595" s="1" t="inlineStr">
        <is>
          <t>13729</t>
        </is>
      </c>
      <c r="C1595" s="1" t="inlineStr">
        <is>
          <t>Meknes Maalem Decor Matt Pattern Tiles</t>
        </is>
      </c>
      <c r="D1595" s="1" t="inlineStr">
        <is>
          <t>442x442x10mm</t>
        </is>
      </c>
      <c r="E1595" s="1" t="n">
        <v>30.95</v>
      </c>
      <c r="F1595" s="1" t="n">
        <v>0</v>
      </c>
      <c r="G1595" s="1" t="inlineStr">
        <is>
          <t>SQM</t>
        </is>
      </c>
      <c r="H1595" s="1" t="inlineStr">
        <is>
          <t>Porcelain</t>
        </is>
      </c>
      <c r="I1595" s="1" t="inlineStr">
        <is>
          <t>Matt</t>
        </is>
      </c>
      <c r="J1595" t="n">
        <v>30.95</v>
      </c>
      <c r="K1595" t="n">
        <v>30.95</v>
      </c>
      <c r="L1595" t="n">
        <v>30.95</v>
      </c>
    </row>
    <row r="1596">
      <c r="A1596" s="1">
        <f>Hyperlink("https://www.wallsandfloors.co.uk/lagoon-mosaics-tiles-azzurro-ghiaccio-tiles","Product")</f>
        <v/>
      </c>
      <c r="B1596" s="1" t="inlineStr">
        <is>
          <t>189</t>
        </is>
      </c>
      <c r="C1596" s="1" t="inlineStr">
        <is>
          <t>Lagoon Azzurro Ghiaccio Blue Mosaic Tiles</t>
        </is>
      </c>
      <c r="D1596" s="1" t="inlineStr">
        <is>
          <t>327x327x4mm</t>
        </is>
      </c>
      <c r="E1596" s="1" t="n">
        <v>15.75</v>
      </c>
      <c r="F1596" s="1" t="n">
        <v>0</v>
      </c>
      <c r="G1596" s="1" t="inlineStr">
        <is>
          <t>Sheet</t>
        </is>
      </c>
      <c r="H1596" s="1" t="inlineStr">
        <is>
          <t>Glass</t>
        </is>
      </c>
      <c r="I1596" s="1" t="inlineStr">
        <is>
          <t>Satin</t>
        </is>
      </c>
      <c r="J1596" t="n">
        <v>15.75</v>
      </c>
      <c r="K1596" t="n">
        <v>15.75</v>
      </c>
      <c r="L1596" t="n">
        <v>15.75</v>
      </c>
    </row>
    <row r="1597">
      <c r="A1597" s="1">
        <f>Hyperlink("https://www.wallsandfloors.co.uk/lagom-shale-oak-white-wood-effect-tiles","Product")</f>
        <v/>
      </c>
      <c r="B1597" s="1" t="inlineStr">
        <is>
          <t>35042</t>
        </is>
      </c>
      <c r="C1597" s="1" t="inlineStr">
        <is>
          <t>Shale Oak White Wood Effect Tiles</t>
        </is>
      </c>
      <c r="D1597" s="1" t="inlineStr">
        <is>
          <t>1200x233x10.8mm</t>
        </is>
      </c>
      <c r="E1597" s="1" t="n">
        <v>25.95</v>
      </c>
      <c r="F1597" s="1" t="n">
        <v>0</v>
      </c>
      <c r="G1597" s="1" t="inlineStr">
        <is>
          <t>SQM</t>
        </is>
      </c>
      <c r="H1597" s="1" t="inlineStr">
        <is>
          <t>Porcelain</t>
        </is>
      </c>
      <c r="I1597" s="1" t="inlineStr">
        <is>
          <t>Matt</t>
        </is>
      </c>
      <c r="J1597" t="n">
        <v>25.95</v>
      </c>
      <c r="K1597" t="inlineStr"/>
      <c r="L1597" t="n">
        <v>25.95</v>
      </c>
    </row>
    <row r="1598">
      <c r="A1598" s="1">
        <f>Hyperlink("https://www.wallsandfloors.co.uk/gorgon-tiles-medusa-floor-tiles","Product")</f>
        <v/>
      </c>
      <c r="B1598" s="1" t="inlineStr">
        <is>
          <t>12997</t>
        </is>
      </c>
      <c r="C1598" s="1" t="inlineStr">
        <is>
          <t>Gorgon Medusa Travertine Effect Floor Tiles</t>
        </is>
      </c>
      <c r="D1598" s="1" t="inlineStr">
        <is>
          <t>450x450x8mm</t>
        </is>
      </c>
      <c r="E1598" s="1" t="n">
        <v>15.95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n">
        <v>15.95</v>
      </c>
      <c r="K1598" t="n">
        <v>15.95</v>
      </c>
      <c r="L1598" t="n">
        <v>15.95</v>
      </c>
    </row>
    <row r="1599">
      <c r="A1599" s="1">
        <f>Hyperlink("https://www.wallsandfloors.co.uk/gondolin-stone-hexagon-tiles","Product")</f>
        <v/>
      </c>
      <c r="B1599" s="1" t="inlineStr">
        <is>
          <t>41715</t>
        </is>
      </c>
      <c r="C1599" s="1" t="inlineStr">
        <is>
          <t>Gondolin Stone Hexagon Tiles</t>
        </is>
      </c>
      <c r="D1599" s="1" t="inlineStr">
        <is>
          <t>330x280.5x10mm</t>
        </is>
      </c>
      <c r="E1599" s="1" t="n">
        <v>35.95</v>
      </c>
      <c r="F1599" s="1" t="n">
        <v>0</v>
      </c>
      <c r="G1599" s="1" t="inlineStr">
        <is>
          <t>SQM</t>
        </is>
      </c>
      <c r="H1599" s="1" t="inlineStr">
        <is>
          <t>Porcelain</t>
        </is>
      </c>
      <c r="I1599" s="1" t="inlineStr">
        <is>
          <t>Matt</t>
        </is>
      </c>
      <c r="J1599" t="n">
        <v>35.95</v>
      </c>
      <c r="K1599" t="n">
        <v>35.95</v>
      </c>
      <c r="L1599" t="n">
        <v>35.95</v>
      </c>
    </row>
    <row r="1600">
      <c r="A1600" s="1">
        <f>Hyperlink("https://www.wallsandfloors.co.uk/goldmine-glass-mosaics-tiles-mull-tiles","Product")</f>
        <v/>
      </c>
      <c r="B1600" s="1" t="inlineStr">
        <is>
          <t>8815</t>
        </is>
      </c>
      <c r="C1600" s="1" t="inlineStr">
        <is>
          <t>Goldmine Mull Mosaic Tiles</t>
        </is>
      </c>
      <c r="D1600" s="1" t="inlineStr">
        <is>
          <t>327x327x4mm</t>
        </is>
      </c>
      <c r="E1600" s="1" t="n">
        <v>11.95</v>
      </c>
      <c r="F1600" s="1" t="n">
        <v>0</v>
      </c>
      <c r="G1600" s="1" t="inlineStr"/>
      <c r="H1600" s="1" t="inlineStr">
        <is>
          <t>Glass</t>
        </is>
      </c>
      <c r="I1600" s="1" t="inlineStr">
        <is>
          <t>Semi-Polished</t>
        </is>
      </c>
      <c r="J1600" t="n">
        <v>11.95</v>
      </c>
      <c r="K1600" t="n">
        <v>11.95</v>
      </c>
      <c r="L1600" t="n">
        <v>11.95</v>
      </c>
    </row>
    <row r="1601">
      <c r="A1601" s="1">
        <f>Hyperlink("https://www.wallsandfloors.co.uk/goldmine-glass-mosaics-tiles-kilda-mosaic-tiles","Product")</f>
        <v/>
      </c>
      <c r="B1601" s="1" t="inlineStr">
        <is>
          <t>12128</t>
        </is>
      </c>
      <c r="C1601" s="1" t="inlineStr">
        <is>
          <t>Goldmine Kilda Blue Mosaic Tiles</t>
        </is>
      </c>
      <c r="D1601" s="1" t="inlineStr">
        <is>
          <t>327x327x4mm</t>
        </is>
      </c>
      <c r="E1601" s="1" t="n">
        <v>11.95</v>
      </c>
      <c r="F1601" s="1" t="n">
        <v>0</v>
      </c>
      <c r="G1601" s="1" t="inlineStr">
        <is>
          <t>Sheet</t>
        </is>
      </c>
      <c r="H1601" s="1" t="inlineStr">
        <is>
          <t>Glass</t>
        </is>
      </c>
      <c r="I1601" s="1" t="inlineStr">
        <is>
          <t>Mixed</t>
        </is>
      </c>
      <c r="J1601" t="n">
        <v>11.95</v>
      </c>
      <c r="K1601" t="n">
        <v>11.95</v>
      </c>
      <c r="L1601" t="n">
        <v>11.95</v>
      </c>
    </row>
    <row r="1602">
      <c r="A1602" s="1">
        <f>Hyperlink("https://www.wallsandfloors.co.uk/goldmine-glass-mosaics-tiles-jura-tiles","Product")</f>
        <v/>
      </c>
      <c r="B1602" s="1" t="inlineStr">
        <is>
          <t>8814</t>
        </is>
      </c>
      <c r="C1602" s="1" t="inlineStr">
        <is>
          <t>Goldmine Jura Blue Mosaic Tiles</t>
        </is>
      </c>
      <c r="D1602" s="1" t="inlineStr">
        <is>
          <t>327x327x4mm</t>
        </is>
      </c>
      <c r="E1602" s="1" t="n">
        <v>11.95</v>
      </c>
      <c r="F1602" s="1" t="n">
        <v>0</v>
      </c>
      <c r="G1602" s="1" t="inlineStr">
        <is>
          <t>Sheet</t>
        </is>
      </c>
      <c r="H1602" s="1" t="inlineStr">
        <is>
          <t>Glass</t>
        </is>
      </c>
      <c r="I1602" s="1" t="inlineStr">
        <is>
          <t>Semi-Polished</t>
        </is>
      </c>
      <c r="J1602" t="n">
        <v>11.95</v>
      </c>
      <c r="K1602" t="n">
        <v>11.95</v>
      </c>
      <c r="L1602" t="n">
        <v>11.95</v>
      </c>
    </row>
    <row r="1603">
      <c r="A1603" s="1">
        <f>Hyperlink("https://www.wallsandfloors.co.uk/goldmine-glass-mosaics-tiles-barra-tiles","Product")</f>
        <v/>
      </c>
      <c r="B1603" s="1" t="inlineStr">
        <is>
          <t>8813</t>
        </is>
      </c>
      <c r="C1603" s="1" t="inlineStr">
        <is>
          <t>Goldmine Barra Blue and Green Mosaic Tiles</t>
        </is>
      </c>
      <c r="D1603" s="1" t="inlineStr">
        <is>
          <t>327x327x4mm</t>
        </is>
      </c>
      <c r="E1603" s="1" t="n">
        <v>11.95</v>
      </c>
      <c r="F1603" s="1" t="n">
        <v>0</v>
      </c>
      <c r="G1603" s="1" t="inlineStr">
        <is>
          <t>Sheet</t>
        </is>
      </c>
      <c r="H1603" s="1" t="inlineStr">
        <is>
          <t>Glass</t>
        </is>
      </c>
      <c r="I1603" s="1" t="inlineStr">
        <is>
          <t>Semi-Polished</t>
        </is>
      </c>
      <c r="J1603" t="inlineStr"/>
      <c r="K1603" t="n">
        <v>11.95</v>
      </c>
      <c r="L1603" t="n">
        <v>11.95</v>
      </c>
    </row>
    <row r="1604">
      <c r="A1604" s="1">
        <f>Hyperlink("https://www.wallsandfloors.co.uk/goldmine-glass-mosaics-tiles-arran-tiles","Product")</f>
        <v/>
      </c>
      <c r="B1604" s="1" t="inlineStr">
        <is>
          <t>8812</t>
        </is>
      </c>
      <c r="C1604" s="1" t="inlineStr">
        <is>
          <t>Goldmine Arran Aqua Mosaic Tiles</t>
        </is>
      </c>
      <c r="D1604" s="1" t="inlineStr">
        <is>
          <t>327x327x4mm</t>
        </is>
      </c>
      <c r="E1604" s="1" t="n">
        <v>11.95</v>
      </c>
      <c r="F1604" s="1" t="n">
        <v>0</v>
      </c>
      <c r="G1604" s="1" t="inlineStr">
        <is>
          <t>Sheet</t>
        </is>
      </c>
      <c r="H1604" s="1" t="inlineStr">
        <is>
          <t>Glass</t>
        </is>
      </c>
      <c r="I1604" s="1" t="inlineStr">
        <is>
          <t>Semi-Polished</t>
        </is>
      </c>
      <c r="J1604" t="n">
        <v>11.95</v>
      </c>
      <c r="K1604" t="n">
        <v>11.95</v>
      </c>
      <c r="L1604" t="n">
        <v>11.95</v>
      </c>
    </row>
    <row r="1605">
      <c r="A1605" s="1">
        <f>Hyperlink("https://www.wallsandfloors.co.uk/gloss-elephant-castle-smooth-200x100-tiles","Product")</f>
        <v/>
      </c>
      <c r="B1605" s="1" t="inlineStr">
        <is>
          <t>44443</t>
        </is>
      </c>
      <c r="C1605" s="1" t="inlineStr">
        <is>
          <t>London Bridge Gloss Grey Flat Metro Tiles</t>
        </is>
      </c>
      <c r="D1605" s="1" t="inlineStr">
        <is>
          <t>200x100x7mm</t>
        </is>
      </c>
      <c r="E1605" s="1" t="n">
        <v>20.95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Gloss</t>
        </is>
      </c>
      <c r="J1605" t="inlineStr"/>
      <c r="K1605" t="n">
        <v>20.95</v>
      </c>
      <c r="L1605" t="n">
        <v>20.95</v>
      </c>
    </row>
    <row r="1606">
      <c r="A1606" s="1">
        <f>Hyperlink("https://www.wallsandfloors.co.uk/gloss-carrara-marble-effect-80x80-tiles","Product")</f>
        <v/>
      </c>
      <c r="B1606" s="1" t="inlineStr">
        <is>
          <t>40659</t>
        </is>
      </c>
      <c r="C1606" s="1" t="inlineStr">
        <is>
          <t>Cappella Gloss Carrara Marble Effect Tiles</t>
        </is>
      </c>
      <c r="D1606" s="1" t="inlineStr">
        <is>
          <t>800x800x10mm</t>
        </is>
      </c>
      <c r="E1606" s="1" t="n">
        <v>27.95</v>
      </c>
      <c r="F1606" s="1" t="n">
        <v>0</v>
      </c>
      <c r="G1606" s="1" t="inlineStr">
        <is>
          <t>SQM</t>
        </is>
      </c>
      <c r="H1606" s="1" t="inlineStr">
        <is>
          <t>Porcelain</t>
        </is>
      </c>
      <c r="I1606" s="1" t="inlineStr">
        <is>
          <t>Polished</t>
        </is>
      </c>
      <c r="J1606" t="n">
        <v>27.95</v>
      </c>
      <c r="K1606" t="n">
        <v>27.95</v>
      </c>
      <c r="L1606" t="n">
        <v>27.95</v>
      </c>
    </row>
    <row r="1607">
      <c r="A1607" s="1">
        <f>Hyperlink("https://www.wallsandfloors.co.uk/gloss-200x100-manor-house-blue-smooth-metro-tiles","Product")</f>
        <v/>
      </c>
      <c r="B1607" s="1" t="inlineStr">
        <is>
          <t>44303</t>
        </is>
      </c>
      <c r="C1607" s="1" t="inlineStr">
        <is>
          <t>Manor House Gloss Blue Flat Metro Tiles</t>
        </is>
      </c>
      <c r="D1607" s="1" t="inlineStr">
        <is>
          <t>200x100x7mm</t>
        </is>
      </c>
      <c r="E1607" s="1" t="n">
        <v>23.95</v>
      </c>
      <c r="F1607" s="1" t="n">
        <v>0</v>
      </c>
      <c r="G1607" s="1" t="inlineStr">
        <is>
          <t>SQM</t>
        </is>
      </c>
      <c r="H1607" s="1" t="inlineStr">
        <is>
          <t>Ceramic</t>
        </is>
      </c>
      <c r="I1607" s="1" t="inlineStr">
        <is>
          <t>Gloss</t>
        </is>
      </c>
      <c r="J1607" t="n">
        <v>23.95</v>
      </c>
      <c r="K1607" t="inlineStr"/>
      <c r="L1607" t="n">
        <v>23.95</v>
      </c>
    </row>
    <row r="1608">
      <c r="A1608" s="1">
        <f>Hyperlink("https://www.wallsandfloors.co.uk/gorgon-tiles-sthenno-floor-tiles","Product")</f>
        <v/>
      </c>
      <c r="B1608" s="1" t="inlineStr">
        <is>
          <t>12993</t>
        </is>
      </c>
      <c r="C1608" s="1" t="inlineStr">
        <is>
          <t>Gorgon Sthenno Travertine Effect Floor Tiles</t>
        </is>
      </c>
      <c r="D1608" s="1" t="inlineStr">
        <is>
          <t>450x450x8mm</t>
        </is>
      </c>
      <c r="E1608" s="1" t="n">
        <v>15.95</v>
      </c>
      <c r="F1608" s="1" t="n">
        <v>0</v>
      </c>
      <c r="G1608" s="1" t="inlineStr">
        <is>
          <t>SQM</t>
        </is>
      </c>
      <c r="H1608" s="1" t="inlineStr">
        <is>
          <t>Ceramic</t>
        </is>
      </c>
      <c r="I1608" s="1" t="inlineStr">
        <is>
          <t>Matt</t>
        </is>
      </c>
      <c r="J1608" t="inlineStr"/>
      <c r="K1608" t="n">
        <v>15.95</v>
      </c>
      <c r="L1608" t="n">
        <v>15.95</v>
      </c>
    </row>
    <row r="1609">
      <c r="A1609" s="1">
        <f>Hyperlink("https://www.wallsandfloors.co.uk/glitzz-mix-mosaic-tiles","Product")</f>
        <v/>
      </c>
      <c r="B1609" s="1" t="inlineStr">
        <is>
          <t>37307</t>
        </is>
      </c>
      <c r="C1609" s="1" t="inlineStr">
        <is>
          <t>Glitzz Mix Mosaic Tiles</t>
        </is>
      </c>
      <c r="D1609" s="1" t="inlineStr">
        <is>
          <t>290x290x8mm</t>
        </is>
      </c>
      <c r="E1609" s="1" t="n">
        <v>5.65</v>
      </c>
      <c r="F1609" s="1" t="n">
        <v>0</v>
      </c>
      <c r="G1609" s="1" t="inlineStr">
        <is>
          <t>Sheet</t>
        </is>
      </c>
      <c r="H1609" s="1" t="inlineStr">
        <is>
          <t>Glass</t>
        </is>
      </c>
      <c r="I1609" s="1" t="inlineStr">
        <is>
          <t>Gloss</t>
        </is>
      </c>
      <c r="J1609" t="n">
        <v>5.65</v>
      </c>
      <c r="K1609" t="inlineStr"/>
      <c r="L1609" t="n">
        <v>5.65</v>
      </c>
    </row>
    <row r="1610">
      <c r="A1610" s="1">
        <f>Hyperlink("https://www.wallsandfloors.co.uk/glistening-mosaic-tiles-ivory-mix-tiles","Product")</f>
        <v/>
      </c>
      <c r="B1610" s="1" t="inlineStr">
        <is>
          <t>11292</t>
        </is>
      </c>
      <c r="C1610" s="1" t="inlineStr">
        <is>
          <t>Glistening Ivory Mix Mosaic Tiles</t>
        </is>
      </c>
      <c r="D1610" s="1" t="inlineStr">
        <is>
          <t>300x300x7mm</t>
        </is>
      </c>
      <c r="E1610" s="1" t="n">
        <v>6.15</v>
      </c>
      <c r="F1610" s="1" t="n">
        <v>0</v>
      </c>
      <c r="G1610" s="1" t="inlineStr">
        <is>
          <t>Sheet</t>
        </is>
      </c>
      <c r="H1610" s="1" t="inlineStr">
        <is>
          <t>Glass</t>
        </is>
      </c>
      <c r="I1610" s="1" t="inlineStr">
        <is>
          <t>Iridescent</t>
        </is>
      </c>
      <c r="J1610" t="n">
        <v>6.15</v>
      </c>
      <c r="K1610" t="n">
        <v>6.15</v>
      </c>
      <c r="L1610" t="n">
        <v>6.15</v>
      </c>
    </row>
    <row r="1611">
      <c r="A1611" s="1">
        <f>Hyperlink("https://www.wallsandfloors.co.uk/glass-brick-mosaic-tiles-starlight-white-tiles","Product")</f>
        <v/>
      </c>
      <c r="B1611" s="1" t="inlineStr">
        <is>
          <t>320</t>
        </is>
      </c>
      <c r="C1611" s="1" t="inlineStr">
        <is>
          <t>Glass Brick Starlight White Mosaic Tiles</t>
        </is>
      </c>
      <c r="D1611" s="1" t="inlineStr">
        <is>
          <t>320x310x8mm</t>
        </is>
      </c>
      <c r="E1611" s="1" t="n">
        <v>4.8</v>
      </c>
      <c r="F1611" s="1" t="n">
        <v>0</v>
      </c>
      <c r="G1611" s="1" t="inlineStr">
        <is>
          <t>Sheet</t>
        </is>
      </c>
      <c r="H1611" s="1" t="inlineStr">
        <is>
          <t>Glass</t>
        </is>
      </c>
      <c r="I1611" s="1" t="inlineStr">
        <is>
          <t>Matt</t>
        </is>
      </c>
      <c r="J1611" t="n">
        <v>4.8</v>
      </c>
      <c r="K1611" t="n">
        <v>4.8</v>
      </c>
      <c r="L1611" t="n">
        <v>4.8</v>
      </c>
    </row>
    <row r="1612">
      <c r="A1612" s="1">
        <f>Hyperlink("https://www.wallsandfloors.co.uk/glass-brick-mosaic-tiles-smoke-grey-tiles","Product")</f>
        <v/>
      </c>
      <c r="B1612" s="1" t="inlineStr">
        <is>
          <t>310</t>
        </is>
      </c>
      <c r="C1612" s="1" t="inlineStr">
        <is>
          <t>Glass Brick Smoke Grey Mosaic Tiles</t>
        </is>
      </c>
      <c r="D1612" s="1" t="inlineStr">
        <is>
          <t>320x310x8mm</t>
        </is>
      </c>
      <c r="E1612" s="1" t="n">
        <v>4.65</v>
      </c>
      <c r="F1612" s="1" t="n">
        <v>0</v>
      </c>
      <c r="G1612" s="1" t="inlineStr">
        <is>
          <t>Sheet</t>
        </is>
      </c>
      <c r="H1612" s="1" t="inlineStr">
        <is>
          <t>Glass</t>
        </is>
      </c>
      <c r="I1612" s="1" t="inlineStr">
        <is>
          <t>Matt</t>
        </is>
      </c>
      <c r="J1612" t="n">
        <v>4.65</v>
      </c>
      <c r="K1612" t="inlineStr"/>
      <c r="L1612" t="n">
        <v>4.65</v>
      </c>
    </row>
    <row r="1613">
      <c r="A1613" s="1">
        <f>Hyperlink("https://www.wallsandfloors.co.uk/glass-brick-mosaic-tiles-sapphire-blue-tiles","Product")</f>
        <v/>
      </c>
      <c r="B1613" s="1" t="inlineStr">
        <is>
          <t>304</t>
        </is>
      </c>
      <c r="C1613" s="1" t="inlineStr">
        <is>
          <t>Glass Brick Sapphire Blue Mosaic Tiles</t>
        </is>
      </c>
      <c r="D1613" s="1" t="inlineStr">
        <is>
          <t>320x310x8mm</t>
        </is>
      </c>
      <c r="E1613" s="1" t="n">
        <v>4.65</v>
      </c>
      <c r="F1613" s="1" t="n">
        <v>0</v>
      </c>
      <c r="G1613" s="1" t="inlineStr">
        <is>
          <t>Sheet</t>
        </is>
      </c>
      <c r="H1613" s="1" t="inlineStr">
        <is>
          <t>Glass</t>
        </is>
      </c>
      <c r="I1613" s="1" t="inlineStr">
        <is>
          <t>Matt</t>
        </is>
      </c>
      <c r="J1613" t="inlineStr"/>
      <c r="K1613" t="n">
        <v>4.65</v>
      </c>
      <c r="L1613" t="n">
        <v>4.65</v>
      </c>
    </row>
    <row r="1614">
      <c r="A1614" s="1">
        <f>Hyperlink("https://www.wallsandfloors.co.uk/glass-brick-mosaic-tiles-blue-mix-tiles","Product")</f>
        <v/>
      </c>
      <c r="B1614" s="1" t="inlineStr">
        <is>
          <t>6882</t>
        </is>
      </c>
      <c r="C1614" s="1" t="inlineStr">
        <is>
          <t>Glass Brick Blue Mix Mosaic Tiles</t>
        </is>
      </c>
      <c r="D1614" s="1" t="inlineStr">
        <is>
          <t>300x300x8mm</t>
        </is>
      </c>
      <c r="E1614" s="1" t="n">
        <v>4.95</v>
      </c>
      <c r="F1614" s="1" t="n">
        <v>0</v>
      </c>
      <c r="G1614" s="1" t="inlineStr">
        <is>
          <t>Sheet</t>
        </is>
      </c>
      <c r="H1614" s="1" t="inlineStr">
        <is>
          <t>Glass</t>
        </is>
      </c>
      <c r="I1614" s="1" t="inlineStr">
        <is>
          <t>Gloss</t>
        </is>
      </c>
      <c r="J1614" t="n">
        <v>4.95</v>
      </c>
      <c r="K1614" t="n">
        <v>4.95</v>
      </c>
      <c r="L1614" t="n">
        <v>4.95</v>
      </c>
    </row>
    <row r="1615">
      <c r="A1615" s="1">
        <f>Hyperlink("https://www.wallsandfloors.co.uk/glass-brick-mosaic-tiles-black-mix-tiles","Product")</f>
        <v/>
      </c>
      <c r="B1615" s="1" t="inlineStr">
        <is>
          <t>6881</t>
        </is>
      </c>
      <c r="C1615" s="1" t="inlineStr">
        <is>
          <t>Glass Brick Black Mix Mosaic Tiles</t>
        </is>
      </c>
      <c r="D1615" s="1" t="inlineStr">
        <is>
          <t>300x300x8mm</t>
        </is>
      </c>
      <c r="E1615" s="1" t="n">
        <v>4.8</v>
      </c>
      <c r="F1615" s="1" t="n">
        <v>0</v>
      </c>
      <c r="G1615" s="1" t="inlineStr">
        <is>
          <t>Sheet</t>
        </is>
      </c>
      <c r="H1615" s="1" t="inlineStr">
        <is>
          <t>Glass</t>
        </is>
      </c>
      <c r="I1615" s="1" t="inlineStr">
        <is>
          <t>Gloss</t>
        </is>
      </c>
      <c r="J1615" t="n">
        <v>4.8</v>
      </c>
      <c r="K1615" t="n">
        <v>4.8</v>
      </c>
      <c r="L1615" t="n">
        <v>4.8</v>
      </c>
    </row>
    <row r="1616">
      <c r="A1616" s="1">
        <f>Hyperlink("https://www.wallsandfloors.co.uk/gea-linen-tiles","Product")</f>
        <v/>
      </c>
      <c r="B1616" s="1" t="inlineStr">
        <is>
          <t>44224</t>
        </is>
      </c>
      <c r="C1616" s="1" t="inlineStr">
        <is>
          <t>Gea Linen Tiles</t>
        </is>
      </c>
      <c r="D1616" s="1" t="inlineStr">
        <is>
          <t>121x121x8.5mm</t>
        </is>
      </c>
      <c r="E1616" s="1" t="n">
        <v>40.95</v>
      </c>
      <c r="F1616" s="1" t="n">
        <v>0</v>
      </c>
      <c r="G1616" s="1" t="inlineStr">
        <is>
          <t>SQM</t>
        </is>
      </c>
      <c r="H1616" s="1" t="inlineStr">
        <is>
          <t>Porcelain</t>
        </is>
      </c>
      <c r="I1616" s="1" t="inlineStr">
        <is>
          <t>Matt</t>
        </is>
      </c>
      <c r="J1616" t="inlineStr"/>
      <c r="K1616" t="inlineStr"/>
      <c r="L1616" t="n">
        <v>40.95</v>
      </c>
    </row>
    <row r="1617">
      <c r="A1617" s="1">
        <f>Hyperlink("https://www.wallsandfloors.co.uk/gea-grey-tiles","Product")</f>
        <v/>
      </c>
      <c r="B1617" s="1" t="inlineStr">
        <is>
          <t>44225</t>
        </is>
      </c>
      <c r="C1617" s="1" t="inlineStr">
        <is>
          <t>Gea Grey Tiles</t>
        </is>
      </c>
      <c r="D1617" s="1" t="inlineStr">
        <is>
          <t>121x121x8.5mm</t>
        </is>
      </c>
      <c r="E1617" s="1" t="n">
        <v>40.95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inlineStr"/>
      <c r="K1617" t="n">
        <v>40.95</v>
      </c>
      <c r="L1617" t="n">
        <v>40.95</v>
      </c>
    </row>
    <row r="1618">
      <c r="A1618" s="1">
        <f>Hyperlink("https://www.wallsandfloors.co.uk/gea-charcoal-tiles","Product")</f>
        <v/>
      </c>
      <c r="B1618" s="1" t="inlineStr">
        <is>
          <t>44226</t>
        </is>
      </c>
      <c r="C1618" s="1" t="inlineStr">
        <is>
          <t>Gea Charcoal Tiles</t>
        </is>
      </c>
      <c r="D1618" s="1" t="inlineStr">
        <is>
          <t>121x121x8.5mm</t>
        </is>
      </c>
      <c r="E1618" s="1" t="n">
        <v>40.95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40.95</v>
      </c>
      <c r="K1618" t="n">
        <v>40.95</v>
      </c>
      <c r="L1618" t="n">
        <v>40.95</v>
      </c>
    </row>
    <row r="1619">
      <c r="A1619" s="1">
        <f>Hyperlink("https://www.wallsandfloors.co.uk/gea-carved-linen-tiles","Product")</f>
        <v/>
      </c>
      <c r="B1619" s="1" t="inlineStr">
        <is>
          <t>44227</t>
        </is>
      </c>
      <c r="C1619" s="1" t="inlineStr">
        <is>
          <t>Gea Carved Linen Tiles</t>
        </is>
      </c>
      <c r="D1619" s="1" t="inlineStr">
        <is>
          <t>121x121x8.5mm</t>
        </is>
      </c>
      <c r="E1619" s="1" t="n">
        <v>43.95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Matt</t>
        </is>
      </c>
      <c r="J1619" t="inlineStr"/>
      <c r="K1619" t="n">
        <v>43.95</v>
      </c>
      <c r="L1619" t="n">
        <v>43.95</v>
      </c>
    </row>
    <row r="1620">
      <c r="A1620" s="1">
        <f>Hyperlink("https://www.wallsandfloors.co.uk/glistening-mosaic-tiles-red-mix-tiles","Product")</f>
        <v/>
      </c>
      <c r="B1620" s="1" t="inlineStr">
        <is>
          <t>11291</t>
        </is>
      </c>
      <c r="C1620" s="1" t="inlineStr">
        <is>
          <t>Glistening Red Mix Mosaic Tiles</t>
        </is>
      </c>
      <c r="D1620" s="1" t="inlineStr">
        <is>
          <t>300x300x7mm</t>
        </is>
      </c>
      <c r="E1620" s="1" t="n">
        <v>6.15</v>
      </c>
      <c r="F1620" s="1" t="n">
        <v>0</v>
      </c>
      <c r="G1620" s="1" t="inlineStr">
        <is>
          <t>Sheet</t>
        </is>
      </c>
      <c r="H1620" s="1" t="inlineStr">
        <is>
          <t>Glass</t>
        </is>
      </c>
      <c r="I1620" s="1" t="inlineStr">
        <is>
          <t>Iridescent</t>
        </is>
      </c>
      <c r="J1620" t="n">
        <v>6.15</v>
      </c>
      <c r="K1620" t="n">
        <v>6.15</v>
      </c>
      <c r="L1620" t="n">
        <v>6.15</v>
      </c>
    </row>
    <row r="1621">
      <c r="A1621" s="1">
        <f>Hyperlink("https://www.wallsandfloors.co.uk/gosford-tiles-beige-panel-tiles","Product")</f>
        <v/>
      </c>
      <c r="B1621" s="1" t="inlineStr">
        <is>
          <t>12460</t>
        </is>
      </c>
      <c r="C1621" s="1" t="inlineStr">
        <is>
          <t>Gosford Beige Panel Tiles</t>
        </is>
      </c>
      <c r="D1621" s="1" t="inlineStr">
        <is>
          <t>285x285x8mm</t>
        </is>
      </c>
      <c r="E1621" s="1" t="n">
        <v>18.95</v>
      </c>
      <c r="F1621" s="1" t="n">
        <v>0</v>
      </c>
      <c r="G1621" s="1" t="inlineStr">
        <is>
          <t>Sheet</t>
        </is>
      </c>
      <c r="H1621" s="1" t="inlineStr">
        <is>
          <t>Porcelain</t>
        </is>
      </c>
      <c r="I1621" s="1" t="inlineStr">
        <is>
          <t>Matt</t>
        </is>
      </c>
      <c r="J1621" t="n">
        <v>18.95</v>
      </c>
      <c r="K1621" t="n">
        <v>18.95</v>
      </c>
      <c r="L1621" t="n">
        <v>18.95</v>
      </c>
    </row>
    <row r="1622">
      <c r="A1622" s="1">
        <f>Hyperlink("https://www.wallsandfloors.co.uk/gosford-tiles-beige-plain-tiles","Product")</f>
        <v/>
      </c>
      <c r="B1622" s="1" t="inlineStr">
        <is>
          <t>12991</t>
        </is>
      </c>
      <c r="C1622" s="1" t="inlineStr">
        <is>
          <t>Gosford Beige Plain Tiles</t>
        </is>
      </c>
      <c r="D1622" s="1" t="inlineStr">
        <is>
          <t>93x93x8mm</t>
        </is>
      </c>
      <c r="E1622" s="1" t="n">
        <v>100.95</v>
      </c>
      <c r="F1622" s="1" t="n">
        <v>0</v>
      </c>
      <c r="G1622" s="1" t="inlineStr">
        <is>
          <t>SQM</t>
        </is>
      </c>
      <c r="H1622" s="1" t="inlineStr">
        <is>
          <t>Porcelain</t>
        </is>
      </c>
      <c r="I1622" s="1" t="inlineStr">
        <is>
          <t>Matt</t>
        </is>
      </c>
      <c r="J1622" t="n">
        <v>100.95</v>
      </c>
      <c r="K1622" t="n">
        <v>100.95</v>
      </c>
      <c r="L1622" t="n">
        <v>100.95</v>
      </c>
    </row>
    <row r="1623">
      <c r="A1623" s="1">
        <f>Hyperlink("https://www.wallsandfloors.co.uk/gosford-tiles-black-white-border-tiles","Product")</f>
        <v/>
      </c>
      <c r="B1623" s="1" t="inlineStr">
        <is>
          <t>11101</t>
        </is>
      </c>
      <c r="C1623" s="1" t="inlineStr">
        <is>
          <t>Gosford Black and White Border Tiles</t>
        </is>
      </c>
      <c r="D1623" s="1" t="inlineStr">
        <is>
          <t>285x95x9mm</t>
        </is>
      </c>
      <c r="E1623" s="1" t="n">
        <v>13.95</v>
      </c>
      <c r="F1623" s="1" t="n">
        <v>0</v>
      </c>
      <c r="G1623" s="1" t="inlineStr">
        <is>
          <t>Tile</t>
        </is>
      </c>
      <c r="H1623" s="1" t="inlineStr">
        <is>
          <t>Porcelain</t>
        </is>
      </c>
      <c r="I1623" s="1" t="inlineStr">
        <is>
          <t>Matt</t>
        </is>
      </c>
      <c r="J1623" t="n">
        <v>13.95</v>
      </c>
      <c r="K1623" t="inlineStr"/>
      <c r="L1623" t="n">
        <v>13.95</v>
      </c>
    </row>
    <row r="1624">
      <c r="A1624" s="1">
        <f>Hyperlink("https://www.wallsandfloors.co.uk/grey-kinder-60x60-tiles","Product")</f>
        <v/>
      </c>
      <c r="B1624" s="1" t="inlineStr">
        <is>
          <t>15660</t>
        </is>
      </c>
      <c r="C1624" s="1" t="inlineStr">
        <is>
          <t>Rebus Grey Kinder Tiles</t>
        </is>
      </c>
      <c r="D1624" s="1" t="inlineStr">
        <is>
          <t>600x600x10mm</t>
        </is>
      </c>
      <c r="E1624" s="1" t="n">
        <v>29.09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Matt</t>
        </is>
      </c>
      <c r="J1624" t="inlineStr"/>
      <c r="K1624" t="n">
        <v>29.09</v>
      </c>
      <c r="L1624" t="n">
        <v>29.09</v>
      </c>
    </row>
    <row r="1625">
      <c r="A1625" s="1">
        <f>Hyperlink("https://www.wallsandfloors.co.uk/grey-kinder-40x80-tiles","Product")</f>
        <v/>
      </c>
      <c r="B1625" s="1" t="inlineStr">
        <is>
          <t>15180</t>
        </is>
      </c>
      <c r="C1625" s="1" t="inlineStr">
        <is>
          <t>Grey Kinder Tiles</t>
        </is>
      </c>
      <c r="D1625" s="1" t="inlineStr">
        <is>
          <t>800x400x10mm</t>
        </is>
      </c>
      <c r="E1625" s="1" t="n">
        <v>31.54</v>
      </c>
      <c r="F1625" s="1" t="n">
        <v>0</v>
      </c>
      <c r="G1625" s="1" t="inlineStr">
        <is>
          <t>SQM</t>
        </is>
      </c>
      <c r="H1625" s="1" t="inlineStr">
        <is>
          <t>Porcelain</t>
        </is>
      </c>
      <c r="I1625" s="1" t="inlineStr">
        <is>
          <t>Matt</t>
        </is>
      </c>
      <c r="J1625" t="n">
        <v>31.54</v>
      </c>
      <c r="K1625" t="n">
        <v>31.54</v>
      </c>
      <c r="L1625" t="n">
        <v>31.54</v>
      </c>
    </row>
    <row r="1626">
      <c r="A1626" s="1">
        <f>Hyperlink("https://www.wallsandfloors.co.uk/grey-910x153-anti-slip-tiles","Product")</f>
        <v/>
      </c>
      <c r="B1626" s="1" t="inlineStr">
        <is>
          <t>36535</t>
        </is>
      </c>
      <c r="C1626" s="1" t="inlineStr">
        <is>
          <t>Muniellos Grey Anti-Slip Wood Effect Tiles</t>
        </is>
      </c>
      <c r="D1626" s="1" t="inlineStr">
        <is>
          <t>900x150x10.5mm</t>
        </is>
      </c>
      <c r="E1626" s="1" t="n">
        <v>33.95</v>
      </c>
      <c r="F1626" s="1" t="n">
        <v>0</v>
      </c>
      <c r="G1626" s="1" t="inlineStr">
        <is>
          <t>SQM</t>
        </is>
      </c>
      <c r="H1626" s="1" t="inlineStr">
        <is>
          <t>Porcelain</t>
        </is>
      </c>
      <c r="I1626" s="1" t="inlineStr">
        <is>
          <t>Matt</t>
        </is>
      </c>
      <c r="J1626" t="inlineStr"/>
      <c r="K1626" t="inlineStr"/>
      <c r="L1626" t="n">
        <v>33.95</v>
      </c>
    </row>
    <row r="1627">
      <c r="A1627" s="1">
        <f>Hyperlink("https://www.wallsandfloors.co.uk/grey-55x33-wall-tiles","Product")</f>
        <v/>
      </c>
      <c r="B1627" s="1" t="inlineStr">
        <is>
          <t>37986</t>
        </is>
      </c>
      <c r="C1627" s="1" t="inlineStr">
        <is>
          <t>Grey Wall Tiles</t>
        </is>
      </c>
      <c r="D1627" s="1" t="inlineStr">
        <is>
          <t>550x330x8mm</t>
        </is>
      </c>
      <c r="E1627" s="1" t="n">
        <v>10.95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Satin</t>
        </is>
      </c>
      <c r="J1627" t="inlineStr"/>
      <c r="K1627" t="n">
        <v>10.95</v>
      </c>
      <c r="L1627" t="n">
        <v>10.95</v>
      </c>
    </row>
    <row r="1628">
      <c r="A1628" s="1">
        <f>Hyperlink("https://www.wallsandfloors.co.uk/green-triangle-70x70x100mm-tiles","Product")</f>
        <v/>
      </c>
      <c r="B1628" s="1" t="inlineStr">
        <is>
          <t>990194</t>
        </is>
      </c>
      <c r="C1628" s="1" t="inlineStr">
        <is>
          <t>Green Triangle 70x70x100mm Tiles</t>
        </is>
      </c>
      <c r="D1628" s="1" t="inlineStr">
        <is>
          <t>70x70x100mm</t>
        </is>
      </c>
      <c r="E1628" s="1" t="n">
        <v>3.38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3.38</v>
      </c>
      <c r="K1628" t="n">
        <v>3.38</v>
      </c>
      <c r="L1628" t="n">
        <v>3.38</v>
      </c>
    </row>
    <row r="1629">
      <c r="A1629" s="1">
        <f>Hyperlink("https://www.wallsandfloors.co.uk/green-triangle-35x35x50mm-tiles","Product")</f>
        <v/>
      </c>
      <c r="B1629" s="1" t="inlineStr">
        <is>
          <t>990145</t>
        </is>
      </c>
      <c r="C1629" s="1" t="inlineStr">
        <is>
          <t>Green Triangle 35x35x50mm Tiles</t>
        </is>
      </c>
      <c r="D1629" s="1" t="inlineStr">
        <is>
          <t>35x35x50mm</t>
        </is>
      </c>
      <c r="E1629" s="1" t="n">
        <v>1.76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1.76</v>
      </c>
      <c r="K1629" t="n">
        <v>1.76</v>
      </c>
      <c r="L1629" t="n">
        <v>1.76</v>
      </c>
    </row>
    <row r="1630">
      <c r="A1630" s="1">
        <f>Hyperlink("https://www.wallsandfloors.co.uk/green-triangle-100x100x140mm-tiles","Product")</f>
        <v/>
      </c>
      <c r="B1630" s="1" t="inlineStr">
        <is>
          <t>990219</t>
        </is>
      </c>
      <c r="C1630" s="1" t="inlineStr">
        <is>
          <t>Green Triangle Tiles</t>
        </is>
      </c>
      <c r="D1630" s="1" t="inlineStr">
        <is>
          <t>100x100x1400mm</t>
        </is>
      </c>
      <c r="E1630" s="1" t="n">
        <v>4.46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n">
        <v>4.46</v>
      </c>
      <c r="K1630" t="n">
        <v>4.46</v>
      </c>
      <c r="L1630" t="n">
        <v>4.46</v>
      </c>
    </row>
    <row r="1631">
      <c r="A1631" s="1">
        <f>Hyperlink("https://www.wallsandfloors.co.uk/green-strip-150x50mm-tiles","Product")</f>
        <v/>
      </c>
      <c r="B1631" s="1" t="inlineStr">
        <is>
          <t>990269</t>
        </is>
      </c>
      <c r="C1631" s="1" t="inlineStr">
        <is>
          <t>Green Strip Tiles</t>
        </is>
      </c>
      <c r="D1631" s="1" t="inlineStr">
        <is>
          <t>150x50x9-10mm</t>
        </is>
      </c>
      <c r="E1631" s="1" t="n">
        <v>3.2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3.2</v>
      </c>
      <c r="K1631" t="n">
        <v>3.2</v>
      </c>
      <c r="L1631" t="n">
        <v>3.2</v>
      </c>
    </row>
    <row r="1632">
      <c r="A1632" s="1">
        <f>Hyperlink("https://www.wallsandfloors.co.uk/green-strip-150x25mm-tiles","Product")</f>
        <v/>
      </c>
      <c r="B1632" s="1" t="inlineStr">
        <is>
          <t>990244</t>
        </is>
      </c>
      <c r="C1632" s="1" t="inlineStr">
        <is>
          <t>Green Strip Tiles</t>
        </is>
      </c>
      <c r="D1632" s="1" t="inlineStr">
        <is>
          <t>150x25x9-10mm</t>
        </is>
      </c>
      <c r="E1632" s="1" t="n">
        <v>2.37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Matt</t>
        </is>
      </c>
      <c r="J1632" t="n">
        <v>2.37</v>
      </c>
      <c r="K1632" t="n">
        <v>2.37</v>
      </c>
      <c r="L1632" t="n">
        <v>2.37</v>
      </c>
    </row>
    <row r="1633">
      <c r="A1633" s="1">
        <f>Hyperlink("https://www.wallsandfloors.co.uk/green-squares-70mm-tiles","Product")</f>
        <v/>
      </c>
      <c r="B1633" s="1" t="inlineStr">
        <is>
          <t>990059</t>
        </is>
      </c>
      <c r="C1633" s="1" t="inlineStr">
        <is>
          <t>Green Squares 70mm Tiles</t>
        </is>
      </c>
      <c r="D1633" s="1" t="inlineStr">
        <is>
          <t>70x70x9-10mm</t>
        </is>
      </c>
      <c r="E1633" s="1" t="n">
        <v>0.85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Matt</t>
        </is>
      </c>
      <c r="J1633" t="inlineStr"/>
      <c r="K1633" t="inlineStr"/>
      <c r="L1633" t="n">
        <v>0.85</v>
      </c>
    </row>
    <row r="1634">
      <c r="A1634" s="1">
        <f>Hyperlink("https://www.wallsandfloors.co.uk/green-squares-50mm-tiles","Product")</f>
        <v/>
      </c>
      <c r="B1634" s="1" t="inlineStr">
        <is>
          <t>990084</t>
        </is>
      </c>
      <c r="C1634" s="1" t="inlineStr">
        <is>
          <t>Green Squares 50mm Tiles</t>
        </is>
      </c>
      <c r="D1634" s="1" t="inlineStr">
        <is>
          <t>50x50x9-10mm</t>
        </is>
      </c>
      <c r="E1634" s="1" t="n">
        <v>1.3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1.3</v>
      </c>
      <c r="K1634" t="inlineStr"/>
      <c r="L1634" t="n">
        <v>1.3</v>
      </c>
    </row>
    <row r="1635">
      <c r="A1635" s="1">
        <f>Hyperlink("https://www.wallsandfloors.co.uk/green-octagon-150mm-tiles","Product")</f>
        <v/>
      </c>
      <c r="B1635" s="1" t="inlineStr">
        <is>
          <t>990131</t>
        </is>
      </c>
      <c r="C1635" s="1" t="inlineStr">
        <is>
          <t>Green Octagon Tiles</t>
        </is>
      </c>
      <c r="D1635" s="1" t="inlineStr">
        <is>
          <t>150x150x9-10mm</t>
        </is>
      </c>
      <c r="E1635" s="1" t="n">
        <v>2.66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n">
        <v>2.66</v>
      </c>
      <c r="K1635" t="n">
        <v>2.66</v>
      </c>
      <c r="L1635" t="n">
        <v>2.66</v>
      </c>
    </row>
    <row r="1636">
      <c r="A1636" s="1">
        <f>Hyperlink("https://www.wallsandfloors.co.uk/grace-ornamental-glass-mosaic-tiles","Product")</f>
        <v/>
      </c>
      <c r="B1636" s="1" t="inlineStr">
        <is>
          <t>37258</t>
        </is>
      </c>
      <c r="C1636" s="1" t="inlineStr">
        <is>
          <t>Grace Ornamental Glass Mosaic Tiles</t>
        </is>
      </c>
      <c r="D1636" s="1" t="inlineStr">
        <is>
          <t>300x300x8mm</t>
        </is>
      </c>
      <c r="E1636" s="1" t="n">
        <v>8.5</v>
      </c>
      <c r="F1636" s="1" t="n">
        <v>0</v>
      </c>
      <c r="G1636" s="1" t="inlineStr">
        <is>
          <t>Sheet</t>
        </is>
      </c>
      <c r="H1636" s="1" t="inlineStr">
        <is>
          <t>Glass</t>
        </is>
      </c>
      <c r="I1636" s="1" t="inlineStr">
        <is>
          <t>Gloss</t>
        </is>
      </c>
      <c r="J1636" t="n">
        <v>8.5</v>
      </c>
      <c r="K1636" t="inlineStr"/>
      <c r="L1636" t="n">
        <v>8.5</v>
      </c>
    </row>
    <row r="1637">
      <c r="A1637" s="1">
        <f>Hyperlink("https://www.wallsandfloors.co.uk/gosford-tiles-yellow-panel-tiles","Product")</f>
        <v/>
      </c>
      <c r="B1637" s="1" t="inlineStr">
        <is>
          <t>12461</t>
        </is>
      </c>
      <c r="C1637" s="1" t="inlineStr">
        <is>
          <t>Gosford Yellow Panel Tiles</t>
        </is>
      </c>
      <c r="D1637" s="1" t="inlineStr">
        <is>
          <t>285x285x8mm</t>
        </is>
      </c>
      <c r="E1637" s="1" t="n">
        <v>10.75</v>
      </c>
      <c r="F1637" s="1" t="n">
        <v>0</v>
      </c>
      <c r="G1637" s="1" t="inlineStr">
        <is>
          <t>SQM</t>
        </is>
      </c>
      <c r="H1637" s="1" t="inlineStr">
        <is>
          <t>Porcelain</t>
        </is>
      </c>
      <c r="I1637" s="1" t="inlineStr">
        <is>
          <t>Matt</t>
        </is>
      </c>
      <c r="J1637" t="n">
        <v>10.75</v>
      </c>
      <c r="K1637" t="inlineStr"/>
      <c r="L1637" t="n">
        <v>10.75</v>
      </c>
    </row>
    <row r="1638">
      <c r="A1638" s="1">
        <f>Hyperlink("https://www.wallsandfloors.co.uk/gosford-tiles-red-panel-tiles","Product")</f>
        <v/>
      </c>
      <c r="B1638" s="1" t="inlineStr">
        <is>
          <t>12462</t>
        </is>
      </c>
      <c r="C1638" s="1" t="inlineStr">
        <is>
          <t>Gosford Red Panel Tiles</t>
        </is>
      </c>
      <c r="D1638" s="1" t="inlineStr">
        <is>
          <t>285x285x8mm</t>
        </is>
      </c>
      <c r="E1638" s="1" t="n">
        <v>18.95</v>
      </c>
      <c r="F1638" s="1" t="n">
        <v>0</v>
      </c>
      <c r="G1638" s="1" t="inlineStr"/>
      <c r="H1638" s="1" t="inlineStr">
        <is>
          <t>Porcelain</t>
        </is>
      </c>
      <c r="I1638" s="1" t="inlineStr">
        <is>
          <t>Matt</t>
        </is>
      </c>
      <c r="J1638" t="n">
        <v>18.95</v>
      </c>
      <c r="K1638" t="n">
        <v>18.95</v>
      </c>
      <c r="L1638" t="n">
        <v>18.95</v>
      </c>
    </row>
    <row r="1639">
      <c r="A1639" s="1">
        <f>Hyperlink("https://www.wallsandfloors.co.uk/gosford-tiles-red-corner-tiles","Product")</f>
        <v/>
      </c>
      <c r="B1639" s="1" t="inlineStr">
        <is>
          <t>12464</t>
        </is>
      </c>
      <c r="C1639" s="1" t="inlineStr">
        <is>
          <t>Gosford Red Corner Tiles</t>
        </is>
      </c>
      <c r="D1639" s="1" t="inlineStr">
        <is>
          <t>120x95x9mm</t>
        </is>
      </c>
      <c r="E1639" s="1" t="n">
        <v>13.95</v>
      </c>
      <c r="F1639" s="1" t="n">
        <v>0</v>
      </c>
      <c r="G1639" s="1" t="inlineStr">
        <is>
          <t>Tile</t>
        </is>
      </c>
      <c r="H1639" s="1" t="inlineStr">
        <is>
          <t>Porcelain</t>
        </is>
      </c>
      <c r="I1639" s="1" t="inlineStr">
        <is>
          <t>Matt</t>
        </is>
      </c>
      <c r="J1639" t="n">
        <v>13.95</v>
      </c>
      <c r="K1639" t="n">
        <v>13.95</v>
      </c>
      <c r="L1639" t="n">
        <v>13.95</v>
      </c>
    </row>
    <row r="1640">
      <c r="A1640" s="1">
        <f>Hyperlink("https://www.wallsandfloors.co.uk/gosford-tiles-red-border-tiles","Product")</f>
        <v/>
      </c>
      <c r="B1640" s="1" t="inlineStr">
        <is>
          <t>12463</t>
        </is>
      </c>
      <c r="C1640" s="1" t="inlineStr">
        <is>
          <t>Gosford Red Border Tiles</t>
        </is>
      </c>
      <c r="D1640" s="1" t="inlineStr">
        <is>
          <t>285x95x9mm</t>
        </is>
      </c>
      <c r="E1640" s="1" t="n">
        <v>12.95</v>
      </c>
      <c r="F1640" s="1" t="n">
        <v>0</v>
      </c>
      <c r="G1640" s="1" t="inlineStr">
        <is>
          <t>Tile</t>
        </is>
      </c>
      <c r="H1640" s="1" t="inlineStr">
        <is>
          <t>Porcelain</t>
        </is>
      </c>
      <c r="I1640" s="1" t="inlineStr">
        <is>
          <t>Matt</t>
        </is>
      </c>
      <c r="J1640" t="inlineStr"/>
      <c r="K1640" t="n">
        <v>12.95</v>
      </c>
      <c r="L1640" t="n">
        <v>12.95</v>
      </c>
    </row>
    <row r="1641">
      <c r="A1641" s="1">
        <f>Hyperlink("https://www.wallsandfloors.co.uk/gosford-tiles-plain-yellow-tiles","Product")</f>
        <v/>
      </c>
      <c r="B1641" s="1" t="inlineStr">
        <is>
          <t>13002</t>
        </is>
      </c>
      <c r="C1641" s="1" t="inlineStr">
        <is>
          <t>Gosford Plain Yellow Tiles</t>
        </is>
      </c>
      <c r="D1641" s="1" t="inlineStr">
        <is>
          <t>93x93x8mm</t>
        </is>
      </c>
      <c r="E1641" s="1" t="n">
        <v>100.95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Matt</t>
        </is>
      </c>
      <c r="J1641" t="n">
        <v>100.95</v>
      </c>
      <c r="K1641" t="n">
        <v>100.95</v>
      </c>
      <c r="L1641" t="n">
        <v>100.95</v>
      </c>
    </row>
    <row r="1642">
      <c r="A1642" s="1">
        <f>Hyperlink("https://www.wallsandfloors.co.uk/gosford-tiles-plain-white-tiles","Product")</f>
        <v/>
      </c>
      <c r="B1642" s="1" t="inlineStr">
        <is>
          <t>12992</t>
        </is>
      </c>
      <c r="C1642" s="1" t="inlineStr">
        <is>
          <t>Gosford Plain White Tiles</t>
        </is>
      </c>
      <c r="D1642" s="1" t="inlineStr">
        <is>
          <t>93x93x8mm</t>
        </is>
      </c>
      <c r="E1642" s="1" t="n">
        <v>100.95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Matt</t>
        </is>
      </c>
      <c r="J1642" t="n">
        <v>100.95</v>
      </c>
      <c r="K1642" t="n">
        <v>100.95</v>
      </c>
      <c r="L1642" t="n">
        <v>100.95</v>
      </c>
    </row>
    <row r="1643">
      <c r="A1643" s="1">
        <f>Hyperlink("https://www.wallsandfloors.co.uk/gosford-tiles-plain-red-tiles","Product")</f>
        <v/>
      </c>
      <c r="B1643" s="1" t="inlineStr">
        <is>
          <t>12994</t>
        </is>
      </c>
      <c r="C1643" s="1" t="inlineStr">
        <is>
          <t>Gosford Plain Red Tiles</t>
        </is>
      </c>
      <c r="D1643" s="1" t="inlineStr">
        <is>
          <t>93x93x8mm</t>
        </is>
      </c>
      <c r="E1643" s="1" t="n">
        <v>100.95</v>
      </c>
      <c r="F1643" s="1" t="n">
        <v>0</v>
      </c>
      <c r="G1643" s="1" t="inlineStr">
        <is>
          <t>SQM</t>
        </is>
      </c>
      <c r="H1643" s="1" t="inlineStr">
        <is>
          <t>Porcelain</t>
        </is>
      </c>
      <c r="I1643" s="1" t="inlineStr">
        <is>
          <t>Matt</t>
        </is>
      </c>
      <c r="J1643" t="n">
        <v>100.95</v>
      </c>
      <c r="K1643" t="inlineStr"/>
      <c r="L1643" t="n">
        <v>100.95</v>
      </c>
    </row>
    <row r="1644">
      <c r="A1644" s="1">
        <f>Hyperlink("https://www.wallsandfloors.co.uk/gosford-tiles-plain-black-tiles","Product")</f>
        <v/>
      </c>
      <c r="B1644" s="1" t="inlineStr">
        <is>
          <t>13000</t>
        </is>
      </c>
      <c r="C1644" s="1" t="inlineStr">
        <is>
          <t>Gosford Plain Black Tiles</t>
        </is>
      </c>
      <c r="D1644" s="1" t="inlineStr">
        <is>
          <t>93x93x8mm</t>
        </is>
      </c>
      <c r="E1644" s="1" t="n">
        <v>100.95</v>
      </c>
      <c r="F1644" s="1" t="n">
        <v>0</v>
      </c>
      <c r="G1644" s="1" t="inlineStr">
        <is>
          <t>SQM</t>
        </is>
      </c>
      <c r="H1644" s="1" t="inlineStr">
        <is>
          <t>Porcelain</t>
        </is>
      </c>
      <c r="I1644" s="1" t="inlineStr">
        <is>
          <t>Matt</t>
        </is>
      </c>
      <c r="J1644" t="n">
        <v>100.95</v>
      </c>
      <c r="K1644" t="n">
        <v>100.95</v>
      </c>
      <c r="L1644" t="n">
        <v>100.95</v>
      </c>
    </row>
    <row r="1645">
      <c r="A1645" s="1">
        <f>Hyperlink("https://www.wallsandfloors.co.uk/gosford-tiles-black-white-panel-tiles","Product")</f>
        <v/>
      </c>
      <c r="B1645" s="1" t="inlineStr">
        <is>
          <t>11100</t>
        </is>
      </c>
      <c r="C1645" s="1" t="inlineStr">
        <is>
          <t>Gosford Black and White Panel Tiles</t>
        </is>
      </c>
      <c r="D1645" s="1" t="inlineStr">
        <is>
          <t>285x285x8mm</t>
        </is>
      </c>
      <c r="E1645" s="1" t="n">
        <v>18.95</v>
      </c>
      <c r="F1645" s="1" t="n">
        <v>0</v>
      </c>
      <c r="G1645" s="1" t="inlineStr">
        <is>
          <t>Sheet</t>
        </is>
      </c>
      <c r="H1645" s="1" t="inlineStr">
        <is>
          <t>Porcelain</t>
        </is>
      </c>
      <c r="I1645" s="1" t="inlineStr">
        <is>
          <t>Matt</t>
        </is>
      </c>
      <c r="J1645" t="n">
        <v>18.95</v>
      </c>
      <c r="K1645" t="n">
        <v>18.95</v>
      </c>
      <c r="L1645" t="n">
        <v>18.95</v>
      </c>
    </row>
    <row r="1646">
      <c r="A1646" s="1">
        <f>Hyperlink("https://www.wallsandfloors.co.uk/gosford-tiles-black-white-corner-tiles","Product")</f>
        <v/>
      </c>
      <c r="B1646" s="1" t="inlineStr">
        <is>
          <t>11102</t>
        </is>
      </c>
      <c r="C1646" s="1" t="inlineStr">
        <is>
          <t>Gosford Black and White Corner Tiles</t>
        </is>
      </c>
      <c r="D1646" s="1" t="inlineStr">
        <is>
          <t>120x95x9mm</t>
        </is>
      </c>
      <c r="E1646" s="1" t="n">
        <v>13.95</v>
      </c>
      <c r="F1646" s="1" t="n">
        <v>0</v>
      </c>
      <c r="G1646" s="1" t="inlineStr">
        <is>
          <t>Tile</t>
        </is>
      </c>
      <c r="H1646" s="1" t="inlineStr">
        <is>
          <t>Porcelain</t>
        </is>
      </c>
      <c r="I1646" s="1" t="inlineStr">
        <is>
          <t>Matt</t>
        </is>
      </c>
      <c r="J1646" t="n">
        <v>13.95</v>
      </c>
      <c r="K1646" t="n">
        <v>13.95</v>
      </c>
      <c r="L1646" t="n">
        <v>13.95</v>
      </c>
    </row>
    <row r="1647">
      <c r="A1647" s="1">
        <f>Hyperlink("https://www.wallsandfloors.co.uk/gea-carved-grey-tiles","Product")</f>
        <v/>
      </c>
      <c r="B1647" s="1" t="inlineStr">
        <is>
          <t>44228</t>
        </is>
      </c>
      <c r="C1647" s="1" t="inlineStr">
        <is>
          <t>Gea Carved Grey Tiles</t>
        </is>
      </c>
      <c r="D1647" s="1" t="inlineStr">
        <is>
          <t>121x121x8.5mm</t>
        </is>
      </c>
      <c r="E1647" s="1" t="n">
        <v>43.95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n">
        <v>43.95</v>
      </c>
      <c r="K1647" t="n">
        <v>43.95</v>
      </c>
      <c r="L1647" t="n">
        <v>43.95</v>
      </c>
    </row>
    <row r="1648">
      <c r="A1648" s="1">
        <f>Hyperlink("https://www.wallsandfloors.co.uk/gea-carved-charcoal-tiles","Product")</f>
        <v/>
      </c>
      <c r="B1648" s="1" t="inlineStr">
        <is>
          <t>44229</t>
        </is>
      </c>
      <c r="C1648" s="1" t="inlineStr">
        <is>
          <t>Gea Carved Charcoal Tiles</t>
        </is>
      </c>
      <c r="D1648" s="1" t="inlineStr">
        <is>
          <t>121x121x8.5mm</t>
        </is>
      </c>
      <c r="E1648" s="1" t="n">
        <v>43.95</v>
      </c>
      <c r="F1648" s="1" t="n">
        <v>0</v>
      </c>
      <c r="G1648" s="1" t="inlineStr">
        <is>
          <t>SQM</t>
        </is>
      </c>
      <c r="H1648" s="1" t="inlineStr">
        <is>
          <t>Porcelain</t>
        </is>
      </c>
      <c r="I1648" s="1" t="inlineStr">
        <is>
          <t>Matt</t>
        </is>
      </c>
      <c r="J1648" t="n">
        <v>43.95</v>
      </c>
      <c r="K1648" t="n">
        <v>43.95</v>
      </c>
      <c r="L1648" t="n">
        <v>43.95</v>
      </c>
    </row>
    <row r="1649">
      <c r="A1649" s="1">
        <f>Hyperlink("https://www.wallsandfloors.co.uk/gea-carved-calacatta-tiles","Product")</f>
        <v/>
      </c>
      <c r="B1649" s="1" t="inlineStr">
        <is>
          <t>44230</t>
        </is>
      </c>
      <c r="C1649" s="1" t="inlineStr">
        <is>
          <t>Gea Carved Calacatta Tiles</t>
        </is>
      </c>
      <c r="D1649" s="1" t="inlineStr">
        <is>
          <t>121x121x8.5mm</t>
        </is>
      </c>
      <c r="E1649" s="1" t="n">
        <v>43.95</v>
      </c>
      <c r="F1649" s="1" t="n">
        <v>0</v>
      </c>
      <c r="G1649" s="1" t="inlineStr">
        <is>
          <t>SQM</t>
        </is>
      </c>
      <c r="H1649" s="1" t="inlineStr">
        <is>
          <t>Porcelain</t>
        </is>
      </c>
      <c r="I1649" s="1" t="inlineStr">
        <is>
          <t>Matt</t>
        </is>
      </c>
      <c r="J1649" t="n">
        <v>43.95</v>
      </c>
      <c r="K1649" t="n">
        <v>43.95</v>
      </c>
      <c r="L1649" t="n">
        <v>43.95</v>
      </c>
    </row>
    <row r="1650">
      <c r="A1650" s="1">
        <f>Hyperlink("https://www.wallsandfloors.co.uk/gea-calacatta-tiles","Product")</f>
        <v/>
      </c>
      <c r="B1650" s="1" t="inlineStr">
        <is>
          <t>44223</t>
        </is>
      </c>
      <c r="C1650" s="1" t="inlineStr">
        <is>
          <t>Gea Calacatta Tiles</t>
        </is>
      </c>
      <c r="D1650" s="1" t="inlineStr">
        <is>
          <t>121x121x8.5mm</t>
        </is>
      </c>
      <c r="E1650" s="1" t="n">
        <v>40.95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40.95</v>
      </c>
      <c r="K1650" t="inlineStr"/>
      <c r="L1650" t="n">
        <v>40.95</v>
      </c>
    </row>
    <row r="1651">
      <c r="A1651" s="1">
        <f>Hyperlink("https://www.wallsandfloors.co.uk/essence-glass-mosaic-tiles-midnight-square-mix-tiles","Product")</f>
        <v/>
      </c>
      <c r="B1651" s="1" t="inlineStr">
        <is>
          <t>14830</t>
        </is>
      </c>
      <c r="C1651" s="1" t="inlineStr">
        <is>
          <t>Midnight Square Mix Tiles</t>
        </is>
      </c>
      <c r="D1651" s="1" t="inlineStr">
        <is>
          <t>297x297x8mm</t>
        </is>
      </c>
      <c r="E1651" s="1" t="n">
        <v>6</v>
      </c>
      <c r="F1651" s="1" t="n">
        <v>0</v>
      </c>
      <c r="G1651" s="1" t="inlineStr">
        <is>
          <t>SQM</t>
        </is>
      </c>
      <c r="H1651" s="1" t="inlineStr">
        <is>
          <t>Glass</t>
        </is>
      </c>
      <c r="I1651" s="1" t="inlineStr">
        <is>
          <t>Gloss</t>
        </is>
      </c>
      <c r="J1651" t="n">
        <v>6</v>
      </c>
      <c r="K1651" t="n">
        <v>6</v>
      </c>
      <c r="L1651" t="n">
        <v>6</v>
      </c>
    </row>
    <row r="1652">
      <c r="A1652" s="1">
        <f>Hyperlink("https://www.wallsandfloors.co.uk/essence-glass-mosaic-tiles-midnight-brick-mix-tiles","Product")</f>
        <v/>
      </c>
      <c r="B1652" s="1" t="inlineStr">
        <is>
          <t>14828</t>
        </is>
      </c>
      <c r="C1652" s="1" t="inlineStr">
        <is>
          <t>Essence Midnight Brick Mix Mosaic Tiles</t>
        </is>
      </c>
      <c r="D1652" s="1" t="inlineStr">
        <is>
          <t>302x297x8mm</t>
        </is>
      </c>
      <c r="E1652" s="1" t="n">
        <v>6.7</v>
      </c>
      <c r="F1652" s="1" t="n">
        <v>0</v>
      </c>
      <c r="G1652" s="1" t="inlineStr">
        <is>
          <t>Sheet</t>
        </is>
      </c>
      <c r="H1652" s="1" t="inlineStr">
        <is>
          <t>Glass</t>
        </is>
      </c>
      <c r="I1652" s="1" t="inlineStr">
        <is>
          <t>Gloss</t>
        </is>
      </c>
      <c r="J1652" t="n">
        <v>6.7</v>
      </c>
      <c r="K1652" t="n">
        <v>6.7</v>
      </c>
      <c r="L1652" t="n">
        <v>6.7</v>
      </c>
    </row>
    <row r="1653">
      <c r="A1653" s="1">
        <f>Hyperlink("https://www.wallsandfloors.co.uk/essence-glass-mosaic-tiles-harvest-brick-mix-tiles","Product")</f>
        <v/>
      </c>
      <c r="B1653" s="1" t="inlineStr">
        <is>
          <t>14827</t>
        </is>
      </c>
      <c r="C1653" s="1" t="inlineStr">
        <is>
          <t>Essence Harvest Brick Mix Mosaic Tiles</t>
        </is>
      </c>
      <c r="D1653" s="1" t="inlineStr">
        <is>
          <t>302x297x8mm</t>
        </is>
      </c>
      <c r="E1653" s="1" t="n">
        <v>5.15</v>
      </c>
      <c r="F1653" s="1" t="n">
        <v>0</v>
      </c>
      <c r="G1653" s="1" t="inlineStr">
        <is>
          <t>Sheet</t>
        </is>
      </c>
      <c r="H1653" s="1" t="inlineStr">
        <is>
          <t>Glass</t>
        </is>
      </c>
      <c r="I1653" s="1" t="inlineStr">
        <is>
          <t>Gloss</t>
        </is>
      </c>
      <c r="J1653" t="inlineStr"/>
      <c r="K1653" t="inlineStr"/>
      <c r="L1653" t="n">
        <v>5.15</v>
      </c>
    </row>
    <row r="1654">
      <c r="A1654" s="1">
        <f>Hyperlink("https://www.wallsandfloors.co.uk/espresso-brown-40x25-tiles","Product")</f>
        <v/>
      </c>
      <c r="B1654" s="1" t="inlineStr">
        <is>
          <t>34681</t>
        </is>
      </c>
      <c r="C1654" s="1" t="inlineStr">
        <is>
          <t>Coalesce Espresso Brown Tiles</t>
        </is>
      </c>
      <c r="D1654" s="1" t="inlineStr">
        <is>
          <t>400x250x7.5mm</t>
        </is>
      </c>
      <c r="E1654" s="1" t="n">
        <v>12.95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Matt</t>
        </is>
      </c>
      <c r="J1654" t="n">
        <v>12.95</v>
      </c>
      <c r="K1654" t="n">
        <v>12.95</v>
      </c>
      <c r="L1654" t="n">
        <v>12.95</v>
      </c>
    </row>
    <row r="1655">
      <c r="A1655" s="1">
        <f>Hyperlink("https://www.wallsandfloors.co.uk/eloquence-tiles-sloe-black-tiles","Product")</f>
        <v/>
      </c>
      <c r="B1655" s="1" t="inlineStr">
        <is>
          <t>14541</t>
        </is>
      </c>
      <c r="C1655" s="1" t="inlineStr">
        <is>
          <t>Eloquence Sloe Black Tiles</t>
        </is>
      </c>
      <c r="D1655" s="1" t="inlineStr">
        <is>
          <t>600x200x8mm</t>
        </is>
      </c>
      <c r="E1655" s="1" t="n">
        <v>20.95</v>
      </c>
      <c r="F1655" s="1" t="n">
        <v>0</v>
      </c>
      <c r="G1655" s="1" t="inlineStr">
        <is>
          <t>SQM</t>
        </is>
      </c>
      <c r="H1655" s="1" t="inlineStr">
        <is>
          <t>Ceramic</t>
        </is>
      </c>
      <c r="I1655" s="1" t="inlineStr">
        <is>
          <t>Matt</t>
        </is>
      </c>
      <c r="J1655" t="n">
        <v>20.95</v>
      </c>
      <c r="K1655" t="n">
        <v>20.95</v>
      </c>
      <c r="L1655" t="n">
        <v>20.95</v>
      </c>
    </row>
    <row r="1656">
      <c r="A1656" s="1">
        <f>Hyperlink("https://www.wallsandfloors.co.uk/eloquence-tiles-daydream-blue-tiles","Product")</f>
        <v/>
      </c>
      <c r="B1656" s="1" t="inlineStr">
        <is>
          <t>14538</t>
        </is>
      </c>
      <c r="C1656" s="1" t="inlineStr">
        <is>
          <t>Daydream Blue Tiles</t>
        </is>
      </c>
      <c r="D1656" s="1" t="inlineStr">
        <is>
          <t>600x200x8mm</t>
        </is>
      </c>
      <c r="E1656" s="1" t="n">
        <v>20.95</v>
      </c>
      <c r="F1656" s="1" t="n">
        <v>0</v>
      </c>
      <c r="G1656" s="1" t="inlineStr">
        <is>
          <t>SQM</t>
        </is>
      </c>
      <c r="H1656" s="1" t="inlineStr">
        <is>
          <t>Ceramic</t>
        </is>
      </c>
      <c r="I1656" s="1" t="inlineStr">
        <is>
          <t>Matt</t>
        </is>
      </c>
      <c r="J1656" t="n">
        <v>20.95</v>
      </c>
      <c r="K1656" t="n">
        <v>20.95</v>
      </c>
      <c r="L1656" t="n">
        <v>20.95</v>
      </c>
    </row>
    <row r="1657">
      <c r="A1657" s="1">
        <f>Hyperlink("https://www.wallsandfloors.co.uk/elicit-tiles-woodland-semi-polished-60x60-tiles","Product")</f>
        <v/>
      </c>
      <c r="B1657" s="1" t="inlineStr">
        <is>
          <t>14124</t>
        </is>
      </c>
      <c r="C1657" s="1" t="inlineStr">
        <is>
          <t>Elicit Woodland Semi Polished Tiles</t>
        </is>
      </c>
      <c r="D1657" s="1" t="inlineStr">
        <is>
          <t>600x600x10.5mm</t>
        </is>
      </c>
      <c r="E1657" s="1" t="n">
        <v>45.95</v>
      </c>
      <c r="F1657" s="1" t="n">
        <v>0</v>
      </c>
      <c r="G1657" s="1" t="inlineStr">
        <is>
          <t>SQM</t>
        </is>
      </c>
      <c r="H1657" s="1" t="inlineStr">
        <is>
          <t>Porcelain</t>
        </is>
      </c>
      <c r="I1657" s="1" t="inlineStr">
        <is>
          <t>Semi-Polished</t>
        </is>
      </c>
      <c r="J1657" t="inlineStr"/>
      <c r="K1657" t="n">
        <v>45.95</v>
      </c>
      <c r="L1657" t="n">
        <v>45.95</v>
      </c>
    </row>
    <row r="1658">
      <c r="A1658" s="1">
        <f>Hyperlink("https://www.wallsandfloors.co.uk/elicit-tiles-woodland-semi-polished-30x60-tiles","Product")</f>
        <v/>
      </c>
      <c r="B1658" s="1" t="inlineStr">
        <is>
          <t>14123</t>
        </is>
      </c>
      <c r="C1658" s="1" t="inlineStr">
        <is>
          <t>Elicit Woodland Semi Polished Tiles</t>
        </is>
      </c>
      <c r="D1658" s="1" t="inlineStr">
        <is>
          <t>600x300x10.5mm</t>
        </is>
      </c>
      <c r="E1658" s="1" t="n">
        <v>45.95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Semi-Polished</t>
        </is>
      </c>
      <c r="J1658" t="n">
        <v>45.95</v>
      </c>
      <c r="K1658" t="n">
        <v>45.95</v>
      </c>
      <c r="L1658" t="n">
        <v>45.95</v>
      </c>
    </row>
    <row r="1659">
      <c r="A1659" s="1">
        <f>Hyperlink("https://www.wallsandfloors.co.uk/elicit-tiles-woodland-matt-60x60-tiles","Product")</f>
        <v/>
      </c>
      <c r="B1659" s="1" t="inlineStr">
        <is>
          <t>14126</t>
        </is>
      </c>
      <c r="C1659" s="1" t="inlineStr">
        <is>
          <t>Elicit Woodland Matt Tiles</t>
        </is>
      </c>
      <c r="D1659" s="1" t="inlineStr">
        <is>
          <t>600x600x10.5mm</t>
        </is>
      </c>
      <c r="E1659" s="1" t="n">
        <v>40.95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n">
        <v>40.95</v>
      </c>
      <c r="K1659" t="inlineStr"/>
      <c r="L1659" t="n">
        <v>40.95</v>
      </c>
    </row>
    <row r="1660">
      <c r="A1660" s="1">
        <f>Hyperlink("https://www.wallsandfloors.co.uk/elicit-tiles-woodland-matt-30x60-tiles","Product")</f>
        <v/>
      </c>
      <c r="B1660" s="1" t="inlineStr">
        <is>
          <t>14125</t>
        </is>
      </c>
      <c r="C1660" s="1" t="inlineStr">
        <is>
          <t>Elicit Woodland Matt Tiles</t>
        </is>
      </c>
      <c r="D1660" s="1" t="inlineStr">
        <is>
          <t>600x300x10.5mm</t>
        </is>
      </c>
      <c r="E1660" s="1" t="n">
        <v>40.95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Matt</t>
        </is>
      </c>
      <c r="J1660" t="n">
        <v>40.95</v>
      </c>
      <c r="K1660" t="n">
        <v>40.95</v>
      </c>
      <c r="L1660" t="n">
        <v>40.95</v>
      </c>
    </row>
    <row r="1661">
      <c r="A1661" s="1">
        <f>Hyperlink("https://www.wallsandfloors.co.uk/elicit-tiles-wheat-fields-matt-60x60-tiles","Product")</f>
        <v/>
      </c>
      <c r="B1661" s="1" t="inlineStr">
        <is>
          <t>14122</t>
        </is>
      </c>
      <c r="C1661" s="1" t="inlineStr">
        <is>
          <t>Elicit Wheat Fields Matt Tiles</t>
        </is>
      </c>
      <c r="D1661" s="1" t="inlineStr">
        <is>
          <t>600x600x10.5mm</t>
        </is>
      </c>
      <c r="E1661" s="1" t="n">
        <v>40.95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Matt</t>
        </is>
      </c>
      <c r="J1661" t="n">
        <v>40.95</v>
      </c>
      <c r="K1661" t="n">
        <v>40.95</v>
      </c>
      <c r="L1661" t="n">
        <v>40.95</v>
      </c>
    </row>
    <row r="1662">
      <c r="A1662" s="1">
        <f>Hyperlink("https://www.wallsandfloors.co.uk/elicit-tiles-wheat-fields-matt-30x60-tiles","Product")</f>
        <v/>
      </c>
      <c r="B1662" s="1" t="inlineStr">
        <is>
          <t>14121</t>
        </is>
      </c>
      <c r="C1662" s="1" t="inlineStr">
        <is>
          <t>Elicit Wheat Fields Matt Tiles</t>
        </is>
      </c>
      <c r="D1662" s="1" t="inlineStr">
        <is>
          <t>600x300x10.5mm</t>
        </is>
      </c>
      <c r="E1662" s="1" t="n">
        <v>40.95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inlineStr"/>
      <c r="K1662" t="n">
        <v>40.95</v>
      </c>
      <c r="L1662" t="n">
        <v>40.95</v>
      </c>
    </row>
    <row r="1663">
      <c r="A1663" s="1">
        <f>Hyperlink("https://www.wallsandfloors.co.uk/elicit-tiles-sparrow-stone-matt-60x60-tiles","Product")</f>
        <v/>
      </c>
      <c r="B1663" s="1" t="inlineStr">
        <is>
          <t>14114</t>
        </is>
      </c>
      <c r="C1663" s="1" t="inlineStr">
        <is>
          <t>Elicit Sparrow Stone Matt Tiles</t>
        </is>
      </c>
      <c r="D1663" s="1" t="inlineStr">
        <is>
          <t>600x600x10.5mm</t>
        </is>
      </c>
      <c r="E1663" s="1" t="n">
        <v>40.95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40.95</v>
      </c>
      <c r="K1663" t="inlineStr"/>
      <c r="L1663" t="n">
        <v>40.95</v>
      </c>
    </row>
    <row r="1664">
      <c r="A1664" s="1">
        <f>Hyperlink("https://www.wallsandfloors.co.uk/elicit-tiles-sparrow-stone-matt-30x60-tiles","Product")</f>
        <v/>
      </c>
      <c r="B1664" s="1" t="inlineStr">
        <is>
          <t>14113</t>
        </is>
      </c>
      <c r="C1664" s="1" t="inlineStr">
        <is>
          <t>Elicit Sparrow Stone Matt Tiles</t>
        </is>
      </c>
      <c r="D1664" s="1" t="inlineStr">
        <is>
          <t>600x300x10.5mm</t>
        </is>
      </c>
      <c r="E1664" s="1" t="n">
        <v>40.95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Matt</t>
        </is>
      </c>
      <c r="J1664" t="n">
        <v>40.95</v>
      </c>
      <c r="K1664" t="inlineStr"/>
      <c r="L1664" t="n">
        <v>40.95</v>
      </c>
    </row>
    <row r="1665">
      <c r="A1665" s="1">
        <f>Hyperlink("https://www.wallsandfloors.co.uk/elicit-tiles-moonshine-semi-polished-60x60-tiles","Product")</f>
        <v/>
      </c>
      <c r="B1665" s="1" t="inlineStr">
        <is>
          <t>14128</t>
        </is>
      </c>
      <c r="C1665" s="1" t="inlineStr">
        <is>
          <t>Elicit Moonshine Semi Polished Tiles</t>
        </is>
      </c>
      <c r="D1665" s="1" t="inlineStr">
        <is>
          <t>600x600x10.5mm</t>
        </is>
      </c>
      <c r="E1665" s="1" t="n">
        <v>45.95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Semi-Polished</t>
        </is>
      </c>
      <c r="J1665" t="inlineStr"/>
      <c r="K1665" t="n">
        <v>45.95</v>
      </c>
      <c r="L1665" t="n">
        <v>45.95</v>
      </c>
    </row>
    <row r="1666">
      <c r="A1666" s="1">
        <f>Hyperlink("https://www.wallsandfloors.co.uk/elicit-tiles-moonshine-semi-polished-60x30-tiles","Product")</f>
        <v/>
      </c>
      <c r="B1666" s="1" t="inlineStr">
        <is>
          <t>14127</t>
        </is>
      </c>
      <c r="C1666" s="1" t="inlineStr">
        <is>
          <t>Elicit Moonshine Semi Polished Tiles</t>
        </is>
      </c>
      <c r="D1666" s="1" t="inlineStr">
        <is>
          <t>600x300x10.5mm</t>
        </is>
      </c>
      <c r="E1666" s="1" t="n">
        <v>45.95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Semi-Polished</t>
        </is>
      </c>
      <c r="J1666" t="n">
        <v>45.95</v>
      </c>
      <c r="K1666" t="n">
        <v>45.95</v>
      </c>
      <c r="L1666" t="n">
        <v>45.95</v>
      </c>
    </row>
    <row r="1667">
      <c r="A1667" s="1">
        <f>Hyperlink("https://www.wallsandfloors.co.uk/elicit-tiles-moonshine-matt-60x30-tiles","Product")</f>
        <v/>
      </c>
      <c r="B1667" s="1" t="inlineStr">
        <is>
          <t>14129</t>
        </is>
      </c>
      <c r="C1667" s="1" t="inlineStr">
        <is>
          <t>Elicit Moonshine Matt Tiles</t>
        </is>
      </c>
      <c r="D1667" s="1" t="inlineStr">
        <is>
          <t>600x300x10.5mm</t>
        </is>
      </c>
      <c r="E1667" s="1" t="n">
        <v>40.95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Matt</t>
        </is>
      </c>
      <c r="J1667" t="n">
        <v>40.95</v>
      </c>
      <c r="K1667" t="n">
        <v>40.95</v>
      </c>
      <c r="L1667" t="n">
        <v>40.95</v>
      </c>
    </row>
    <row r="1668">
      <c r="A1668" s="1">
        <f>Hyperlink("https://www.wallsandfloors.co.uk/elicit-tiles-iron-sky-matt-60x60-tiles","Product")</f>
        <v/>
      </c>
      <c r="B1668" s="1" t="inlineStr">
        <is>
          <t>14118</t>
        </is>
      </c>
      <c r="C1668" s="1" t="inlineStr">
        <is>
          <t>Elicit Iron Sky Matt Tiles</t>
        </is>
      </c>
      <c r="D1668" s="1" t="inlineStr">
        <is>
          <t>600x600x10.5mm</t>
        </is>
      </c>
      <c r="E1668" s="1" t="n">
        <v>40.95</v>
      </c>
      <c r="F1668" s="1" t="n">
        <v>0</v>
      </c>
      <c r="G1668" s="1" t="inlineStr">
        <is>
          <t>SQM</t>
        </is>
      </c>
      <c r="H1668" s="1" t="inlineStr">
        <is>
          <t>Porcelain</t>
        </is>
      </c>
      <c r="I1668" s="1" t="inlineStr">
        <is>
          <t>Matt</t>
        </is>
      </c>
      <c r="J1668" t="n">
        <v>40.95</v>
      </c>
      <c r="K1668" t="n">
        <v>40.95</v>
      </c>
      <c r="L1668" t="n">
        <v>40.95</v>
      </c>
    </row>
    <row r="1669">
      <c r="A1669" s="1">
        <f>Hyperlink("https://www.wallsandfloors.co.uk/elicit-tiles-iron-sky-matt-60x30-tiles","Product")</f>
        <v/>
      </c>
      <c r="B1669" s="1" t="inlineStr">
        <is>
          <t>14117</t>
        </is>
      </c>
      <c r="C1669" s="1" t="inlineStr">
        <is>
          <t>Elicit Iron Sky Matt Tiles</t>
        </is>
      </c>
      <c r="D1669" s="1" t="inlineStr">
        <is>
          <t>600x300x10.5mm</t>
        </is>
      </c>
      <c r="E1669" s="1" t="n">
        <v>40.95</v>
      </c>
      <c r="F1669" s="1" t="n">
        <v>0</v>
      </c>
      <c r="G1669" s="1" t="inlineStr"/>
      <c r="H1669" s="1" t="inlineStr">
        <is>
          <t>Porcelain</t>
        </is>
      </c>
      <c r="I1669" s="1" t="inlineStr">
        <is>
          <t>Matt</t>
        </is>
      </c>
      <c r="J1669" t="n">
        <v>40.95</v>
      </c>
      <c r="K1669" t="n">
        <v>40.95</v>
      </c>
      <c r="L1669" t="n">
        <v>40.95</v>
      </c>
    </row>
    <row r="1670">
      <c r="A1670" s="1">
        <f>Hyperlink("https://www.wallsandfloors.co.uk/electric-tile-cutters-nd200-electric-tile-cutter-9844","Product")</f>
        <v/>
      </c>
      <c r="B1670" s="1" t="inlineStr">
        <is>
          <t>9844</t>
        </is>
      </c>
      <c r="C1670" s="1" t="inlineStr">
        <is>
          <t>ND200 Electric Tile Cutter 240V</t>
        </is>
      </c>
      <c r="D1670" s="1" t="inlineStr">
        <is>
          <t>240v</t>
        </is>
      </c>
      <c r="E1670" s="1" t="n">
        <v>556.95</v>
      </c>
      <c r="F1670" s="1" t="n">
        <v>0</v>
      </c>
      <c r="G1670" s="1" t="inlineStr"/>
      <c r="H1670" s="1" t="inlineStr">
        <is>
          <t>Electric Tile Cutters</t>
        </is>
      </c>
      <c r="I1670" s="1" t="inlineStr">
        <is>
          <t>-</t>
        </is>
      </c>
      <c r="J1670" t="n">
        <v>556.95</v>
      </c>
      <c r="K1670" t="n">
        <v>556.95</v>
      </c>
      <c r="L1670" t="n">
        <v>556.95</v>
      </c>
    </row>
    <row r="1671">
      <c r="A1671" s="1">
        <f>Hyperlink("https://www.wallsandfloors.co.uk/electric-tile-cutters-nd180-bl-electric-tile-cutter-9715","Product")</f>
        <v/>
      </c>
      <c r="B1671" s="1" t="inlineStr">
        <is>
          <t>9715</t>
        </is>
      </c>
      <c r="C1671" s="1" t="inlineStr">
        <is>
          <t>ND180-BL Electric Tile Cutter</t>
        </is>
      </c>
      <c r="D1671" s="1" t="inlineStr">
        <is>
          <t>ND180</t>
        </is>
      </c>
      <c r="E1671" s="1" t="n">
        <v>119.95</v>
      </c>
      <c r="F1671" s="1" t="n">
        <v>0</v>
      </c>
      <c r="G1671" s="1" t="inlineStr">
        <is>
          <t>Unit</t>
        </is>
      </c>
      <c r="H1671" s="1" t="inlineStr">
        <is>
          <t>Electric Tile Cutters</t>
        </is>
      </c>
      <c r="I1671" s="1" t="inlineStr">
        <is>
          <t>-</t>
        </is>
      </c>
      <c r="J1671" t="n">
        <v>119.95</v>
      </c>
      <c r="K1671" t="n">
        <v>119.95</v>
      </c>
      <c r="L1671" t="n">
        <v>119.95</v>
      </c>
    </row>
    <row r="1672">
      <c r="A1672" s="1">
        <f>Hyperlink("https://www.wallsandfloors.co.uk/elder-wood-effect-tiles-natural-wood-effect-tiles","Product")</f>
        <v/>
      </c>
      <c r="B1672" s="1" t="inlineStr">
        <is>
          <t>13858</t>
        </is>
      </c>
      <c r="C1672" s="1" t="inlineStr">
        <is>
          <t>Elder Natural Wood Effect Tiles</t>
        </is>
      </c>
      <c r="D1672" s="1" t="inlineStr">
        <is>
          <t>950x240x9mm</t>
        </is>
      </c>
      <c r="E1672" s="1" t="n">
        <v>23.95</v>
      </c>
      <c r="F1672" s="1" t="n">
        <v>0</v>
      </c>
      <c r="G1672" s="1" t="inlineStr">
        <is>
          <t>SQM</t>
        </is>
      </c>
      <c r="H1672" s="1" t="inlineStr">
        <is>
          <t>Ceramic</t>
        </is>
      </c>
      <c r="I1672" s="1" t="inlineStr">
        <is>
          <t>Matt</t>
        </is>
      </c>
      <c r="J1672" t="inlineStr"/>
      <c r="K1672" t="n">
        <v>23.95</v>
      </c>
      <c r="L1672" t="n">
        <v>23.95</v>
      </c>
    </row>
    <row r="1673">
      <c r="A1673" s="1">
        <f>Hyperlink("https://www.wallsandfloors.co.uk/elder-wood-effect-tiles-grey-wood-effect-tiles","Product")</f>
        <v/>
      </c>
      <c r="B1673" s="1" t="inlineStr">
        <is>
          <t>13856</t>
        </is>
      </c>
      <c r="C1673" s="1" t="inlineStr">
        <is>
          <t>Elder Grey Wood Effect Tiles</t>
        </is>
      </c>
      <c r="D1673" s="1" t="inlineStr">
        <is>
          <t>950x240x9mm</t>
        </is>
      </c>
      <c r="E1673" s="1" t="n">
        <v>17.95</v>
      </c>
      <c r="F1673" s="1" t="n">
        <v>0</v>
      </c>
      <c r="G1673" s="1" t="inlineStr">
        <is>
          <t>SQM</t>
        </is>
      </c>
      <c r="H1673" s="1" t="inlineStr">
        <is>
          <t>Ceramic</t>
        </is>
      </c>
      <c r="I1673" s="1" t="inlineStr">
        <is>
          <t>Matt</t>
        </is>
      </c>
      <c r="J1673" t="inlineStr"/>
      <c r="K1673" t="inlineStr"/>
      <c r="L1673" t="n">
        <v>17.95</v>
      </c>
    </row>
    <row r="1674">
      <c r="A1674" s="1">
        <f>Hyperlink("https://www.wallsandfloors.co.uk/feuillemort-wood-panel-tiles","Product")</f>
        <v/>
      </c>
      <c r="B1674" s="1" t="inlineStr">
        <is>
          <t>24739</t>
        </is>
      </c>
      <c r="C1674" s="1" t="inlineStr">
        <is>
          <t>Seasoned Wood Panel Tiles</t>
        </is>
      </c>
      <c r="D1674" s="1" t="inlineStr">
        <is>
          <t>450x450x11.5</t>
        </is>
      </c>
      <c r="E1674" s="1" t="n">
        <v>26.95</v>
      </c>
      <c r="F1674" s="1" t="n">
        <v>0</v>
      </c>
      <c r="G1674" s="1" t="inlineStr">
        <is>
          <t>SQM</t>
        </is>
      </c>
      <c r="H1674" s="1" t="inlineStr">
        <is>
          <t>Ceramic</t>
        </is>
      </c>
      <c r="I1674" s="1" t="inlineStr">
        <is>
          <t>Matt</t>
        </is>
      </c>
      <c r="J1674" t="inlineStr"/>
      <c r="K1674" t="inlineStr"/>
      <c r="L1674" t="n">
        <v>26.95</v>
      </c>
    </row>
    <row r="1675">
      <c r="A1675" s="1">
        <f>Hyperlink("https://www.wallsandfloors.co.uk/grey-octagon-150mm-tiles","Product")</f>
        <v/>
      </c>
      <c r="B1675" s="1" t="inlineStr">
        <is>
          <t>990130</t>
        </is>
      </c>
      <c r="C1675" s="1" t="inlineStr">
        <is>
          <t>Grey Octagon Tiles</t>
        </is>
      </c>
      <c r="D1675" s="1" t="inlineStr">
        <is>
          <t>150x150x9-10mm</t>
        </is>
      </c>
      <c r="E1675" s="1" t="n">
        <v>2.66</v>
      </c>
      <c r="F1675" s="1" t="n">
        <v>0</v>
      </c>
      <c r="G1675" s="1" t="inlineStr">
        <is>
          <t>SQM</t>
        </is>
      </c>
      <c r="H1675" s="1" t="inlineStr">
        <is>
          <t>Porcelain</t>
        </is>
      </c>
      <c r="I1675" s="1" t="inlineStr">
        <is>
          <t>Matt</t>
        </is>
      </c>
      <c r="J1675" t="n">
        <v>2.66</v>
      </c>
      <c r="K1675" t="inlineStr"/>
      <c r="L1675" t="n">
        <v>2.66</v>
      </c>
    </row>
    <row r="1676">
      <c r="A1676" s="1">
        <f>Hyperlink("https://www.wallsandfloors.co.uk/fibre-geo-mix-decor-tiles","Product")</f>
        <v/>
      </c>
      <c r="B1676" s="1" t="inlineStr">
        <is>
          <t>36559</t>
        </is>
      </c>
      <c r="C1676" s="1" t="inlineStr">
        <is>
          <t>Fibre Geo Mix Decor Tiles</t>
        </is>
      </c>
      <c r="D1676" s="1" t="inlineStr">
        <is>
          <t>600x200x9.2mm</t>
        </is>
      </c>
      <c r="E1676" s="1" t="n">
        <v>29.95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Satin</t>
        </is>
      </c>
      <c r="J1676" t="inlineStr"/>
      <c r="K1676" t="n">
        <v>29.95</v>
      </c>
      <c r="L1676" t="n">
        <v>29.95</v>
      </c>
    </row>
    <row r="1677">
      <c r="A1677" s="1">
        <f>Hyperlink("https://www.wallsandfloors.co.uk/fibre-marl-tiles","Product")</f>
        <v/>
      </c>
      <c r="B1677" s="1" t="inlineStr">
        <is>
          <t>36561</t>
        </is>
      </c>
      <c r="C1677" s="1" t="inlineStr">
        <is>
          <t>Fibre Marl Tiles</t>
        </is>
      </c>
      <c r="D1677" s="1" t="inlineStr">
        <is>
          <t>600x200x9.2mm</t>
        </is>
      </c>
      <c r="E1677" s="1" t="n">
        <v>29.95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Satin</t>
        </is>
      </c>
      <c r="J1677" t="n">
        <v>29.95</v>
      </c>
      <c r="K1677" t="n">
        <v>29.95</v>
      </c>
      <c r="L1677" t="n">
        <v>29.95</v>
      </c>
    </row>
    <row r="1678">
      <c r="A1678" s="1">
        <f>Hyperlink("https://www.wallsandfloors.co.uk/from-steel-matt-600x300-tiles","Product")</f>
        <v/>
      </c>
      <c r="B1678" s="1" t="inlineStr">
        <is>
          <t>44332</t>
        </is>
      </c>
      <c r="C1678" s="1" t="inlineStr">
        <is>
          <t>Form Steel Matt Tiles</t>
        </is>
      </c>
      <c r="D1678" s="1" t="inlineStr">
        <is>
          <t>600x300x8.2mm</t>
        </is>
      </c>
      <c r="E1678" s="1" t="n">
        <v>19.95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Matt</t>
        </is>
      </c>
      <c r="J1678" t="inlineStr"/>
      <c r="K1678" t="n">
        <v>19.95</v>
      </c>
      <c r="L1678" t="n">
        <v>19.95</v>
      </c>
    </row>
    <row r="1679">
      <c r="A1679" s="1">
        <f>Hyperlink("https://www.wallsandfloors.co.uk/fresh-and-fabulous-room-ideas-book","Product")</f>
        <v/>
      </c>
      <c r="B1679" s="1" t="inlineStr">
        <is>
          <t>39228</t>
        </is>
      </c>
      <c r="C1679" s="1" t="inlineStr">
        <is>
          <t>Fresh and Fabulous Room Ideas Book</t>
        </is>
      </c>
      <c r="D1679" s="1" t="inlineStr">
        <is>
          <t>210x297x10mm</t>
        </is>
      </c>
      <c r="E1679" s="1" t="n">
        <v>7.99</v>
      </c>
      <c r="F1679" s="1" t="n">
        <v>0</v>
      </c>
      <c r="G1679" s="1" t="inlineStr"/>
      <c r="H1679" s="1" t="inlineStr">
        <is>
          <t>Tools</t>
        </is>
      </c>
      <c r="I1679" s="1" t="inlineStr">
        <is>
          <t>-</t>
        </is>
      </c>
      <c r="J1679" t="n">
        <v>7.99</v>
      </c>
      <c r="K1679" t="n">
        <v>7.99</v>
      </c>
      <c r="L1679" t="n">
        <v>7.99</v>
      </c>
    </row>
    <row r="1680">
      <c r="A1680" s="1">
        <f>Hyperlink("https://www.wallsandfloors.co.uk/foxed-mirror-300x300-tiles","Product")</f>
        <v/>
      </c>
      <c r="B1680" s="1" t="inlineStr">
        <is>
          <t>39772</t>
        </is>
      </c>
      <c r="C1680" s="1" t="inlineStr">
        <is>
          <t>Foxed Mirror 300x300 Tiles</t>
        </is>
      </c>
      <c r="D1680" s="1" t="inlineStr">
        <is>
          <t>300x300x5mm</t>
        </is>
      </c>
      <c r="E1680" s="1" t="n">
        <v>7</v>
      </c>
      <c r="F1680" s="1" t="n">
        <v>0</v>
      </c>
      <c r="G1680" s="1" t="inlineStr">
        <is>
          <t>SQM</t>
        </is>
      </c>
      <c r="H1680" s="1" t="inlineStr">
        <is>
          <t>Glass</t>
        </is>
      </c>
      <c r="I1680" s="1" t="inlineStr">
        <is>
          <t>Mirror</t>
        </is>
      </c>
      <c r="J1680" t="n">
        <v>7</v>
      </c>
      <c r="K1680" t="n">
        <v>7</v>
      </c>
      <c r="L1680" t="n">
        <v>7</v>
      </c>
    </row>
    <row r="1681">
      <c r="A1681" s="1">
        <f>Hyperlink("https://www.wallsandfloors.co.uk/foxed-mirror-100x300-tiles","Product")</f>
        <v/>
      </c>
      <c r="B1681" s="1" t="inlineStr">
        <is>
          <t>39798</t>
        </is>
      </c>
      <c r="C1681" s="1" t="inlineStr">
        <is>
          <t>Foxed Mirror 100X300 Tiles</t>
        </is>
      </c>
      <c r="D1681" s="1" t="inlineStr">
        <is>
          <t>300x100x5mm</t>
        </is>
      </c>
      <c r="E1681" s="1" t="n">
        <v>3.95</v>
      </c>
      <c r="F1681" s="1" t="n">
        <v>0</v>
      </c>
      <c r="G1681" s="1" t="inlineStr">
        <is>
          <t>SQM</t>
        </is>
      </c>
      <c r="H1681" s="1" t="inlineStr">
        <is>
          <t>Glass</t>
        </is>
      </c>
      <c r="I1681" s="1" t="inlineStr">
        <is>
          <t>Mirror</t>
        </is>
      </c>
      <c r="J1681" t="n">
        <v>3.95</v>
      </c>
      <c r="K1681" t="n">
        <v>3.95</v>
      </c>
      <c r="L1681" t="n">
        <v>3.95</v>
      </c>
    </row>
    <row r="1682">
      <c r="A1682" s="1">
        <f>Hyperlink("https://www.wallsandfloors.co.uk/foundry-concrete-effect-tiles-jaded-moleskin-tiles","Product")</f>
        <v/>
      </c>
      <c r="B1682" s="1" t="inlineStr">
        <is>
          <t>13392</t>
        </is>
      </c>
      <c r="C1682" s="1" t="inlineStr">
        <is>
          <t>Foundry Jaded Moleskin Concrete Effect Tiles</t>
        </is>
      </c>
      <c r="D1682" s="1" t="inlineStr">
        <is>
          <t>500x500x9.7mm</t>
        </is>
      </c>
      <c r="E1682" s="1" t="n">
        <v>22.35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inlineStr"/>
      <c r="K1682" t="n">
        <v>22.35</v>
      </c>
      <c r="L1682" t="n">
        <v>22.35</v>
      </c>
    </row>
    <row r="1683">
      <c r="A1683" s="1">
        <f>Hyperlink("https://www.wallsandfloors.co.uk/form-steel-polished-600x600-tiles","Product")</f>
        <v/>
      </c>
      <c r="B1683" s="1" t="inlineStr">
        <is>
          <t>44319</t>
        </is>
      </c>
      <c r="C1683" s="1" t="inlineStr">
        <is>
          <t>Form Steel Polished Tiles</t>
        </is>
      </c>
      <c r="D1683" s="1" t="inlineStr">
        <is>
          <t>600x600x8.2mm</t>
        </is>
      </c>
      <c r="E1683" s="1" t="n">
        <v>19.95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Polished</t>
        </is>
      </c>
      <c r="J1683" t="n">
        <v>19.95</v>
      </c>
      <c r="K1683" t="n">
        <v>19.95</v>
      </c>
      <c r="L1683" t="n">
        <v>19.95</v>
      </c>
    </row>
    <row r="1684">
      <c r="A1684" s="1">
        <f>Hyperlink("https://www.wallsandfloors.co.uk/form-steel-polished-600x300-tiles","Product")</f>
        <v/>
      </c>
      <c r="B1684" s="1" t="inlineStr">
        <is>
          <t>44320</t>
        </is>
      </c>
      <c r="C1684" s="1" t="inlineStr">
        <is>
          <t>Form Steel Polished Tiles</t>
        </is>
      </c>
      <c r="D1684" s="1" t="inlineStr">
        <is>
          <t>600x300x8.2mm</t>
        </is>
      </c>
      <c r="E1684" s="1" t="n">
        <v>19.95</v>
      </c>
      <c r="F1684" s="1" t="n">
        <v>0</v>
      </c>
      <c r="G1684" s="1" t="inlineStr">
        <is>
          <t>SQM</t>
        </is>
      </c>
      <c r="H1684" s="1" t="inlineStr">
        <is>
          <t>Porcelain</t>
        </is>
      </c>
      <c r="I1684" s="1" t="inlineStr">
        <is>
          <t>Polished</t>
        </is>
      </c>
      <c r="J1684" t="n">
        <v>19.95</v>
      </c>
      <c r="K1684" t="inlineStr"/>
      <c r="L1684" t="n">
        <v>19.95</v>
      </c>
    </row>
    <row r="1685">
      <c r="A1685" s="1">
        <f>Hyperlink("https://www.wallsandfloors.co.uk/form-steel-matt-600x600-tiles","Product")</f>
        <v/>
      </c>
      <c r="B1685" s="1" t="inlineStr">
        <is>
          <t>44328</t>
        </is>
      </c>
      <c r="C1685" s="1" t="inlineStr">
        <is>
          <t>Form Steel Matt Tiles</t>
        </is>
      </c>
      <c r="D1685" s="1" t="inlineStr">
        <is>
          <t>600x600x8.2mm</t>
        </is>
      </c>
      <c r="E1685" s="1" t="n">
        <v>19.95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Matt</t>
        </is>
      </c>
      <c r="J1685" t="n">
        <v>19.95</v>
      </c>
      <c r="K1685" t="n">
        <v>19.95</v>
      </c>
      <c r="L1685" t="n">
        <v>19.95</v>
      </c>
    </row>
    <row r="1686">
      <c r="A1686" s="1">
        <f>Hyperlink("https://www.wallsandfloors.co.uk/form-silver-polished-800x800-tiles","Product")</f>
        <v/>
      </c>
      <c r="B1686" s="1" t="inlineStr">
        <is>
          <t>44321</t>
        </is>
      </c>
      <c r="C1686" s="1" t="inlineStr">
        <is>
          <t>Form Silver Polished Tiles</t>
        </is>
      </c>
      <c r="D1686" s="1" t="inlineStr">
        <is>
          <t>800x800x9mm</t>
        </is>
      </c>
      <c r="E1686" s="1" t="n">
        <v>19.95</v>
      </c>
      <c r="F1686" s="1" t="n">
        <v>0</v>
      </c>
      <c r="G1686" s="1" t="inlineStr">
        <is>
          <t>SQM</t>
        </is>
      </c>
      <c r="H1686" s="1" t="inlineStr">
        <is>
          <t>Porcelain</t>
        </is>
      </c>
      <c r="I1686" s="1" t="inlineStr">
        <is>
          <t>Polished</t>
        </is>
      </c>
      <c r="J1686" t="n">
        <v>19.95</v>
      </c>
      <c r="K1686" t="inlineStr"/>
      <c r="L1686" t="n">
        <v>19.95</v>
      </c>
    </row>
    <row r="1687">
      <c r="A1687" s="1">
        <f>Hyperlink("https://www.wallsandfloors.co.uk/form-silver-polished-600x600-tiles","Product")</f>
        <v/>
      </c>
      <c r="B1687" s="1" t="inlineStr">
        <is>
          <t>44313</t>
        </is>
      </c>
      <c r="C1687" s="1" t="inlineStr">
        <is>
          <t>Form Silver Grey Polished Tiles</t>
        </is>
      </c>
      <c r="D1687" s="1" t="inlineStr">
        <is>
          <t>600x600x8.2mm</t>
        </is>
      </c>
      <c r="E1687" s="1" t="n">
        <v>19.95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Polished</t>
        </is>
      </c>
      <c r="J1687" t="n">
        <v>19.95</v>
      </c>
      <c r="K1687" t="n">
        <v>19.95</v>
      </c>
      <c r="L1687" t="n">
        <v>19.95</v>
      </c>
    </row>
    <row r="1688">
      <c r="A1688" s="1">
        <f>Hyperlink("https://www.wallsandfloors.co.uk/form-silver-matt-600x600-tiles","Product")</f>
        <v/>
      </c>
      <c r="B1688" s="1" t="inlineStr">
        <is>
          <t>44324</t>
        </is>
      </c>
      <c r="C1688" s="1" t="inlineStr">
        <is>
          <t>Form Silver Matt Tiles</t>
        </is>
      </c>
      <c r="D1688" s="1" t="inlineStr">
        <is>
          <t>600x600x8.2mm</t>
        </is>
      </c>
      <c r="E1688" s="1" t="n">
        <v>19.95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Matt</t>
        </is>
      </c>
      <c r="J1688" t="n">
        <v>19.95</v>
      </c>
      <c r="K1688" t="n">
        <v>19.95</v>
      </c>
      <c r="L1688" t="n">
        <v>19.95</v>
      </c>
    </row>
    <row r="1689">
      <c r="A1689" s="1">
        <f>Hyperlink("https://www.wallsandfloors.co.uk/form-silver-matt-600x300-tiles","Product")</f>
        <v/>
      </c>
      <c r="B1689" s="1" t="inlineStr">
        <is>
          <t>44329</t>
        </is>
      </c>
      <c r="C1689" s="1" t="inlineStr">
        <is>
          <t>Form Silver Matt Tiles</t>
        </is>
      </c>
      <c r="D1689" s="1" t="inlineStr">
        <is>
          <t>600x300x8.2mm</t>
        </is>
      </c>
      <c r="E1689" s="1" t="n">
        <v>19.95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n">
        <v>19.95</v>
      </c>
      <c r="K1689" t="n">
        <v>19.95</v>
      </c>
      <c r="L1689" t="n">
        <v>19.95</v>
      </c>
    </row>
    <row r="1690">
      <c r="A1690" s="1">
        <f>Hyperlink("https://www.wallsandfloors.co.uk/form-silver-grey-polished-600x300-tiles","Product")</f>
        <v/>
      </c>
      <c r="B1690" s="1" t="inlineStr">
        <is>
          <t>44314</t>
        </is>
      </c>
      <c r="C1690" s="1" t="inlineStr">
        <is>
          <t>Form Silver Grey Polished Tiles</t>
        </is>
      </c>
      <c r="D1690" s="1" t="inlineStr">
        <is>
          <t>600x300x8.2mm</t>
        </is>
      </c>
      <c r="E1690" s="1" t="n">
        <v>19.95</v>
      </c>
      <c r="F1690" s="1" t="n">
        <v>0</v>
      </c>
      <c r="G1690" s="1" t="inlineStr">
        <is>
          <t>SQM</t>
        </is>
      </c>
      <c r="H1690" s="1" t="inlineStr">
        <is>
          <t>Porcelain</t>
        </is>
      </c>
      <c r="I1690" s="1" t="inlineStr">
        <is>
          <t>Polished</t>
        </is>
      </c>
      <c r="J1690" t="inlineStr"/>
      <c r="K1690" t="inlineStr"/>
      <c r="L1690" t="n">
        <v>19.95</v>
      </c>
    </row>
    <row r="1691">
      <c r="A1691" s="1">
        <f>Hyperlink("https://www.wallsandfloors.co.uk/form-platinum-polished-600x600-tiles","Product")</f>
        <v/>
      </c>
      <c r="B1691" s="1" t="inlineStr">
        <is>
          <t>44317</t>
        </is>
      </c>
      <c r="C1691" s="1" t="inlineStr">
        <is>
          <t>Form Platinum Polished Tiles</t>
        </is>
      </c>
      <c r="D1691" s="1" t="inlineStr">
        <is>
          <t>600x600x8.2mm</t>
        </is>
      </c>
      <c r="E1691" s="1" t="n">
        <v>19.95</v>
      </c>
      <c r="F1691" s="1" t="n">
        <v>0</v>
      </c>
      <c r="G1691" s="1" t="inlineStr">
        <is>
          <t>SQM</t>
        </is>
      </c>
      <c r="H1691" s="1" t="inlineStr">
        <is>
          <t>Porcelain</t>
        </is>
      </c>
      <c r="I1691" s="1" t="inlineStr">
        <is>
          <t>Polished</t>
        </is>
      </c>
      <c r="J1691" t="n">
        <v>19.95</v>
      </c>
      <c r="K1691" t="n">
        <v>19.95</v>
      </c>
      <c r="L1691" t="n">
        <v>19.95</v>
      </c>
    </row>
    <row r="1692">
      <c r="A1692" s="1">
        <f>Hyperlink("https://www.wallsandfloors.co.uk/form-platinum-polished-600x300-tiles","Product")</f>
        <v/>
      </c>
      <c r="B1692" s="1" t="inlineStr">
        <is>
          <t>44318</t>
        </is>
      </c>
      <c r="C1692" s="1" t="inlineStr">
        <is>
          <t>Form Platinum Polished Tiles</t>
        </is>
      </c>
      <c r="D1692" s="1" t="inlineStr">
        <is>
          <t>600x300x8.2mm</t>
        </is>
      </c>
      <c r="E1692" s="1" t="n">
        <v>19.95</v>
      </c>
      <c r="F1692" s="1" t="n">
        <v>0</v>
      </c>
      <c r="G1692" s="1" t="inlineStr">
        <is>
          <t>SQM</t>
        </is>
      </c>
      <c r="H1692" s="1" t="inlineStr">
        <is>
          <t>Porcelain</t>
        </is>
      </c>
      <c r="I1692" s="1" t="inlineStr">
        <is>
          <t>Polished</t>
        </is>
      </c>
      <c r="J1692" t="inlineStr"/>
      <c r="K1692" t="inlineStr"/>
      <c r="L1692" t="n">
        <v>19.95</v>
      </c>
    </row>
    <row r="1693">
      <c r="A1693" s="1">
        <f>Hyperlink("https://www.wallsandfloors.co.uk/form-platinum-matt-600x600-tiles","Product")</f>
        <v/>
      </c>
      <c r="B1693" s="1" t="inlineStr">
        <is>
          <t>44327</t>
        </is>
      </c>
      <c r="C1693" s="1" t="inlineStr">
        <is>
          <t>Form Platinum Matt Tiles</t>
        </is>
      </c>
      <c r="D1693" s="1" t="inlineStr">
        <is>
          <t>600x600x8.2mm</t>
        </is>
      </c>
      <c r="E1693" s="1" t="n">
        <v>19.95</v>
      </c>
      <c r="F1693" s="1" t="n">
        <v>0</v>
      </c>
      <c r="G1693" s="1" t="inlineStr">
        <is>
          <t>SQM</t>
        </is>
      </c>
      <c r="H1693" s="1" t="inlineStr">
        <is>
          <t>Porcelain</t>
        </is>
      </c>
      <c r="I1693" s="1" t="inlineStr">
        <is>
          <t>Matt</t>
        </is>
      </c>
      <c r="J1693" t="n">
        <v>19.95</v>
      </c>
      <c r="K1693" t="inlineStr"/>
      <c r="L1693" t="n">
        <v>19.95</v>
      </c>
    </row>
    <row r="1694">
      <c r="A1694" s="1">
        <f>Hyperlink("https://www.wallsandfloors.co.uk/form-platinum-matt-600x300-tiles","Product")</f>
        <v/>
      </c>
      <c r="B1694" s="1" t="inlineStr">
        <is>
          <t>44331</t>
        </is>
      </c>
      <c r="C1694" s="1" t="inlineStr">
        <is>
          <t>Form Platinum Matt Tiles</t>
        </is>
      </c>
      <c r="D1694" s="1" t="inlineStr">
        <is>
          <t>600x300x8.2mm</t>
        </is>
      </c>
      <c r="E1694" s="1" t="n">
        <v>19.95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n">
        <v>19.95</v>
      </c>
      <c r="K1694" t="n">
        <v>19.95</v>
      </c>
      <c r="L1694" t="n">
        <v>19.95</v>
      </c>
    </row>
    <row r="1695">
      <c r="A1695" s="1">
        <f>Hyperlink("https://www.wallsandfloors.co.uk/form-ivory-polished-600x600-tiles","Product")</f>
        <v/>
      </c>
      <c r="B1695" s="1" t="inlineStr">
        <is>
          <t>44315</t>
        </is>
      </c>
      <c r="C1695" s="1" t="inlineStr">
        <is>
          <t>Form Ivory Polished Tiles</t>
        </is>
      </c>
      <c r="D1695" s="1" t="inlineStr">
        <is>
          <t>600x600x8.2mm</t>
        </is>
      </c>
      <c r="E1695" s="1" t="n">
        <v>19.95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Polished</t>
        </is>
      </c>
      <c r="J1695" t="n">
        <v>19.95</v>
      </c>
      <c r="K1695" t="n">
        <v>19.95</v>
      </c>
      <c r="L1695" t="n">
        <v>19.95</v>
      </c>
    </row>
    <row r="1696">
      <c r="A1696" s="1">
        <f>Hyperlink("https://www.wallsandfloors.co.uk/form-ivory-polished-600x300-tiles","Product")</f>
        <v/>
      </c>
      <c r="B1696" s="1" t="inlineStr">
        <is>
          <t>23919</t>
        </is>
      </c>
      <c r="C1696" s="1" t="inlineStr">
        <is>
          <t>Form Ivory Polished Tiles</t>
        </is>
      </c>
      <c r="D1696" s="1" t="inlineStr">
        <is>
          <t>600x300x9mm</t>
        </is>
      </c>
      <c r="E1696" s="1" t="n">
        <v>19.95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Polished</t>
        </is>
      </c>
      <c r="J1696" t="n">
        <v>19.95</v>
      </c>
      <c r="K1696" t="inlineStr"/>
      <c r="L1696" t="n">
        <v>19.95</v>
      </c>
    </row>
    <row r="1697">
      <c r="A1697" s="1">
        <f>Hyperlink("https://www.wallsandfloors.co.uk/form-ivory-matt-600x600-tiles","Product")</f>
        <v/>
      </c>
      <c r="B1697" s="1" t="inlineStr">
        <is>
          <t>44325</t>
        </is>
      </c>
      <c r="C1697" s="1" t="inlineStr">
        <is>
          <t>Form Ivory Matt Tiles</t>
        </is>
      </c>
      <c r="D1697" s="1" t="inlineStr">
        <is>
          <t>600x600x8.2mm</t>
        </is>
      </c>
      <c r="E1697" s="1" t="n">
        <v>19.95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19.95</v>
      </c>
      <c r="K1697" t="n">
        <v>19.95</v>
      </c>
      <c r="L1697" t="n">
        <v>19.95</v>
      </c>
    </row>
    <row r="1698">
      <c r="A1698" s="1">
        <f>Hyperlink("https://www.wallsandfloors.co.uk/form-ivory-matt-600x300-tiles","Product")</f>
        <v/>
      </c>
      <c r="B1698" s="1" t="inlineStr">
        <is>
          <t>44330</t>
        </is>
      </c>
      <c r="C1698" s="1" t="inlineStr">
        <is>
          <t>Form Ivory Matt Tiles</t>
        </is>
      </c>
      <c r="D1698" s="1" t="inlineStr">
        <is>
          <t>600x300x8.2mm</t>
        </is>
      </c>
      <c r="E1698" s="1" t="n">
        <v>19.95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19.95</v>
      </c>
      <c r="K1698" t="n">
        <v>19.95</v>
      </c>
      <c r="L1698" t="n">
        <v>19.95</v>
      </c>
    </row>
    <row r="1699">
      <c r="A1699" s="1">
        <f>Hyperlink("https://www.wallsandfloors.co.uk/flexible-floor-wall-grout-grey-10kg","Product")</f>
        <v/>
      </c>
      <c r="B1699" s="1" t="inlineStr">
        <is>
          <t>33543</t>
        </is>
      </c>
      <c r="C1699" s="1" t="inlineStr">
        <is>
          <t>Norcros Flexible Wide Joint Tile Grey Grout</t>
        </is>
      </c>
      <c r="D1699" s="1" t="inlineStr">
        <is>
          <t>10kg</t>
        </is>
      </c>
      <c r="E1699" s="1" t="n">
        <v>12.95</v>
      </c>
      <c r="F1699" s="1" t="n">
        <v>0</v>
      </c>
      <c r="G1699" s="1" t="inlineStr">
        <is>
          <t>Unit</t>
        </is>
      </c>
      <c r="H1699" s="1" t="inlineStr">
        <is>
          <t>Grout</t>
        </is>
      </c>
      <c r="I1699" s="1" t="inlineStr">
        <is>
          <t>-</t>
        </is>
      </c>
      <c r="J1699" t="n">
        <v>12.95</v>
      </c>
      <c r="K1699" t="n">
        <v>12.95</v>
      </c>
      <c r="L1699" t="n">
        <v>12.95</v>
      </c>
    </row>
    <row r="1700">
      <c r="A1700" s="1">
        <f>Hyperlink("https://www.wallsandfloors.co.uk/fleur-silver-tiles","Product")</f>
        <v/>
      </c>
      <c r="B1700" s="1" t="inlineStr">
        <is>
          <t>41136</t>
        </is>
      </c>
      <c r="C1700" s="1" t="inlineStr">
        <is>
          <t>Classico Fleur Silver Pattern Tiles</t>
        </is>
      </c>
      <c r="D1700" s="1" t="inlineStr">
        <is>
          <t>450x450x10mm</t>
        </is>
      </c>
      <c r="E1700" s="1" t="n">
        <v>20.95</v>
      </c>
      <c r="F1700" s="1" t="n">
        <v>0</v>
      </c>
      <c r="G1700" s="1" t="inlineStr">
        <is>
          <t>SQM</t>
        </is>
      </c>
      <c r="H1700" s="1" t="inlineStr">
        <is>
          <t>Ceramic</t>
        </is>
      </c>
      <c r="I1700" s="1" t="inlineStr">
        <is>
          <t>Matt</t>
        </is>
      </c>
      <c r="J1700" t="n">
        <v>20.95</v>
      </c>
      <c r="K1700" t="n">
        <v>20.95</v>
      </c>
      <c r="L1700" t="n">
        <v>20.95</v>
      </c>
    </row>
    <row r="1701">
      <c r="A1701" s="1">
        <f>Hyperlink("https://www.wallsandfloors.co.uk/fibre-linen-tiles","Product")</f>
        <v/>
      </c>
      <c r="B1701" s="1" t="inlineStr">
        <is>
          <t>36560</t>
        </is>
      </c>
      <c r="C1701" s="1" t="inlineStr">
        <is>
          <t>Fibre Linen Tiles</t>
        </is>
      </c>
      <c r="D1701" s="1" t="inlineStr">
        <is>
          <t>600x200x9.2mm</t>
        </is>
      </c>
      <c r="E1701" s="1" t="n">
        <v>29.95</v>
      </c>
      <c r="F1701" s="1" t="n">
        <v>0</v>
      </c>
      <c r="G1701" s="1" t="inlineStr">
        <is>
          <t>SQM</t>
        </is>
      </c>
      <c r="H1701" s="1" t="inlineStr">
        <is>
          <t>Ceramic</t>
        </is>
      </c>
      <c r="I1701" s="1" t="inlineStr">
        <is>
          <t>Satin</t>
        </is>
      </c>
      <c r="J1701" t="n">
        <v>29.95</v>
      </c>
      <c r="K1701" t="n">
        <v>29.95</v>
      </c>
      <c r="L1701" t="n">
        <v>29.95</v>
      </c>
    </row>
    <row r="1702">
      <c r="A1702" s="1">
        <f>Hyperlink("https://www.wallsandfloors.co.uk/grey-skirt-tiles","Product")</f>
        <v/>
      </c>
      <c r="B1702" s="1" t="inlineStr">
        <is>
          <t>36818</t>
        </is>
      </c>
      <c r="C1702" s="1" t="inlineStr">
        <is>
          <t>Muniellos Grey Wood Effect Skirt Tiles</t>
        </is>
      </c>
      <c r="D1702" s="1" t="inlineStr">
        <is>
          <t>450x75x10.5mm</t>
        </is>
      </c>
      <c r="E1702" s="1" t="n">
        <v>7.95</v>
      </c>
      <c r="F1702" s="1" t="n">
        <v>0</v>
      </c>
      <c r="G1702" s="1" t="inlineStr">
        <is>
          <t>Tile</t>
        </is>
      </c>
      <c r="H1702" s="1" t="inlineStr">
        <is>
          <t>Porcelain</t>
        </is>
      </c>
      <c r="I1702" s="1" t="inlineStr">
        <is>
          <t>Matt</t>
        </is>
      </c>
      <c r="J1702" t="n">
        <v>7.95</v>
      </c>
      <c r="K1702" t="n">
        <v>7.95</v>
      </c>
      <c r="L1702" t="n">
        <v>7.95</v>
      </c>
    </row>
    <row r="1703">
      <c r="A1703" s="1">
        <f>Hyperlink("https://www.wallsandfloors.co.uk/grey-squares-150mm-tiles","Product")</f>
        <v/>
      </c>
      <c r="B1703" s="1" t="inlineStr">
        <is>
          <t>990023</t>
        </is>
      </c>
      <c r="C1703" s="1" t="inlineStr">
        <is>
          <t>Grey Squares Tiles</t>
        </is>
      </c>
      <c r="D1703" s="1" t="inlineStr">
        <is>
          <t>150x150x9-10mm</t>
        </is>
      </c>
      <c r="E1703" s="1" t="n">
        <v>2.66</v>
      </c>
      <c r="F1703" s="1" t="n">
        <v>0</v>
      </c>
      <c r="G1703" s="1" t="inlineStr">
        <is>
          <t>SQM</t>
        </is>
      </c>
      <c r="H1703" s="1" t="inlineStr">
        <is>
          <t>Porcelain</t>
        </is>
      </c>
      <c r="I1703" s="1" t="inlineStr">
        <is>
          <t>Matt</t>
        </is>
      </c>
      <c r="J1703" t="n">
        <v>2.66</v>
      </c>
      <c r="K1703" t="inlineStr"/>
      <c r="L1703" t="n">
        <v>2.66</v>
      </c>
    </row>
    <row r="1704">
      <c r="A1704" s="1">
        <f>Hyperlink("https://www.wallsandfloors.co.uk/grey-squares-50mm-tiles","Product")</f>
        <v/>
      </c>
      <c r="B1704" s="1" t="inlineStr">
        <is>
          <t>990085</t>
        </is>
      </c>
      <c r="C1704" s="1" t="inlineStr">
        <is>
          <t>Grey Squares 50mm Tiles</t>
        </is>
      </c>
      <c r="D1704" s="1" t="inlineStr">
        <is>
          <t>50x50x9-10mm</t>
        </is>
      </c>
      <c r="E1704" s="1" t="n">
        <v>0.67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n">
        <v>0.67</v>
      </c>
      <c r="K1704" t="n">
        <v>0.67</v>
      </c>
      <c r="L1704" t="n">
        <v>0.67</v>
      </c>
    </row>
    <row r="1705">
      <c r="A1705" s="1">
        <f>Hyperlink("https://www.wallsandfloors.co.uk/jackoboard-aqua-line-easy-1200x900x30","Product")</f>
        <v/>
      </c>
      <c r="B1705" s="1" t="inlineStr">
        <is>
          <t>42694</t>
        </is>
      </c>
      <c r="C1705" s="1" t="inlineStr">
        <is>
          <t>Jackoboard Aqua Line Easy Drain 1200x900x30mm</t>
        </is>
      </c>
      <c r="D1705" s="1" t="inlineStr">
        <is>
          <t>1200x900x30mm</t>
        </is>
      </c>
      <c r="E1705" s="1" t="n">
        <v>329.95</v>
      </c>
      <c r="F1705" s="1" t="n">
        <v>0</v>
      </c>
      <c r="G1705" s="1" t="inlineStr">
        <is>
          <t>Unit</t>
        </is>
      </c>
      <c r="H1705" s="1" t="inlineStr">
        <is>
          <t>XPS Foam</t>
        </is>
      </c>
      <c r="I1705" s="1" t="inlineStr">
        <is>
          <t>-</t>
        </is>
      </c>
      <c r="J1705" t="inlineStr"/>
      <c r="K1705" t="n">
        <v>329.95</v>
      </c>
      <c r="L1705" t="n">
        <v>329.95</v>
      </c>
    </row>
    <row r="1706">
      <c r="A1706" s="1">
        <f>Hyperlink("https://www.wallsandfloors.co.uk/jackoboard-aqua-flat-offset-drain-1200x900x20","Product")</f>
        <v/>
      </c>
      <c r="B1706" s="1" t="inlineStr">
        <is>
          <t>42692</t>
        </is>
      </c>
      <c r="C1706" s="1" t="inlineStr">
        <is>
          <t>Jackoboard Aqua Flat - Offset Drain 1200x900x20mm</t>
        </is>
      </c>
      <c r="D1706" s="1" t="inlineStr">
        <is>
          <t>900x1200x20mm</t>
        </is>
      </c>
      <c r="E1706" s="1" t="n">
        <v>159.95</v>
      </c>
      <c r="F1706" s="1" t="n">
        <v>0</v>
      </c>
      <c r="G1706" s="1" t="inlineStr">
        <is>
          <t>Unit</t>
        </is>
      </c>
      <c r="H1706" s="1" t="inlineStr">
        <is>
          <t>XPS Foam</t>
        </is>
      </c>
      <c r="I1706" s="1" t="inlineStr">
        <is>
          <t>-</t>
        </is>
      </c>
      <c r="J1706" t="n">
        <v>159.95</v>
      </c>
      <c r="K1706" t="n">
        <v>159.95</v>
      </c>
      <c r="L1706" t="n">
        <v>159.95</v>
      </c>
    </row>
    <row r="1707">
      <c r="A1707" s="1">
        <f>Hyperlink("https://www.wallsandfloors.co.uk/jackoboard-aqua-flat-centre-drain-900x900x20","Product")</f>
        <v/>
      </c>
      <c r="B1707" s="1" t="inlineStr">
        <is>
          <t>42691</t>
        </is>
      </c>
      <c r="C1707" s="1" t="inlineStr">
        <is>
          <t>Jackoboard Aqua Flat - Centre Drain 900x900x20mm</t>
        </is>
      </c>
      <c r="D1707" s="1" t="inlineStr">
        <is>
          <t>900x900x20mm</t>
        </is>
      </c>
      <c r="E1707" s="1" t="n">
        <v>124.95</v>
      </c>
      <c r="F1707" s="1" t="n">
        <v>0</v>
      </c>
      <c r="G1707" s="1" t="inlineStr">
        <is>
          <t>Unit</t>
        </is>
      </c>
      <c r="H1707" s="1" t="inlineStr">
        <is>
          <t>XPS Foam</t>
        </is>
      </c>
      <c r="I1707" s="1" t="inlineStr">
        <is>
          <t>-</t>
        </is>
      </c>
      <c r="J1707" t="inlineStr"/>
      <c r="K1707" t="n">
        <v>124.95</v>
      </c>
      <c r="L1707" t="n">
        <v>124.95</v>
      </c>
    </row>
    <row r="1708">
      <c r="A1708" s="1">
        <f>Hyperlink("https://www.wallsandfloors.co.uk/jackoboard-aqua-flat-centre-drain-1800x90x20","Product")</f>
        <v/>
      </c>
      <c r="B1708" s="1" t="inlineStr">
        <is>
          <t>42690</t>
        </is>
      </c>
      <c r="C1708" s="1" t="inlineStr">
        <is>
          <t>Jackoboard Aqua Flat - Centre Drain 1800x900x20mm</t>
        </is>
      </c>
      <c r="D1708" s="1" t="inlineStr">
        <is>
          <t>1800x900x20mm</t>
        </is>
      </c>
      <c r="E1708" s="1" t="n">
        <v>179.95</v>
      </c>
      <c r="F1708" s="1" t="n">
        <v>0</v>
      </c>
      <c r="G1708" s="1" t="inlineStr">
        <is>
          <t>Unit</t>
        </is>
      </c>
      <c r="H1708" s="1" t="inlineStr">
        <is>
          <t>XPS Foam</t>
        </is>
      </c>
      <c r="I1708" s="1" t="inlineStr">
        <is>
          <t>-</t>
        </is>
      </c>
      <c r="J1708" t="n">
        <v>179.95</v>
      </c>
      <c r="K1708" t="n">
        <v>179.95</v>
      </c>
      <c r="L1708" t="n">
        <v>179.95</v>
      </c>
    </row>
    <row r="1709">
      <c r="A1709" s="1">
        <f>Hyperlink("https://www.wallsandfloors.co.uk/jackoboard-aqua-flat-centre-drain-1200x900x20","Product")</f>
        <v/>
      </c>
      <c r="B1709" s="1" t="inlineStr">
        <is>
          <t>42689</t>
        </is>
      </c>
      <c r="C1709" s="1" t="inlineStr">
        <is>
          <t>Jackoboard Aqua Flat - Centre Drain 1200x900x20mm</t>
        </is>
      </c>
      <c r="D1709" s="1" t="inlineStr">
        <is>
          <t>900x1200x20mm</t>
        </is>
      </c>
      <c r="E1709" s="1" t="n">
        <v>149.95</v>
      </c>
      <c r="F1709" s="1" t="n">
        <v>0</v>
      </c>
      <c r="G1709" s="1" t="inlineStr"/>
      <c r="H1709" s="1" t="inlineStr">
        <is>
          <t>XPS Foam</t>
        </is>
      </c>
      <c r="I1709" s="1" t="inlineStr">
        <is>
          <t>-</t>
        </is>
      </c>
      <c r="J1709" t="n">
        <v>149.95</v>
      </c>
      <c r="K1709" t="n">
        <v>149.95</v>
      </c>
      <c r="L1709" t="n">
        <v>149.95</v>
      </c>
    </row>
    <row r="1710">
      <c r="A1710" s="1">
        <f>Hyperlink("https://www.wallsandfloors.co.uk/ivory-triangle-50x50x70mm-tiles","Product")</f>
        <v/>
      </c>
      <c r="B1710" s="1" t="inlineStr">
        <is>
          <t>990171</t>
        </is>
      </c>
      <c r="C1710" s="1" t="inlineStr">
        <is>
          <t>Ivory Triangle Tiles</t>
        </is>
      </c>
      <c r="D1710" s="1" t="inlineStr">
        <is>
          <t>50x50x70mm</t>
        </is>
      </c>
      <c r="E1710" s="1" t="n">
        <v>2.03</v>
      </c>
      <c r="F1710" s="1" t="n">
        <v>0</v>
      </c>
      <c r="G1710" s="1" t="inlineStr">
        <is>
          <t>SQM</t>
        </is>
      </c>
      <c r="H1710" s="1" t="inlineStr">
        <is>
          <t>Porcelain</t>
        </is>
      </c>
      <c r="I1710" s="1" t="inlineStr">
        <is>
          <t>Matt</t>
        </is>
      </c>
      <c r="J1710" t="inlineStr"/>
      <c r="K1710" t="n">
        <v>2.03</v>
      </c>
      <c r="L1710" t="n">
        <v>2.03</v>
      </c>
    </row>
    <row r="1711">
      <c r="A1711" s="1">
        <f>Hyperlink("https://www.wallsandfloors.co.uk/ivory-strip-150x50mm-tiles","Product")</f>
        <v/>
      </c>
      <c r="B1711" s="1" t="inlineStr">
        <is>
          <t>990271</t>
        </is>
      </c>
      <c r="C1711" s="1" t="inlineStr">
        <is>
          <t>Ivory Strip Tiles</t>
        </is>
      </c>
      <c r="D1711" s="1" t="inlineStr">
        <is>
          <t>150x50x9-10mm</t>
        </is>
      </c>
      <c r="E1711" s="1" t="n">
        <v>3.2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n">
        <v>3.2</v>
      </c>
      <c r="K1711" t="n">
        <v>3.2</v>
      </c>
      <c r="L1711" t="n">
        <v>3.2</v>
      </c>
    </row>
    <row r="1712">
      <c r="A1712" s="1">
        <f>Hyperlink("https://www.wallsandfloors.co.uk/ivory-squares-50mm-tiles","Product")</f>
        <v/>
      </c>
      <c r="B1712" s="1" t="inlineStr">
        <is>
          <t>990086</t>
        </is>
      </c>
      <c r="C1712" s="1" t="inlineStr">
        <is>
          <t>Ivory Squares 50mm Tiles</t>
        </is>
      </c>
      <c r="D1712" s="1" t="inlineStr">
        <is>
          <t>50x50x9-10mm</t>
        </is>
      </c>
      <c r="E1712" s="1" t="n">
        <v>0.67</v>
      </c>
      <c r="F1712" s="1" t="n">
        <v>0</v>
      </c>
      <c r="G1712" s="1" t="inlineStr">
        <is>
          <t>SQM</t>
        </is>
      </c>
      <c r="H1712" s="1" t="inlineStr">
        <is>
          <t>Porcelain</t>
        </is>
      </c>
      <c r="I1712" s="1" t="inlineStr">
        <is>
          <t>Matt</t>
        </is>
      </c>
      <c r="J1712" t="inlineStr"/>
      <c r="K1712" t="n">
        <v>0.67</v>
      </c>
      <c r="L1712" t="n">
        <v>0.67</v>
      </c>
    </row>
    <row r="1713">
      <c r="A1713" s="1">
        <f>Hyperlink("https://www.wallsandfloors.co.uk/ivory-squares-150mm-tiles","Product")</f>
        <v/>
      </c>
      <c r="B1713" s="1" t="inlineStr">
        <is>
          <t>990024</t>
        </is>
      </c>
      <c r="C1713" s="1" t="inlineStr">
        <is>
          <t>Ivory Squares Tiles</t>
        </is>
      </c>
      <c r="D1713" s="1" t="inlineStr">
        <is>
          <t>150x150x9-10mm</t>
        </is>
      </c>
      <c r="E1713" s="1" t="n">
        <v>2.36</v>
      </c>
      <c r="F1713" s="1" t="n">
        <v>0</v>
      </c>
      <c r="G1713" s="1" t="inlineStr">
        <is>
          <t>SQM</t>
        </is>
      </c>
      <c r="H1713" s="1" t="inlineStr">
        <is>
          <t>Porcelain</t>
        </is>
      </c>
      <c r="I1713" s="1" t="inlineStr">
        <is>
          <t>Matt</t>
        </is>
      </c>
      <c r="J1713" t="inlineStr"/>
      <c r="K1713" t="n">
        <v>2.36</v>
      </c>
      <c r="L1713" t="n">
        <v>2.36</v>
      </c>
    </row>
    <row r="1714">
      <c r="A1714" s="1">
        <f>Hyperlink("https://www.wallsandfloors.co.uk/ivory-octagon-150mm-tiles","Product")</f>
        <v/>
      </c>
      <c r="B1714" s="1" t="inlineStr">
        <is>
          <t>990132</t>
        </is>
      </c>
      <c r="C1714" s="1" t="inlineStr">
        <is>
          <t>Ivory Octagon Tiles</t>
        </is>
      </c>
      <c r="D1714" s="1" t="inlineStr">
        <is>
          <t>150x150x9-10mm</t>
        </is>
      </c>
      <c r="E1714" s="1" t="n">
        <v>2.66</v>
      </c>
      <c r="F1714" s="1" t="n">
        <v>0</v>
      </c>
      <c r="G1714" s="1" t="inlineStr">
        <is>
          <t>SQM</t>
        </is>
      </c>
      <c r="H1714" s="1" t="inlineStr">
        <is>
          <t>Porcelain</t>
        </is>
      </c>
      <c r="I1714" s="1" t="inlineStr">
        <is>
          <t>Matt</t>
        </is>
      </c>
      <c r="J1714" t="n">
        <v>2.66</v>
      </c>
      <c r="K1714" t="n">
        <v>2.66</v>
      </c>
      <c r="L1714" t="n">
        <v>2.66</v>
      </c>
    </row>
    <row r="1715">
      <c r="A1715" s="1">
        <f>Hyperlink("https://www.wallsandfloors.co.uk/island-white-tiles","Product")</f>
        <v/>
      </c>
      <c r="B1715" s="1" t="inlineStr">
        <is>
          <t>38986</t>
        </is>
      </c>
      <c r="C1715" s="1" t="inlineStr">
        <is>
          <t>Nyans Island White Wood Effect Tiles</t>
        </is>
      </c>
      <c r="D1715" s="1" t="inlineStr">
        <is>
          <t>593x98x9.5mm</t>
        </is>
      </c>
      <c r="E1715" s="1" t="n">
        <v>40.95</v>
      </c>
      <c r="F1715" s="1" t="n">
        <v>0</v>
      </c>
      <c r="G1715" s="1" t="inlineStr">
        <is>
          <t>SQM</t>
        </is>
      </c>
      <c r="H1715" s="1" t="inlineStr">
        <is>
          <t>Porcelain</t>
        </is>
      </c>
      <c r="I1715" s="1" t="inlineStr">
        <is>
          <t>Matt</t>
        </is>
      </c>
      <c r="J1715" t="n">
        <v>40.95</v>
      </c>
      <c r="K1715" t="inlineStr"/>
      <c r="L1715" t="n">
        <v>40.95</v>
      </c>
    </row>
    <row r="1716">
      <c r="A1716" s="1">
        <f>Hyperlink("https://www.wallsandfloors.co.uk/inverti-metro-tiles-soft-grey-tiles","Product")</f>
        <v/>
      </c>
      <c r="B1716" s="1" t="inlineStr">
        <is>
          <t>15164</t>
        </is>
      </c>
      <c r="C1716" s="1" t="inlineStr">
        <is>
          <t>Soft Grey Tiles</t>
        </is>
      </c>
      <c r="D1716" s="1" t="inlineStr">
        <is>
          <t>200x100x5mm</t>
        </is>
      </c>
      <c r="E1716" s="1" t="n">
        <v>16.15</v>
      </c>
      <c r="F1716" s="1" t="n">
        <v>0</v>
      </c>
      <c r="G1716" s="1" t="inlineStr">
        <is>
          <t>SQM</t>
        </is>
      </c>
      <c r="H1716" s="1" t="inlineStr">
        <is>
          <t>Ceramic</t>
        </is>
      </c>
      <c r="I1716" s="1" t="inlineStr">
        <is>
          <t>Matt</t>
        </is>
      </c>
      <c r="J1716" t="n">
        <v>16.15</v>
      </c>
      <c r="K1716" t="inlineStr"/>
      <c r="L1716" t="n">
        <v>16.15</v>
      </c>
    </row>
    <row r="1717">
      <c r="A1717" s="1">
        <f>Hyperlink("https://www.wallsandfloors.co.uk/inox-notched-trowel-11-28-cm-15mm-x-15mm","Product")</f>
        <v/>
      </c>
      <c r="B1717" s="1" t="inlineStr">
        <is>
          <t>40421</t>
        </is>
      </c>
      <c r="C1717" s="1" t="inlineStr">
        <is>
          <t>INOX Notched Trowel 11 Inch (28 cm.) 15mm x 15mm</t>
        </is>
      </c>
      <c r="D1717" s="1" t="inlineStr">
        <is>
          <t>11" (28 cm.) 15mm x 15mm</t>
        </is>
      </c>
      <c r="E1717" s="1" t="n">
        <v>16.87</v>
      </c>
      <c r="F1717" s="1" t="n">
        <v>0</v>
      </c>
      <c r="G1717" s="1" t="inlineStr">
        <is>
          <t>Unit</t>
        </is>
      </c>
      <c r="H1717" s="1" t="inlineStr">
        <is>
          <t>Tools</t>
        </is>
      </c>
      <c r="I1717" s="1" t="inlineStr">
        <is>
          <t>-</t>
        </is>
      </c>
      <c r="J1717" t="inlineStr"/>
      <c r="K1717" t="n">
        <v>16.87</v>
      </c>
      <c r="L1717" t="n">
        <v>16.87</v>
      </c>
    </row>
    <row r="1718">
      <c r="A1718" s="1">
        <f>Hyperlink("https://www.wallsandfloors.co.uk/inox-notched-trowel-11-28-cm-1-2-x1-2-12x12-mm","Product")</f>
        <v/>
      </c>
      <c r="B1718" s="1" t="inlineStr">
        <is>
          <t>40418</t>
        </is>
      </c>
      <c r="C1718" s="1" t="inlineStr">
        <is>
          <t>INOX Notched Trowel 12x12 mm</t>
        </is>
      </c>
      <c r="D1718" s="1" t="inlineStr">
        <is>
          <t>12x12 mm</t>
        </is>
      </c>
      <c r="E1718" s="1" t="n">
        <v>16.87</v>
      </c>
      <c r="F1718" s="1" t="n">
        <v>0</v>
      </c>
      <c r="G1718" s="1" t="inlineStr">
        <is>
          <t>Unit</t>
        </is>
      </c>
      <c r="H1718" s="1" t="inlineStr">
        <is>
          <t>Tools</t>
        </is>
      </c>
      <c r="I1718" s="1" t="inlineStr">
        <is>
          <t>-</t>
        </is>
      </c>
      <c r="J1718" t="n">
        <v>16.87</v>
      </c>
      <c r="K1718" t="n">
        <v>16.87</v>
      </c>
      <c r="L1718" t="n">
        <v>16.87</v>
      </c>
    </row>
    <row r="1719">
      <c r="A1719" s="1">
        <f>Hyperlink("https://www.wallsandfloors.co.uk/innocence-whites-white-smooth-gloss-150x150-tile","Product")</f>
        <v/>
      </c>
      <c r="B1719" s="1" t="inlineStr">
        <is>
          <t>13336</t>
        </is>
      </c>
      <c r="C1719" s="1" t="inlineStr">
        <is>
          <t>Innocence Smooth Gloss White Wall Tiles</t>
        </is>
      </c>
      <c r="D1719" s="1" t="inlineStr">
        <is>
          <t>150x150x4mm</t>
        </is>
      </c>
      <c r="E1719" s="1" t="n">
        <v>7.99</v>
      </c>
      <c r="F1719" s="1" t="n">
        <v>0</v>
      </c>
      <c r="G1719" s="1" t="inlineStr">
        <is>
          <t>SQM</t>
        </is>
      </c>
      <c r="H1719" s="1" t="inlineStr">
        <is>
          <t>Ceramic</t>
        </is>
      </c>
      <c r="I1719" s="1" t="inlineStr">
        <is>
          <t>Gloss</t>
        </is>
      </c>
      <c r="J1719" t="n">
        <v>7.99</v>
      </c>
      <c r="K1719" t="n">
        <v>7.99</v>
      </c>
      <c r="L1719" t="n">
        <v>7.99</v>
      </c>
    </row>
    <row r="1720">
      <c r="A1720" s="1">
        <f>Hyperlink("https://www.wallsandfloors.co.uk/innocence-whites-white-smooth-flat-gloss-400x250-wall-tile","Product")</f>
        <v/>
      </c>
      <c r="B1720" s="1" t="inlineStr">
        <is>
          <t>13334</t>
        </is>
      </c>
      <c r="C1720" s="1" t="inlineStr">
        <is>
          <t>Innocence White Flat Gloss Wall Tile</t>
        </is>
      </c>
      <c r="D1720" s="1" t="inlineStr">
        <is>
          <t>400x250x8mm</t>
        </is>
      </c>
      <c r="E1720" s="1" t="n">
        <v>13.95</v>
      </c>
      <c r="F1720" s="1" t="n">
        <v>0</v>
      </c>
      <c r="G1720" s="1" t="inlineStr">
        <is>
          <t>SQM</t>
        </is>
      </c>
      <c r="H1720" s="1" t="inlineStr">
        <is>
          <t>Ceramic</t>
        </is>
      </c>
      <c r="I1720" s="1" t="inlineStr">
        <is>
          <t>Gloss</t>
        </is>
      </c>
      <c r="J1720" t="n">
        <v>13.95</v>
      </c>
      <c r="K1720" t="n">
        <v>13.95</v>
      </c>
      <c r="L1720" t="n">
        <v>13.95</v>
      </c>
    </row>
    <row r="1721">
      <c r="A1721" s="1">
        <f>Hyperlink("https://www.wallsandfloors.co.uk/indigo-modello-vecchio-white-tiles","Product")</f>
        <v/>
      </c>
      <c r="B1721" s="1" t="inlineStr">
        <is>
          <t>24736</t>
        </is>
      </c>
      <c r="C1721" s="1" t="inlineStr">
        <is>
          <t>Vecchio White Tiles</t>
        </is>
      </c>
      <c r="D1721" s="1" t="inlineStr">
        <is>
          <t>330x330x9.5mm</t>
        </is>
      </c>
      <c r="E1721" s="1" t="n">
        <v>27.95</v>
      </c>
      <c r="F1721" s="1" t="n">
        <v>0</v>
      </c>
      <c r="G1721" s="1" t="inlineStr">
        <is>
          <t>SQM</t>
        </is>
      </c>
      <c r="H1721" s="1" t="inlineStr">
        <is>
          <t>Ceramic</t>
        </is>
      </c>
      <c r="I1721" s="1" t="inlineStr">
        <is>
          <t>Matt</t>
        </is>
      </c>
      <c r="J1721" t="n">
        <v>27.95</v>
      </c>
      <c r="K1721" t="n">
        <v>27.95</v>
      </c>
      <c r="L1721" t="n">
        <v>27.95</v>
      </c>
    </row>
    <row r="1722">
      <c r="A1722" s="1">
        <f>Hyperlink("https://www.wallsandfloors.co.uk/indigo-modello-vecchio-indigo-mix-tiles","Product")</f>
        <v/>
      </c>
      <c r="B1722" s="1" t="inlineStr">
        <is>
          <t>24737</t>
        </is>
      </c>
      <c r="C1722" s="1" t="inlineStr">
        <is>
          <t>Vecchio Indigo Mix Tiles</t>
        </is>
      </c>
      <c r="D1722" s="1" t="inlineStr">
        <is>
          <t>330x330x9.5mm</t>
        </is>
      </c>
      <c r="E1722" s="1" t="n">
        <v>27.95</v>
      </c>
      <c r="F1722" s="1" t="n">
        <v>0</v>
      </c>
      <c r="G1722" s="1" t="inlineStr">
        <is>
          <t>SQM</t>
        </is>
      </c>
      <c r="H1722" s="1" t="inlineStr">
        <is>
          <t>Ceramic</t>
        </is>
      </c>
      <c r="I1722" s="1" t="inlineStr">
        <is>
          <t>Matt</t>
        </is>
      </c>
      <c r="J1722" t="n">
        <v>27.95</v>
      </c>
      <c r="K1722" t="n">
        <v>27.95</v>
      </c>
      <c r="L1722" t="n">
        <v>27.95</v>
      </c>
    </row>
    <row r="1723">
      <c r="A1723" s="1">
        <f>Hyperlink("https://www.wallsandfloors.co.uk/indigo-modello-vecchio-diamante-indigo-tiles","Product")</f>
        <v/>
      </c>
      <c r="B1723" s="1" t="inlineStr">
        <is>
          <t>24738</t>
        </is>
      </c>
      <c r="C1723" s="1" t="inlineStr">
        <is>
          <t>Vecchio Diamante Indigo Tiles</t>
        </is>
      </c>
      <c r="D1723" s="1" t="inlineStr">
        <is>
          <t>330x330x9.5mm</t>
        </is>
      </c>
      <c r="E1723" s="1" t="n">
        <v>27.95</v>
      </c>
      <c r="F1723" s="1" t="n">
        <v>0</v>
      </c>
      <c r="G1723" s="1" t="inlineStr">
        <is>
          <t>SQM</t>
        </is>
      </c>
      <c r="H1723" s="1" t="inlineStr">
        <is>
          <t>Ceramic</t>
        </is>
      </c>
      <c r="I1723" s="1" t="inlineStr">
        <is>
          <t>Matt</t>
        </is>
      </c>
      <c r="J1723" t="n">
        <v>27.95</v>
      </c>
      <c r="K1723" t="inlineStr"/>
      <c r="L1723" t="n">
        <v>27.95</v>
      </c>
    </row>
    <row r="1724">
      <c r="A1724" s="1">
        <f>Hyperlink("https://www.wallsandfloors.co.uk/indigo-blue-tiles","Product")</f>
        <v/>
      </c>
      <c r="B1724" s="1" t="inlineStr">
        <is>
          <t>38982</t>
        </is>
      </c>
      <c r="C1724" s="1" t="inlineStr">
        <is>
          <t>Nyans Indigo Blue Wood Effect Tiles</t>
        </is>
      </c>
      <c r="D1724" s="1" t="inlineStr">
        <is>
          <t>593x98x9.5mm</t>
        </is>
      </c>
      <c r="E1724" s="1" t="n">
        <v>40.95</v>
      </c>
      <c r="F1724" s="1" t="n">
        <v>0</v>
      </c>
      <c r="G1724" s="1" t="inlineStr">
        <is>
          <t>SQM</t>
        </is>
      </c>
      <c r="H1724" s="1" t="inlineStr">
        <is>
          <t>Porcelain</t>
        </is>
      </c>
      <c r="I1724" s="1" t="inlineStr">
        <is>
          <t>Matt</t>
        </is>
      </c>
      <c r="J1724" t="n">
        <v>40.95</v>
      </c>
      <c r="K1724" t="n">
        <v>40.95</v>
      </c>
      <c r="L1724" t="n">
        <v>40.95</v>
      </c>
    </row>
    <row r="1725">
      <c r="A1725" s="1">
        <f>Hyperlink("https://www.wallsandfloors.co.uk/icaria-plus-ocre-595x595x20-tiles","Product")</f>
        <v/>
      </c>
      <c r="B1725" s="1" t="inlineStr">
        <is>
          <t>44178</t>
        </is>
      </c>
      <c r="C1725" s="1" t="inlineStr">
        <is>
          <t>Icaria Plus Ocre Porcelain Paving Slabs</t>
        </is>
      </c>
      <c r="D1725" s="1" t="inlineStr">
        <is>
          <t>595x595x20mm</t>
        </is>
      </c>
      <c r="E1725" s="1" t="n">
        <v>25.95</v>
      </c>
      <c r="F1725" s="1" t="n">
        <v>0</v>
      </c>
      <c r="G1725" s="1" t="inlineStr">
        <is>
          <t>SQM</t>
        </is>
      </c>
      <c r="H1725" s="1" t="inlineStr">
        <is>
          <t>Porcelain</t>
        </is>
      </c>
      <c r="I1725" s="1" t="inlineStr">
        <is>
          <t>Matt</t>
        </is>
      </c>
      <c r="J1725" t="n">
        <v>25.95</v>
      </c>
      <c r="K1725" t="n">
        <v>25.95</v>
      </c>
      <c r="L1725" t="n">
        <v>25.95</v>
      </c>
    </row>
    <row r="1726">
      <c r="A1726" s="1">
        <f>Hyperlink("https://www.wallsandfloors.co.uk/icaria-plus-beige-595x595x20-tiles","Product")</f>
        <v/>
      </c>
      <c r="B1726" s="1" t="inlineStr">
        <is>
          <t>44088</t>
        </is>
      </c>
      <c r="C1726" s="1" t="inlineStr">
        <is>
          <t>Icaria Plus Beige Porcelain Paving Slabs</t>
        </is>
      </c>
      <c r="D1726" s="1" t="inlineStr">
        <is>
          <t>595x595x20mm</t>
        </is>
      </c>
      <c r="E1726" s="1" t="n">
        <v>25.95</v>
      </c>
      <c r="F1726" s="1" t="n">
        <v>0</v>
      </c>
      <c r="G1726" s="1" t="inlineStr">
        <is>
          <t>SQM</t>
        </is>
      </c>
      <c r="H1726" s="1" t="inlineStr">
        <is>
          <t>Porcelain</t>
        </is>
      </c>
      <c r="I1726" s="1" t="inlineStr">
        <is>
          <t>Matt</t>
        </is>
      </c>
      <c r="J1726" t="n">
        <v>25.95</v>
      </c>
      <c r="K1726" t="n">
        <v>25.95</v>
      </c>
      <c r="L1726" t="n">
        <v>25.95</v>
      </c>
    </row>
    <row r="1727">
      <c r="A1727" s="1">
        <f>Hyperlink("https://www.wallsandfloors.co.uk/hoxley-pistachio-tiles","Product")</f>
        <v/>
      </c>
      <c r="B1727" s="1" t="inlineStr">
        <is>
          <t>39104</t>
        </is>
      </c>
      <c r="C1727" s="1" t="inlineStr">
        <is>
          <t>Hoxley Pistachio Tiles</t>
        </is>
      </c>
      <c r="D1727" s="1" t="inlineStr">
        <is>
          <t>200x200x8mm</t>
        </is>
      </c>
      <c r="E1727" s="1" t="n">
        <v>35.95</v>
      </c>
      <c r="F1727" s="1" t="n">
        <v>0</v>
      </c>
      <c r="G1727" s="1" t="inlineStr">
        <is>
          <t>SQM</t>
        </is>
      </c>
      <c r="H1727" s="1" t="inlineStr">
        <is>
          <t>Ceramic</t>
        </is>
      </c>
      <c r="I1727" s="1" t="inlineStr">
        <is>
          <t>Matt</t>
        </is>
      </c>
      <c r="J1727" t="inlineStr"/>
      <c r="K1727" t="n">
        <v>35.95</v>
      </c>
      <c r="L1727" t="n">
        <v>35.95</v>
      </c>
    </row>
    <row r="1728">
      <c r="A1728" s="1">
        <f>Hyperlink("https://www.wallsandfloors.co.uk/jackoboard-aqua-tray-drain","Product")</f>
        <v/>
      </c>
      <c r="B1728" s="1" t="inlineStr">
        <is>
          <t>42702</t>
        </is>
      </c>
      <c r="C1728" s="1" t="inlineStr">
        <is>
          <t>Jackoboard Aqua Tray Drains</t>
        </is>
      </c>
      <c r="D1728" s="1" t="inlineStr">
        <is>
          <t>-</t>
        </is>
      </c>
      <c r="E1728" s="1" t="n">
        <v>69.95</v>
      </c>
      <c r="F1728" s="1" t="n">
        <v>0</v>
      </c>
      <c r="G1728" s="1" t="inlineStr">
        <is>
          <t>Unit</t>
        </is>
      </c>
      <c r="H1728" s="1" t="inlineStr">
        <is>
          <t>-</t>
        </is>
      </c>
      <c r="I1728" s="1" t="inlineStr">
        <is>
          <t>-</t>
        </is>
      </c>
      <c r="J1728" t="n">
        <v>69.95</v>
      </c>
      <c r="K1728" t="inlineStr"/>
      <c r="L1728" t="n">
        <v>69.95</v>
      </c>
    </row>
    <row r="1729">
      <c r="A1729" s="1">
        <f>Hyperlink("https://www.wallsandfloors.co.uk/hoxley-peacock-tiles","Product")</f>
        <v/>
      </c>
      <c r="B1729" s="1" t="inlineStr">
        <is>
          <t>39109</t>
        </is>
      </c>
      <c r="C1729" s="1" t="inlineStr">
        <is>
          <t>Hoxley Peacock Tiles</t>
        </is>
      </c>
      <c r="D1729" s="1" t="inlineStr">
        <is>
          <t>200x200x8mm</t>
        </is>
      </c>
      <c r="E1729" s="1" t="n">
        <v>35.95</v>
      </c>
      <c r="F1729" s="1" t="n">
        <v>0</v>
      </c>
      <c r="G1729" s="1" t="inlineStr">
        <is>
          <t>SQM</t>
        </is>
      </c>
      <c r="H1729" s="1" t="inlineStr">
        <is>
          <t>Ceramic</t>
        </is>
      </c>
      <c r="I1729" s="1" t="inlineStr">
        <is>
          <t>Matt</t>
        </is>
      </c>
      <c r="J1729" t="inlineStr"/>
      <c r="K1729" t="n">
        <v>35.95</v>
      </c>
      <c r="L1729" t="n">
        <v>35.95</v>
      </c>
    </row>
    <row r="1730">
      <c r="A1730" s="1">
        <f>Hyperlink("https://www.wallsandfloors.co.uk/jackoboard-board-fix-seal-adhesive","Product")</f>
        <v/>
      </c>
      <c r="B1730" s="1" t="inlineStr">
        <is>
          <t>42749</t>
        </is>
      </c>
      <c r="C1730" s="1" t="inlineStr">
        <is>
          <t>Jackoboard Board Fix and Seal Adhesive</t>
        </is>
      </c>
      <c r="D1730" s="1" t="inlineStr">
        <is>
          <t>290ml</t>
        </is>
      </c>
      <c r="E1730" s="1" t="n">
        <v>12.95</v>
      </c>
      <c r="F1730" s="1" t="n">
        <v>0</v>
      </c>
      <c r="G1730" s="1" t="inlineStr">
        <is>
          <t>Unit</t>
        </is>
      </c>
      <c r="H1730" s="1" t="inlineStr">
        <is>
          <t>Adhesive</t>
        </is>
      </c>
      <c r="I1730" s="1" t="inlineStr">
        <is>
          <t>-</t>
        </is>
      </c>
      <c r="J1730" t="n">
        <v>12.95</v>
      </c>
      <c r="K1730" t="n">
        <v>12.95</v>
      </c>
      <c r="L1730" t="n">
        <v>12.95</v>
      </c>
    </row>
    <row r="1731">
      <c r="A1731" s="1">
        <f>Hyperlink("https://www.wallsandfloors.co.uk/jackoboard-plano-backer-board-1200x600x10","Product")</f>
        <v/>
      </c>
      <c r="B1731" s="1" t="inlineStr">
        <is>
          <t>42686</t>
        </is>
      </c>
      <c r="C1731" s="1" t="inlineStr">
        <is>
          <t>Jackoboard Plano - Tilebacker Boards 1200x600x10mm</t>
        </is>
      </c>
      <c r="D1731" s="1" t="inlineStr">
        <is>
          <t>1200x600x10mm</t>
        </is>
      </c>
      <c r="E1731" s="1" t="n">
        <v>12.95</v>
      </c>
      <c r="F1731" s="1" t="n">
        <v>0</v>
      </c>
      <c r="G1731" s="1" t="inlineStr">
        <is>
          <t>Unit</t>
        </is>
      </c>
      <c r="H1731" s="1" t="inlineStr">
        <is>
          <t>XPS Foam</t>
        </is>
      </c>
      <c r="I1731" s="1" t="inlineStr">
        <is>
          <t>-</t>
        </is>
      </c>
      <c r="J1731" t="n">
        <v>12.95</v>
      </c>
      <c r="K1731" t="inlineStr"/>
      <c r="L1731" t="n">
        <v>12.95</v>
      </c>
    </row>
    <row r="1732">
      <c r="A1732" s="1">
        <f>Hyperlink("https://www.wallsandfloors.co.uk/kutlu-tiles-mono-mix-tiles","Product")</f>
        <v/>
      </c>
      <c r="B1732" s="1" t="inlineStr">
        <is>
          <t>14175</t>
        </is>
      </c>
      <c r="C1732" s="1" t="inlineStr">
        <is>
          <t>Kutlu Mono Mix Tiles</t>
        </is>
      </c>
      <c r="D1732" s="1" t="inlineStr">
        <is>
          <t>450x450x8mm</t>
        </is>
      </c>
      <c r="E1732" s="1" t="n">
        <v>17.95</v>
      </c>
      <c r="F1732" s="1" t="n">
        <v>0</v>
      </c>
      <c r="G1732" s="1" t="inlineStr">
        <is>
          <t>SQM</t>
        </is>
      </c>
      <c r="H1732" s="1" t="inlineStr">
        <is>
          <t>Ceramic</t>
        </is>
      </c>
      <c r="I1732" s="1" t="inlineStr">
        <is>
          <t>-</t>
        </is>
      </c>
      <c r="J1732" t="n">
        <v>17.95</v>
      </c>
      <c r="K1732" t="n">
        <v>17.95</v>
      </c>
      <c r="L1732" t="n">
        <v>17.95</v>
      </c>
    </row>
    <row r="1733">
      <c r="A1733" s="1">
        <f>Hyperlink("https://www.wallsandfloors.co.uk/kutlu-tiles-beige-mix-tiles","Product")</f>
        <v/>
      </c>
      <c r="B1733" s="1" t="inlineStr">
        <is>
          <t>14176</t>
        </is>
      </c>
      <c r="C1733" s="1" t="inlineStr">
        <is>
          <t>Kutlu Beige Mix Tiles</t>
        </is>
      </c>
      <c r="D1733" s="1" t="inlineStr">
        <is>
          <t>450x450x8mm</t>
        </is>
      </c>
      <c r="E1733" s="1" t="n">
        <v>17.95</v>
      </c>
      <c r="F1733" s="1" t="n">
        <v>0</v>
      </c>
      <c r="G1733" s="1" t="inlineStr">
        <is>
          <t>SQM</t>
        </is>
      </c>
      <c r="H1733" s="1" t="inlineStr">
        <is>
          <t>Ceramic</t>
        </is>
      </c>
      <c r="I1733" s="1" t="inlineStr">
        <is>
          <t>-</t>
        </is>
      </c>
      <c r="J1733" t="inlineStr"/>
      <c r="K1733" t="n">
        <v>17.95</v>
      </c>
      <c r="L1733" t="n">
        <v>17.95</v>
      </c>
    </row>
    <row r="1734">
      <c r="A1734" s="1">
        <f>Hyperlink("https://www.wallsandfloors.co.uk/kuala-tiles-kuala-black-tiles","Product")</f>
        <v/>
      </c>
      <c r="B1734" s="1" t="inlineStr">
        <is>
          <t>8905</t>
        </is>
      </c>
      <c r="C1734" s="1" t="inlineStr">
        <is>
          <t>Kuala Black Slate Effect Tiles</t>
        </is>
      </c>
      <c r="D1734" s="1" t="inlineStr">
        <is>
          <t>600x300x8mm</t>
        </is>
      </c>
      <c r="E1734" s="1" t="n">
        <v>29.95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inlineStr"/>
      <c r="K1734" t="n">
        <v>29.95</v>
      </c>
      <c r="L1734" t="n">
        <v>29.95</v>
      </c>
    </row>
    <row r="1735">
      <c r="A1735" s="1">
        <f>Hyperlink("https://www.wallsandfloors.co.uk/kerastar-anti-slip-tethys-20x20-tiles","Product")</f>
        <v/>
      </c>
      <c r="B1735" s="1" t="inlineStr">
        <is>
          <t>13533</t>
        </is>
      </c>
      <c r="C1735" s="1" t="inlineStr">
        <is>
          <t>Tethys Circular Stud Anti-Slip Tiles</t>
        </is>
      </c>
      <c r="D1735" s="1" t="inlineStr">
        <is>
          <t>200x200x9mm</t>
        </is>
      </c>
      <c r="E1735" s="1" t="n">
        <v>27.95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n">
        <v>27.95</v>
      </c>
      <c r="K1735" t="n">
        <v>27.95</v>
      </c>
      <c r="L1735" t="n">
        <v>27.95</v>
      </c>
    </row>
    <row r="1736">
      <c r="A1736" s="1">
        <f>Hyperlink("https://www.wallsandfloors.co.uk/karlon-snow-white-tiles","Product")</f>
        <v/>
      </c>
      <c r="B1736" s="1" t="inlineStr">
        <is>
          <t>43783</t>
        </is>
      </c>
      <c r="C1736" s="1" t="inlineStr">
        <is>
          <t>Karlon Snow White Tiles</t>
        </is>
      </c>
      <c r="D1736" s="1" t="inlineStr">
        <is>
          <t>605x605x7.5mm</t>
        </is>
      </c>
      <c r="E1736" s="1" t="n">
        <v>16.95</v>
      </c>
      <c r="F1736" s="1" t="n">
        <v>0</v>
      </c>
      <c r="G1736" s="1" t="inlineStr">
        <is>
          <t>SQM</t>
        </is>
      </c>
      <c r="H1736" s="1" t="inlineStr">
        <is>
          <t>Porcelain</t>
        </is>
      </c>
      <c r="I1736" s="1" t="inlineStr">
        <is>
          <t>Matt</t>
        </is>
      </c>
      <c r="J1736" t="n">
        <v>16.95</v>
      </c>
      <c r="K1736" t="n">
        <v>16.95</v>
      </c>
      <c r="L1736" t="n">
        <v>16.95</v>
      </c>
    </row>
    <row r="1737">
      <c r="A1737" s="1">
        <f>Hyperlink("https://www.wallsandfloors.co.uk/karlon-sand-beige-tiles","Product")</f>
        <v/>
      </c>
      <c r="B1737" s="1" t="inlineStr">
        <is>
          <t>43780</t>
        </is>
      </c>
      <c r="C1737" s="1" t="inlineStr">
        <is>
          <t>Karlon Sand Beige Tiles</t>
        </is>
      </c>
      <c r="D1737" s="1" t="inlineStr">
        <is>
          <t>605x605x7.5mm</t>
        </is>
      </c>
      <c r="E1737" s="1" t="n">
        <v>16.95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16.95</v>
      </c>
      <c r="K1737" t="inlineStr"/>
      <c r="L1737" t="n">
        <v>16.95</v>
      </c>
    </row>
    <row r="1738">
      <c r="A1738" s="1">
        <f>Hyperlink("https://www.wallsandfloors.co.uk/karlon-midnight-black-tiles","Product")</f>
        <v/>
      </c>
      <c r="B1738" s="1" t="inlineStr">
        <is>
          <t>43782</t>
        </is>
      </c>
      <c r="C1738" s="1" t="inlineStr">
        <is>
          <t>Karlon Midnight Black Tiles</t>
        </is>
      </c>
      <c r="D1738" s="1" t="inlineStr">
        <is>
          <t>605x605x7.5mm</t>
        </is>
      </c>
      <c r="E1738" s="1" t="n">
        <v>16.95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inlineStr"/>
      <c r="K1738" t="inlineStr"/>
      <c r="L1738" t="n">
        <v>16.95</v>
      </c>
    </row>
    <row r="1739">
      <c r="A1739" s="1">
        <f>Hyperlink("https://www.wallsandfloors.co.uk/jagged-trowel-s-steel-38242","Product")</f>
        <v/>
      </c>
      <c r="B1739" s="1" t="inlineStr">
        <is>
          <t>27691</t>
        </is>
      </c>
      <c r="C1739" s="1" t="inlineStr">
        <is>
          <t>INOX Notched Trowel 10x10 mm</t>
        </is>
      </c>
      <c r="D1739" s="1" t="inlineStr">
        <is>
          <t>10x10mm</t>
        </is>
      </c>
      <c r="E1739" s="1" t="n">
        <v>16.87</v>
      </c>
      <c r="F1739" s="1" t="n">
        <v>0</v>
      </c>
      <c r="G1739" s="1" t="inlineStr">
        <is>
          <t>Unit</t>
        </is>
      </c>
      <c r="H1739" s="1" t="inlineStr">
        <is>
          <t>Tools</t>
        </is>
      </c>
      <c r="I1739" s="1" t="inlineStr">
        <is>
          <t>-</t>
        </is>
      </c>
      <c r="J1739" t="n">
        <v>16.87</v>
      </c>
      <c r="K1739" t="n">
        <v>16.87</v>
      </c>
      <c r="L1739" t="n">
        <v>16.87</v>
      </c>
    </row>
    <row r="1740">
      <c r="A1740" s="1">
        <f>Hyperlink("https://www.wallsandfloors.co.uk/jagged-trowel-s-steel-38241","Product")</f>
        <v/>
      </c>
      <c r="B1740" s="1" t="inlineStr">
        <is>
          <t>27690</t>
        </is>
      </c>
      <c r="C1740" s="1" t="inlineStr">
        <is>
          <t>INOX Notched Trowel 8x8 mm</t>
        </is>
      </c>
      <c r="D1740" s="1" t="inlineStr">
        <is>
          <t>8x8mm</t>
        </is>
      </c>
      <c r="E1740" s="1" t="n">
        <v>16.87</v>
      </c>
      <c r="F1740" s="1" t="n">
        <v>0</v>
      </c>
      <c r="G1740" s="1" t="inlineStr">
        <is>
          <t>Unit</t>
        </is>
      </c>
      <c r="H1740" s="1" t="inlineStr">
        <is>
          <t>Tools</t>
        </is>
      </c>
      <c r="I1740" s="1" t="inlineStr">
        <is>
          <t>-</t>
        </is>
      </c>
      <c r="J1740" t="inlineStr"/>
      <c r="K1740" t="n">
        <v>16.87</v>
      </c>
      <c r="L1740" t="n">
        <v>16.87</v>
      </c>
    </row>
    <row r="1741">
      <c r="A1741" s="1">
        <f>Hyperlink("https://www.wallsandfloors.co.uk/jagged-trowel-s-steel-38240","Product")</f>
        <v/>
      </c>
      <c r="B1741" s="1" t="inlineStr">
        <is>
          <t>27689</t>
        </is>
      </c>
      <c r="C1741" s="1" t="inlineStr">
        <is>
          <t>INOX Notched Trowel 6x6 mm</t>
        </is>
      </c>
      <c r="D1741" s="1" t="inlineStr">
        <is>
          <t>6x6mm</t>
        </is>
      </c>
      <c r="E1741" s="1" t="n">
        <v>16.95</v>
      </c>
      <c r="F1741" s="1" t="n">
        <v>0</v>
      </c>
      <c r="G1741" s="1" t="inlineStr">
        <is>
          <t>Unit</t>
        </is>
      </c>
      <c r="H1741" s="1" t="inlineStr">
        <is>
          <t>Tools</t>
        </is>
      </c>
      <c r="I1741" s="1" t="inlineStr">
        <is>
          <t>-</t>
        </is>
      </c>
      <c r="J1741" t="inlineStr"/>
      <c r="K1741" t="n">
        <v>16.95</v>
      </c>
      <c r="L1741" t="n">
        <v>16.95</v>
      </c>
    </row>
    <row r="1742">
      <c r="A1742" s="1">
        <f>Hyperlink("https://www.wallsandfloors.co.uk/jackoboard-wall-niche-450x350x150","Product")</f>
        <v/>
      </c>
      <c r="B1742" s="1" t="inlineStr">
        <is>
          <t>42707</t>
        </is>
      </c>
      <c r="C1742" s="1" t="inlineStr">
        <is>
          <t>Jackoboard Wall Niche 450x350x150mm</t>
        </is>
      </c>
      <c r="D1742" s="1" t="inlineStr">
        <is>
          <t>350x450x150mm</t>
        </is>
      </c>
      <c r="E1742" s="1" t="n">
        <v>63.95</v>
      </c>
      <c r="F1742" s="1" t="n">
        <v>0</v>
      </c>
      <c r="G1742" s="1" t="inlineStr">
        <is>
          <t>Unit</t>
        </is>
      </c>
      <c r="H1742" s="1" t="inlineStr">
        <is>
          <t>-</t>
        </is>
      </c>
      <c r="I1742" s="1" t="inlineStr">
        <is>
          <t>-</t>
        </is>
      </c>
      <c r="J1742" t="n">
        <v>63.95</v>
      </c>
      <c r="K1742" t="n">
        <v>63.95</v>
      </c>
      <c r="L1742" t="n">
        <v>63.95</v>
      </c>
    </row>
    <row r="1743">
      <c r="A1743" s="1">
        <f>Hyperlink("https://www.wallsandfloors.co.uk/jackoboard-wall-niche-350x350x150","Product")</f>
        <v/>
      </c>
      <c r="B1743" s="1" t="inlineStr">
        <is>
          <t>42706</t>
        </is>
      </c>
      <c r="C1743" s="1" t="inlineStr">
        <is>
          <t>Jackoboard Wall Niche 350x350x150mm</t>
        </is>
      </c>
      <c r="D1743" s="1" t="inlineStr">
        <is>
          <t>350x350x150mm</t>
        </is>
      </c>
      <c r="E1743" s="1" t="n">
        <v>62.95</v>
      </c>
      <c r="F1743" s="1" t="n">
        <v>0</v>
      </c>
      <c r="G1743" s="1" t="inlineStr">
        <is>
          <t>Unit</t>
        </is>
      </c>
      <c r="H1743" s="1" t="inlineStr">
        <is>
          <t>XPS Foam</t>
        </is>
      </c>
      <c r="I1743" s="1" t="inlineStr">
        <is>
          <t>-</t>
        </is>
      </c>
      <c r="J1743" t="n">
        <v>62.95</v>
      </c>
      <c r="K1743" t="inlineStr"/>
      <c r="L1743" t="n">
        <v>62.95</v>
      </c>
    </row>
    <row r="1744">
      <c r="A1744" s="1">
        <f>Hyperlink("https://www.wallsandfloors.co.uk/jackoboard-wall-niche-350x250x150","Product")</f>
        <v/>
      </c>
      <c r="B1744" s="1" t="inlineStr">
        <is>
          <t>42705</t>
        </is>
      </c>
      <c r="C1744" s="1" t="inlineStr">
        <is>
          <t>Jackoboard Wall Niche 350x250x150mm</t>
        </is>
      </c>
      <c r="D1744" s="1" t="inlineStr">
        <is>
          <t>250x350x150mm</t>
        </is>
      </c>
      <c r="E1744" s="1" t="n">
        <v>59.95</v>
      </c>
      <c r="F1744" s="1" t="n">
        <v>0</v>
      </c>
      <c r="G1744" s="1" t="inlineStr">
        <is>
          <t>Unit</t>
        </is>
      </c>
      <c r="H1744" s="1" t="inlineStr">
        <is>
          <t>XPS Foam</t>
        </is>
      </c>
      <c r="I1744" s="1" t="inlineStr">
        <is>
          <t>-</t>
        </is>
      </c>
      <c r="J1744" t="n">
        <v>59.95</v>
      </c>
      <c r="K1744" t="n">
        <v>59.95</v>
      </c>
      <c r="L1744" t="n">
        <v>59.95</v>
      </c>
    </row>
    <row r="1745">
      <c r="A1745" s="1">
        <f>Hyperlink("https://www.wallsandfloors.co.uk/jackoboard-wall-niche-350x250x100","Product")</f>
        <v/>
      </c>
      <c r="B1745" s="1" t="inlineStr">
        <is>
          <t>42704</t>
        </is>
      </c>
      <c r="C1745" s="1" t="inlineStr">
        <is>
          <t>Jackoboard Wall Niche 350x250x100mm</t>
        </is>
      </c>
      <c r="D1745" s="1" t="inlineStr">
        <is>
          <t>350x250x100mm</t>
        </is>
      </c>
      <c r="E1745" s="1" t="n">
        <v>58.95</v>
      </c>
      <c r="F1745" s="1" t="n">
        <v>0</v>
      </c>
      <c r="G1745" s="1" t="inlineStr">
        <is>
          <t>Unit</t>
        </is>
      </c>
      <c r="H1745" s="1" t="inlineStr">
        <is>
          <t>XPS Foam</t>
        </is>
      </c>
      <c r="I1745" s="1" t="inlineStr">
        <is>
          <t>-</t>
        </is>
      </c>
      <c r="J1745" t="inlineStr"/>
      <c r="K1745" t="n">
        <v>58.95</v>
      </c>
      <c r="L1745" t="n">
        <v>58.95</v>
      </c>
    </row>
    <row r="1746">
      <c r="A1746" s="1">
        <f>Hyperlink("https://www.wallsandfloors.co.uk/jackoboard-wabo-bath-panel-850x600x30","Product")</f>
        <v/>
      </c>
      <c r="B1746" s="1" t="inlineStr">
        <is>
          <t>42701</t>
        </is>
      </c>
      <c r="C1746" s="1" t="inlineStr">
        <is>
          <t>Jackoboard Wabo Bath Panels 850x600x30mm</t>
        </is>
      </c>
      <c r="D1746" s="1" t="inlineStr">
        <is>
          <t>600x850x30mm</t>
        </is>
      </c>
      <c r="E1746" s="1" t="n">
        <v>16.95</v>
      </c>
      <c r="F1746" s="1" t="n">
        <v>0</v>
      </c>
      <c r="G1746" s="1" t="inlineStr">
        <is>
          <t>Unit</t>
        </is>
      </c>
      <c r="H1746" s="1" t="inlineStr">
        <is>
          <t>XPS Foam</t>
        </is>
      </c>
      <c r="I1746" s="1" t="inlineStr">
        <is>
          <t>-</t>
        </is>
      </c>
      <c r="J1746" t="n">
        <v>16.95</v>
      </c>
      <c r="K1746" t="n">
        <v>16.95</v>
      </c>
      <c r="L1746" t="n">
        <v>16.95</v>
      </c>
    </row>
    <row r="1747">
      <c r="A1747" s="1">
        <f>Hyperlink("https://www.wallsandfloors.co.uk/jackoboard-wabo-bath-panel-2100x600x30","Product")</f>
        <v/>
      </c>
      <c r="B1747" s="1" t="inlineStr">
        <is>
          <t>42700</t>
        </is>
      </c>
      <c r="C1747" s="1" t="inlineStr">
        <is>
          <t>Jackoboard Wabo Bath Panels 2100x600x30mm</t>
        </is>
      </c>
      <c r="D1747" s="1" t="inlineStr">
        <is>
          <t>2100x600x30mm</t>
        </is>
      </c>
      <c r="E1747" s="1" t="n">
        <v>44.95</v>
      </c>
      <c r="F1747" s="1" t="n">
        <v>0</v>
      </c>
      <c r="G1747" s="1" t="inlineStr">
        <is>
          <t>Unit</t>
        </is>
      </c>
      <c r="H1747" s="1" t="inlineStr">
        <is>
          <t>XPS Foam</t>
        </is>
      </c>
      <c r="I1747" s="1" t="inlineStr">
        <is>
          <t>-</t>
        </is>
      </c>
      <c r="J1747" t="n">
        <v>44.95</v>
      </c>
      <c r="K1747" t="n">
        <v>44.95</v>
      </c>
      <c r="L1747" t="n">
        <v>44.95</v>
      </c>
    </row>
    <row r="1748">
      <c r="A1748" s="1">
        <f>Hyperlink("https://www.wallsandfloors.co.uk/jackoboard-tilebacker-sealing-tape-10m","Product")</f>
        <v/>
      </c>
      <c r="B1748" s="1" t="inlineStr">
        <is>
          <t>42696</t>
        </is>
      </c>
      <c r="C1748" s="1" t="inlineStr">
        <is>
          <t>TileBacker Sealing Tape 10m</t>
        </is>
      </c>
      <c r="D1748" s="1" t="inlineStr">
        <is>
          <t>10m</t>
        </is>
      </c>
      <c r="E1748" s="1" t="n">
        <v>18.95</v>
      </c>
      <c r="F1748" s="1" t="n">
        <v>0</v>
      </c>
      <c r="G1748" s="1" t="inlineStr">
        <is>
          <t>Unit</t>
        </is>
      </c>
      <c r="H1748" s="1" t="inlineStr">
        <is>
          <t>-</t>
        </is>
      </c>
      <c r="I1748" s="1" t="inlineStr">
        <is>
          <t>-</t>
        </is>
      </c>
      <c r="J1748" t="inlineStr"/>
      <c r="K1748" t="n">
        <v>18.95</v>
      </c>
      <c r="L1748" t="n">
        <v>18.95</v>
      </c>
    </row>
    <row r="1749">
      <c r="A1749" s="1">
        <f>Hyperlink("https://www.wallsandfloors.co.uk/jackoboard-steam-and-wetroom-bench","Product")</f>
        <v/>
      </c>
      <c r="B1749" s="1" t="inlineStr">
        <is>
          <t>42703</t>
        </is>
      </c>
      <c r="C1749" s="1" t="inlineStr">
        <is>
          <t>Jackoboard Steam and Wet Room Bench</t>
        </is>
      </c>
      <c r="D1749" s="1" t="inlineStr">
        <is>
          <t>-</t>
        </is>
      </c>
      <c r="E1749" s="1" t="n">
        <v>249.95</v>
      </c>
      <c r="F1749" s="1" t="n">
        <v>0</v>
      </c>
      <c r="G1749" s="1" t="inlineStr">
        <is>
          <t>Unit</t>
        </is>
      </c>
      <c r="H1749" s="1" t="inlineStr">
        <is>
          <t>XPS Foam</t>
        </is>
      </c>
      <c r="I1749" s="1" t="inlineStr">
        <is>
          <t>-</t>
        </is>
      </c>
      <c r="J1749" t="n">
        <v>249.95</v>
      </c>
      <c r="K1749" t="n">
        <v>249.95</v>
      </c>
      <c r="L1749" t="n">
        <v>249.95</v>
      </c>
    </row>
    <row r="1750">
      <c r="A1750" s="1">
        <f>Hyperlink("https://www.wallsandfloors.co.uk/jackoboard-shower-tray-installation-kit","Product")</f>
        <v/>
      </c>
      <c r="B1750" s="1" t="inlineStr">
        <is>
          <t>42699</t>
        </is>
      </c>
      <c r="C1750" s="1" t="inlineStr">
        <is>
          <t>TileBacker Shower Tray Installation Kit</t>
        </is>
      </c>
      <c r="D1750" s="1" t="inlineStr">
        <is>
          <t>-</t>
        </is>
      </c>
      <c r="E1750" s="1" t="n">
        <v>64.95</v>
      </c>
      <c r="F1750" s="1" t="n">
        <v>0</v>
      </c>
      <c r="G1750" s="1" t="inlineStr">
        <is>
          <t>Unit</t>
        </is>
      </c>
      <c r="H1750" s="1" t="inlineStr">
        <is>
          <t>Accessories</t>
        </is>
      </c>
      <c r="I1750" s="1" t="inlineStr">
        <is>
          <t>-</t>
        </is>
      </c>
      <c r="J1750" t="n">
        <v>64.95</v>
      </c>
      <c r="K1750" t="n">
        <v>64.95</v>
      </c>
      <c r="L1750" t="n">
        <v>64.95</v>
      </c>
    </row>
    <row r="1751">
      <c r="A1751" s="1">
        <f>Hyperlink("https://www.wallsandfloors.co.uk/jackoboard-shower-tray-drains-aqualine","Product")</f>
        <v/>
      </c>
      <c r="B1751" s="1" t="inlineStr">
        <is>
          <t>42697</t>
        </is>
      </c>
      <c r="C1751" s="1" t="inlineStr">
        <is>
          <t>Jackoboard Shower Tray Aqualine Drains</t>
        </is>
      </c>
      <c r="D1751" s="1" t="inlineStr">
        <is>
          <t>Horizontal</t>
        </is>
      </c>
      <c r="E1751" s="1" t="n">
        <v>55.95</v>
      </c>
      <c r="F1751" s="1" t="n">
        <v>0</v>
      </c>
      <c r="G1751" s="1" t="inlineStr">
        <is>
          <t>Unit</t>
        </is>
      </c>
      <c r="H1751" s="1" t="inlineStr">
        <is>
          <t>P.V.C.</t>
        </is>
      </c>
      <c r="I1751" s="1" t="inlineStr">
        <is>
          <t>-</t>
        </is>
      </c>
      <c r="J1751" t="inlineStr"/>
      <c r="K1751" t="n">
        <v>55.95</v>
      </c>
      <c r="L1751" t="n">
        <v>55.95</v>
      </c>
    </row>
    <row r="1752">
      <c r="A1752" s="1">
        <f>Hyperlink("https://www.wallsandfloors.co.uk/jackoboard-sealing-internal-corner","Product")</f>
        <v/>
      </c>
      <c r="B1752" s="1" t="inlineStr">
        <is>
          <t>42795</t>
        </is>
      </c>
      <c r="C1752" s="1" t="inlineStr">
        <is>
          <t>TileBacker Sealing Internal Corner</t>
        </is>
      </c>
      <c r="D1752" s="1" t="inlineStr">
        <is>
          <t>-</t>
        </is>
      </c>
      <c r="E1752" s="1" t="n">
        <v>4.95</v>
      </c>
      <c r="F1752" s="1" t="n">
        <v>0</v>
      </c>
      <c r="G1752" s="1" t="inlineStr"/>
      <c r="H1752" s="1" t="inlineStr">
        <is>
          <t>-</t>
        </is>
      </c>
      <c r="I1752" s="1" t="inlineStr">
        <is>
          <t>-</t>
        </is>
      </c>
      <c r="J1752" t="n">
        <v>4.95</v>
      </c>
      <c r="K1752" t="n">
        <v>4.95</v>
      </c>
      <c r="L1752" t="n">
        <v>4.95</v>
      </c>
    </row>
    <row r="1753">
      <c r="A1753" s="1">
        <f>Hyperlink("https://www.wallsandfloors.co.uk/jackoboard-plano-backer-board-1200x600x6","Product")</f>
        <v/>
      </c>
      <c r="B1753" s="1" t="inlineStr">
        <is>
          <t>42688</t>
        </is>
      </c>
      <c r="C1753" s="1" t="inlineStr">
        <is>
          <t>Jackoboard Plano - Tilebacker Boards 1200x600x6mm</t>
        </is>
      </c>
      <c r="D1753" s="1" t="inlineStr">
        <is>
          <t>1200x600x6mm</t>
        </is>
      </c>
      <c r="E1753" s="1" t="n">
        <v>11.95</v>
      </c>
      <c r="F1753" s="1" t="n">
        <v>0</v>
      </c>
      <c r="G1753" s="1" t="inlineStr">
        <is>
          <t>Unit</t>
        </is>
      </c>
      <c r="H1753" s="1" t="inlineStr">
        <is>
          <t>XPS Foam</t>
        </is>
      </c>
      <c r="I1753" s="1" t="inlineStr">
        <is>
          <t>-</t>
        </is>
      </c>
      <c r="J1753" t="n">
        <v>11.95</v>
      </c>
      <c r="K1753" t="n">
        <v>11.95</v>
      </c>
      <c r="L1753" t="n">
        <v>11.95</v>
      </c>
    </row>
    <row r="1754">
      <c r="A1754" s="1">
        <f>Hyperlink("https://www.wallsandfloors.co.uk/jackoboard-plano-backer-board-1200x600x12","Product")</f>
        <v/>
      </c>
      <c r="B1754" s="1" t="inlineStr">
        <is>
          <t>42687</t>
        </is>
      </c>
      <c r="C1754" s="1" t="inlineStr">
        <is>
          <t>Jackoboard Plano - Tilebacker Boards 1200x600x12mm</t>
        </is>
      </c>
      <c r="D1754" s="1" t="inlineStr">
        <is>
          <t>1200x600x12mm</t>
        </is>
      </c>
      <c r="E1754" s="1" t="n">
        <v>13.95</v>
      </c>
      <c r="F1754" s="1" t="n">
        <v>0</v>
      </c>
      <c r="G1754" s="1" t="inlineStr">
        <is>
          <t>Unit</t>
        </is>
      </c>
      <c r="H1754" s="1" t="inlineStr">
        <is>
          <t>XPS Foam</t>
        </is>
      </c>
      <c r="I1754" s="1" t="inlineStr">
        <is>
          <t>-</t>
        </is>
      </c>
      <c r="J1754" t="n">
        <v>13.95</v>
      </c>
      <c r="K1754" t="n">
        <v>13.95</v>
      </c>
      <c r="L1754" t="n">
        <v>13.95</v>
      </c>
    </row>
    <row r="1755">
      <c r="A1755" s="1">
        <f>Hyperlink("https://www.wallsandfloors.co.uk/jackoboard-galvanised-fixing-washers","Product")</f>
        <v/>
      </c>
      <c r="B1755" s="1" t="inlineStr">
        <is>
          <t>42794</t>
        </is>
      </c>
      <c r="C1755" s="1" t="inlineStr">
        <is>
          <t>TileBacker Galvanised Fixing Washers (Pack of 100)</t>
        </is>
      </c>
      <c r="D1755" s="1" t="inlineStr">
        <is>
          <t>-</t>
        </is>
      </c>
      <c r="E1755" s="1" t="n">
        <v>18.95</v>
      </c>
      <c r="F1755" s="1" t="n">
        <v>0</v>
      </c>
      <c r="G1755" s="1" t="inlineStr">
        <is>
          <t>Unit</t>
        </is>
      </c>
      <c r="H1755" s="1" t="inlineStr">
        <is>
          <t>-</t>
        </is>
      </c>
      <c r="I1755" s="1" t="inlineStr">
        <is>
          <t>-</t>
        </is>
      </c>
      <c r="J1755" t="n">
        <v>18.95</v>
      </c>
      <c r="K1755" t="n">
        <v>18.95</v>
      </c>
      <c r="L1755" t="n">
        <v>18.95</v>
      </c>
    </row>
    <row r="1756">
      <c r="A1756" s="1">
        <f>Hyperlink("https://www.wallsandfloors.co.uk/lagom-wild-apple-natural-wood-effect-tiles","Product")</f>
        <v/>
      </c>
      <c r="B1756" s="1" t="inlineStr">
        <is>
          <t>35043</t>
        </is>
      </c>
      <c r="C1756" s="1" t="inlineStr">
        <is>
          <t>Lagom Wild Apple Natural Wood Effect Tiles</t>
        </is>
      </c>
      <c r="D1756" s="1" t="inlineStr">
        <is>
          <t>1200x233x10.8mm</t>
        </is>
      </c>
      <c r="E1756" s="1" t="n">
        <v>25.95</v>
      </c>
      <c r="F1756" s="1" t="n">
        <v>0</v>
      </c>
      <c r="G1756" s="1" t="inlineStr">
        <is>
          <t>SQM</t>
        </is>
      </c>
      <c r="H1756" s="1" t="inlineStr">
        <is>
          <t>Porcelain</t>
        </is>
      </c>
      <c r="I1756" s="1" t="inlineStr">
        <is>
          <t>Matt</t>
        </is>
      </c>
      <c r="J1756" t="n">
        <v>25.95</v>
      </c>
      <c r="K1756" t="n">
        <v>25.95</v>
      </c>
      <c r="L1756" t="n">
        <v>25.95</v>
      </c>
    </row>
    <row r="1757">
      <c r="A1757" s="1">
        <f>Hyperlink("https://www.wallsandfloors.co.uk/hoxley-nordic-tiles","Product")</f>
        <v/>
      </c>
      <c r="B1757" s="1" t="inlineStr">
        <is>
          <t>39105</t>
        </is>
      </c>
      <c r="C1757" s="1" t="inlineStr">
        <is>
          <t>Hoxley Nordic Tiles</t>
        </is>
      </c>
      <c r="D1757" s="1" t="inlineStr">
        <is>
          <t>200x200x8mm</t>
        </is>
      </c>
      <c r="E1757" s="1" t="n">
        <v>35.95</v>
      </c>
      <c r="F1757" s="1" t="n">
        <v>0</v>
      </c>
      <c r="G1757" s="1" t="inlineStr">
        <is>
          <t>SQM</t>
        </is>
      </c>
      <c r="H1757" s="1" t="inlineStr">
        <is>
          <t>Ceramic</t>
        </is>
      </c>
      <c r="I1757" s="1" t="inlineStr">
        <is>
          <t>Matt</t>
        </is>
      </c>
      <c r="J1757" t="n">
        <v>35.95</v>
      </c>
      <c r="K1757" t="n">
        <v>35.95</v>
      </c>
      <c r="L1757" t="n">
        <v>35.95</v>
      </c>
    </row>
    <row r="1758">
      <c r="A1758" s="1">
        <f>Hyperlink("https://www.wallsandfloors.co.uk/honey-wood-effect-tiles","Product")</f>
        <v/>
      </c>
      <c r="B1758" s="1" t="inlineStr">
        <is>
          <t>13857</t>
        </is>
      </c>
      <c r="C1758" s="1" t="inlineStr">
        <is>
          <t>Elder Honey Wood Effect Tiles</t>
        </is>
      </c>
      <c r="D1758" s="1" t="inlineStr">
        <is>
          <t>950x240x9mm</t>
        </is>
      </c>
      <c r="E1758" s="1" t="n">
        <v>17.95</v>
      </c>
      <c r="F1758" s="1" t="n">
        <v>0</v>
      </c>
      <c r="G1758" s="1" t="inlineStr">
        <is>
          <t>SQM</t>
        </is>
      </c>
      <c r="H1758" s="1" t="inlineStr">
        <is>
          <t>Ceramic</t>
        </is>
      </c>
      <c r="I1758" s="1" t="inlineStr">
        <is>
          <t>Matt</t>
        </is>
      </c>
      <c r="J1758" t="inlineStr"/>
      <c r="K1758" t="inlineStr"/>
      <c r="L1758" t="n">
        <v>17.95</v>
      </c>
    </row>
    <row r="1759">
      <c r="A1759" s="1">
        <f>Hyperlink("https://www.wallsandfloors.co.uk/hardrock-tiles-natural-beige-speckle-tiles","Product")</f>
        <v/>
      </c>
      <c r="B1759" s="1" t="inlineStr">
        <is>
          <t>11389</t>
        </is>
      </c>
      <c r="C1759" s="1" t="inlineStr">
        <is>
          <t>Hardrock Natural Matt Beige Speckle Tiles</t>
        </is>
      </c>
      <c r="D1759" s="1" t="inlineStr">
        <is>
          <t>300x300x9mm</t>
        </is>
      </c>
      <c r="E1759" s="1" t="n">
        <v>20.95</v>
      </c>
      <c r="F1759" s="1" t="n">
        <v>0</v>
      </c>
      <c r="G1759" s="1" t="inlineStr">
        <is>
          <t>SQM</t>
        </is>
      </c>
      <c r="H1759" s="1" t="inlineStr">
        <is>
          <t>Porcelain</t>
        </is>
      </c>
      <c r="I1759" s="1" t="inlineStr">
        <is>
          <t>Matt</t>
        </is>
      </c>
      <c r="J1759" t="n">
        <v>20.95</v>
      </c>
      <c r="K1759" t="inlineStr"/>
      <c r="L1759" t="n">
        <v>20.95</v>
      </c>
    </row>
    <row r="1760">
      <c r="A1760" s="1">
        <f>Hyperlink("https://www.wallsandfloors.co.uk/hardrock-tiles-mid-grey-speckle-steptread-tiles","Product")</f>
        <v/>
      </c>
      <c r="B1760" s="1" t="inlineStr">
        <is>
          <t>11405</t>
        </is>
      </c>
      <c r="C1760" s="1" t="inlineStr">
        <is>
          <t>Mid Grey Speckle Steptread Tiles</t>
        </is>
      </c>
      <c r="D1760" s="1" t="inlineStr">
        <is>
          <t>300x300x9mm</t>
        </is>
      </c>
      <c r="E1760" s="1" t="n">
        <v>9.949999999999999</v>
      </c>
      <c r="F1760" s="1" t="n">
        <v>0</v>
      </c>
      <c r="G1760" s="1" t="inlineStr">
        <is>
          <t>Tile</t>
        </is>
      </c>
      <c r="H1760" s="1" t="inlineStr">
        <is>
          <t>Porcelain</t>
        </is>
      </c>
      <c r="I1760" s="1" t="inlineStr">
        <is>
          <t>Matt</t>
        </is>
      </c>
      <c r="J1760" t="n">
        <v>9.949999999999999</v>
      </c>
      <c r="K1760" t="n">
        <v>9.949999999999999</v>
      </c>
      <c r="L1760" t="n">
        <v>9.949999999999999</v>
      </c>
    </row>
    <row r="1761">
      <c r="A1761" s="1">
        <f>Hyperlink("https://www.wallsandfloors.co.uk/hardrock-tiles-light-grey-speckle-steptread-tiles","Product")</f>
        <v/>
      </c>
      <c r="B1761" s="1" t="inlineStr">
        <is>
          <t>11404</t>
        </is>
      </c>
      <c r="C1761" s="1" t="inlineStr">
        <is>
          <t>Light Grey Speckle Steptread Tiles</t>
        </is>
      </c>
      <c r="D1761" s="1" t="inlineStr">
        <is>
          <t>300x300x9mm</t>
        </is>
      </c>
      <c r="E1761" s="1" t="n">
        <v>9.949999999999999</v>
      </c>
      <c r="F1761" s="1" t="n">
        <v>0</v>
      </c>
      <c r="G1761" s="1" t="inlineStr">
        <is>
          <t>Tile</t>
        </is>
      </c>
      <c r="H1761" s="1" t="inlineStr">
        <is>
          <t>Porcelain</t>
        </is>
      </c>
      <c r="I1761" s="1" t="inlineStr">
        <is>
          <t>Matt</t>
        </is>
      </c>
      <c r="J1761" t="inlineStr"/>
      <c r="K1761" t="n">
        <v>9.949999999999999</v>
      </c>
      <c r="L1761" t="n">
        <v>9.949999999999999</v>
      </c>
    </row>
    <row r="1762">
      <c r="A1762" s="1">
        <f>Hyperlink("https://www.wallsandfloors.co.uk/hardrock-tiles-dark-grey-speckle-steptread-tiles","Product")</f>
        <v/>
      </c>
      <c r="B1762" s="1" t="inlineStr">
        <is>
          <t>11403</t>
        </is>
      </c>
      <c r="C1762" s="1" t="inlineStr">
        <is>
          <t>Dark Grey Speckle Steptread Tiles</t>
        </is>
      </c>
      <c r="D1762" s="1" t="inlineStr">
        <is>
          <t>300x300x9mm</t>
        </is>
      </c>
      <c r="E1762" s="1" t="n">
        <v>9.949999999999999</v>
      </c>
      <c r="F1762" s="1" t="n">
        <v>0</v>
      </c>
      <c r="G1762" s="1" t="inlineStr">
        <is>
          <t>Tile</t>
        </is>
      </c>
      <c r="H1762" s="1" t="inlineStr">
        <is>
          <t>Porcelain</t>
        </is>
      </c>
      <c r="I1762" s="1" t="inlineStr">
        <is>
          <t>Matt</t>
        </is>
      </c>
      <c r="J1762" t="n">
        <v>9.949999999999999</v>
      </c>
      <c r="K1762" t="inlineStr"/>
      <c r="L1762" t="n">
        <v>9.949999999999999</v>
      </c>
    </row>
    <row r="1763">
      <c r="A1763" s="1">
        <f>Hyperlink("https://www.wallsandfloors.co.uk/hardrock-tiles-dark-grey-speckle-skirting-tiles","Product")</f>
        <v/>
      </c>
      <c r="B1763" s="1" t="inlineStr">
        <is>
          <t>11399</t>
        </is>
      </c>
      <c r="C1763" s="1" t="inlineStr">
        <is>
          <t>Dark Grey Speckle Skirting Tiles</t>
        </is>
      </c>
      <c r="D1763" s="1" t="inlineStr">
        <is>
          <t>300x90x9mm</t>
        </is>
      </c>
      <c r="E1763" s="1" t="n">
        <v>6.95</v>
      </c>
      <c r="F1763" s="1" t="n">
        <v>0</v>
      </c>
      <c r="G1763" s="1" t="inlineStr">
        <is>
          <t>Tile</t>
        </is>
      </c>
      <c r="H1763" s="1" t="inlineStr">
        <is>
          <t>Porcelain</t>
        </is>
      </c>
      <c r="I1763" s="1" t="inlineStr">
        <is>
          <t>Matt</t>
        </is>
      </c>
      <c r="J1763" t="n">
        <v>6.95</v>
      </c>
      <c r="K1763" t="inlineStr"/>
      <c r="L1763" t="n">
        <v>6.95</v>
      </c>
    </row>
    <row r="1764">
      <c r="A1764" s="1">
        <f>Hyperlink("https://www.wallsandfloors.co.uk/hardiebacker-score-and-snap-knife","Product")</f>
        <v/>
      </c>
      <c r="B1764" s="1" t="inlineStr">
        <is>
          <t>38110</t>
        </is>
      </c>
      <c r="C1764" s="1" t="inlineStr">
        <is>
          <t>Hardiebacker Score and Snap Knife</t>
        </is>
      </c>
      <c r="D1764" s="1" t="inlineStr">
        <is>
          <t>One Size</t>
        </is>
      </c>
      <c r="E1764" s="1" t="n">
        <v>6.95</v>
      </c>
      <c r="F1764" s="1" t="n">
        <v>0</v>
      </c>
      <c r="G1764" s="1" t="inlineStr">
        <is>
          <t>Unit</t>
        </is>
      </c>
      <c r="H1764" s="1" t="inlineStr">
        <is>
          <t>Accessories</t>
        </is>
      </c>
      <c r="I1764" s="1" t="inlineStr">
        <is>
          <t>-</t>
        </is>
      </c>
      <c r="J1764" t="n">
        <v>6.95</v>
      </c>
      <c r="K1764" t="inlineStr"/>
      <c r="L1764" t="n">
        <v>6.95</v>
      </c>
    </row>
    <row r="1765">
      <c r="A1765" s="1">
        <f>Hyperlink("https://www.wallsandfloors.co.uk/hardiebacker-fibatape","Product")</f>
        <v/>
      </c>
      <c r="B1765" s="1" t="inlineStr">
        <is>
          <t>28226</t>
        </is>
      </c>
      <c r="C1765" s="1" t="inlineStr">
        <is>
          <t>Hardiebacker Fibatape</t>
        </is>
      </c>
      <c r="D1765" s="1" t="inlineStr">
        <is>
          <t>One Size</t>
        </is>
      </c>
      <c r="E1765" s="1" t="n">
        <v>5.95</v>
      </c>
      <c r="F1765" s="1" t="n">
        <v>0</v>
      </c>
      <c r="G1765" s="1" t="inlineStr">
        <is>
          <t>Unit</t>
        </is>
      </c>
      <c r="H1765" s="1" t="inlineStr">
        <is>
          <t>Accessories</t>
        </is>
      </c>
      <c r="I1765" s="1" t="inlineStr">
        <is>
          <t>-</t>
        </is>
      </c>
      <c r="J1765" t="n">
        <v>5.95</v>
      </c>
      <c r="K1765" t="n">
        <v>5.95</v>
      </c>
      <c r="L1765" t="n">
        <v>5.95</v>
      </c>
    </row>
    <row r="1766">
      <c r="A1766" s="1">
        <f>Hyperlink("https://www.wallsandfloors.co.uk/hardiebacker-32mm-screws","Product")</f>
        <v/>
      </c>
      <c r="B1766" s="1" t="inlineStr">
        <is>
          <t>38109</t>
        </is>
      </c>
      <c r="C1766" s="1" t="inlineStr">
        <is>
          <t>Hardiebacker 32mm Screws</t>
        </is>
      </c>
      <c r="D1766" s="1" t="inlineStr">
        <is>
          <t>One Size</t>
        </is>
      </c>
      <c r="E1766" s="1" t="n">
        <v>7.95</v>
      </c>
      <c r="F1766" s="1" t="n">
        <v>0</v>
      </c>
      <c r="G1766" s="1" t="inlineStr"/>
      <c r="H1766" s="1" t="inlineStr">
        <is>
          <t>Accessories</t>
        </is>
      </c>
      <c r="I1766" s="1" t="inlineStr">
        <is>
          <t>-</t>
        </is>
      </c>
      <c r="J1766" t="inlineStr"/>
      <c r="K1766" t="inlineStr"/>
      <c r="L1766" t="n">
        <v>7.95</v>
      </c>
    </row>
    <row r="1767">
      <c r="A1767" s="1">
        <f>Hyperlink("https://www.wallsandfloors.co.uk/hardiebacker-25mm-screws","Product")</f>
        <v/>
      </c>
      <c r="B1767" s="1" t="inlineStr">
        <is>
          <t>38108</t>
        </is>
      </c>
      <c r="C1767" s="1" t="inlineStr">
        <is>
          <t>Hardiebacker 25mm Screws</t>
        </is>
      </c>
      <c r="D1767" s="1" t="inlineStr">
        <is>
          <t>One Size</t>
        </is>
      </c>
      <c r="E1767" s="1" t="n">
        <v>6.95</v>
      </c>
      <c r="F1767" s="1" t="n">
        <v>0</v>
      </c>
      <c r="G1767" s="1" t="inlineStr">
        <is>
          <t>Unit</t>
        </is>
      </c>
      <c r="H1767" s="1" t="inlineStr">
        <is>
          <t>Accessories</t>
        </is>
      </c>
      <c r="I1767" s="1" t="inlineStr">
        <is>
          <t>-</t>
        </is>
      </c>
      <c r="J1767" t="inlineStr"/>
      <c r="K1767" t="n">
        <v>6.95</v>
      </c>
      <c r="L1767" t="n">
        <v>6.95</v>
      </c>
    </row>
    <row r="1768">
      <c r="A1768" s="1">
        <f>Hyperlink("https://www.wallsandfloors.co.uk/hardibacker-board-james-hardie-tile-backer-board-9317","Product")</f>
        <v/>
      </c>
      <c r="B1768" s="1" t="inlineStr">
        <is>
          <t>9317</t>
        </is>
      </c>
      <c r="C1768" s="1" t="inlineStr">
        <is>
          <t>Tile Backer Board</t>
        </is>
      </c>
      <c r="D1768" s="1" t="inlineStr">
        <is>
          <t>1.2mx0.8mx12mm</t>
        </is>
      </c>
      <c r="E1768" s="1" t="n">
        <v>13.95</v>
      </c>
      <c r="F1768" s="1" t="n">
        <v>0</v>
      </c>
      <c r="G1768" s="1" t="inlineStr">
        <is>
          <t>Unit</t>
        </is>
      </c>
      <c r="H1768" s="1" t="inlineStr">
        <is>
          <t>Tile/Insulation Board</t>
        </is>
      </c>
      <c r="I1768" s="1" t="inlineStr">
        <is>
          <t>-</t>
        </is>
      </c>
      <c r="J1768" t="n">
        <v>13.95</v>
      </c>
      <c r="K1768" t="inlineStr"/>
      <c r="L1768" t="n">
        <v>13.95</v>
      </c>
    </row>
    <row r="1769">
      <c r="A1769" s="1">
        <f>Hyperlink("https://www.wallsandfloors.co.uk/hardibacker-board-james-hardie-tile-backer-board","Product")</f>
        <v/>
      </c>
      <c r="B1769" s="1" t="inlineStr">
        <is>
          <t>9109</t>
        </is>
      </c>
      <c r="C1769" s="1" t="inlineStr">
        <is>
          <t>Tile Backer Board</t>
        </is>
      </c>
      <c r="D1769" s="1" t="inlineStr">
        <is>
          <t>1.2mx0.8mx6mm</t>
        </is>
      </c>
      <c r="E1769" s="1" t="n">
        <v>12.95</v>
      </c>
      <c r="F1769" s="1" t="n">
        <v>0</v>
      </c>
      <c r="G1769" s="1" t="inlineStr">
        <is>
          <t>Unit</t>
        </is>
      </c>
      <c r="H1769" s="1" t="inlineStr">
        <is>
          <t>Tile/Insulation Board</t>
        </is>
      </c>
      <c r="I1769" s="1" t="inlineStr">
        <is>
          <t>-</t>
        </is>
      </c>
      <c r="J1769" t="n">
        <v>12.95</v>
      </c>
      <c r="K1769" t="n">
        <v>12.95</v>
      </c>
      <c r="L1769" t="n">
        <v>12.95</v>
      </c>
    </row>
    <row r="1770">
      <c r="A1770" s="1">
        <f>Hyperlink("https://www.wallsandfloors.co.uk/harbour-russet-decor-tiles","Product")</f>
        <v/>
      </c>
      <c r="B1770" s="1" t="inlineStr">
        <is>
          <t>44209</t>
        </is>
      </c>
      <c r="C1770" s="1" t="inlineStr">
        <is>
          <t>Harbour Russet Décor Tiles</t>
        </is>
      </c>
      <c r="D1770" s="1" t="inlineStr">
        <is>
          <t>330x330x9mm</t>
        </is>
      </c>
      <c r="E1770" s="1" t="n">
        <v>27.95</v>
      </c>
      <c r="F1770" s="1" t="n">
        <v>0</v>
      </c>
      <c r="G1770" s="1" t="inlineStr">
        <is>
          <t>SQM</t>
        </is>
      </c>
      <c r="H1770" s="1" t="inlineStr">
        <is>
          <t>Porcelain</t>
        </is>
      </c>
      <c r="I1770" s="1" t="inlineStr">
        <is>
          <t>Matt</t>
        </is>
      </c>
      <c r="J1770" t="inlineStr"/>
      <c r="K1770" t="inlineStr"/>
      <c r="L1770" t="n">
        <v>27.95</v>
      </c>
    </row>
    <row r="1771">
      <c r="A1771" s="1">
        <f>Hyperlink("https://www.wallsandfloors.co.uk/harbour-night-tiles","Product")</f>
        <v/>
      </c>
      <c r="B1771" s="1" t="inlineStr">
        <is>
          <t>44101</t>
        </is>
      </c>
      <c r="C1771" s="1" t="inlineStr">
        <is>
          <t>Harbour Night Tiles</t>
        </is>
      </c>
      <c r="D1771" s="1" t="inlineStr">
        <is>
          <t>330x330x9mm</t>
        </is>
      </c>
      <c r="E1771" s="1" t="n">
        <v>25.95</v>
      </c>
      <c r="F1771" s="1" t="n">
        <v>0</v>
      </c>
      <c r="G1771" s="1" t="inlineStr">
        <is>
          <t>SQM</t>
        </is>
      </c>
      <c r="H1771" s="1" t="inlineStr">
        <is>
          <t>Porcelain</t>
        </is>
      </c>
      <c r="I1771" s="1" t="inlineStr">
        <is>
          <t>Matt</t>
        </is>
      </c>
      <c r="J1771" t="inlineStr"/>
      <c r="K1771" t="n">
        <v>25.95</v>
      </c>
      <c r="L1771" t="n">
        <v>25.95</v>
      </c>
    </row>
    <row r="1772">
      <c r="A1772" s="1">
        <f>Hyperlink("https://www.wallsandfloors.co.uk/harbour-night-decor-tiles","Product")</f>
        <v/>
      </c>
      <c r="B1772" s="1" t="inlineStr">
        <is>
          <t>44208</t>
        </is>
      </c>
      <c r="C1772" s="1" t="inlineStr">
        <is>
          <t>Harbour Night Décor Tiles</t>
        </is>
      </c>
      <c r="D1772" s="1" t="inlineStr">
        <is>
          <t>330x330x9mm</t>
        </is>
      </c>
      <c r="E1772" s="1" t="n">
        <v>27.95</v>
      </c>
      <c r="F1772" s="1" t="n">
        <v>0</v>
      </c>
      <c r="G1772" s="1" t="inlineStr">
        <is>
          <t>SQM</t>
        </is>
      </c>
      <c r="H1772" s="1" t="inlineStr">
        <is>
          <t>Porcelain</t>
        </is>
      </c>
      <c r="I1772" s="1" t="inlineStr">
        <is>
          <t>Matt</t>
        </is>
      </c>
      <c r="J1772" t="inlineStr"/>
      <c r="K1772" t="n">
        <v>27.95</v>
      </c>
      <c r="L1772" t="n">
        <v>27.95</v>
      </c>
    </row>
    <row r="1773">
      <c r="A1773" s="1">
        <f>Hyperlink("https://www.wallsandfloors.co.uk/halycon-marble-effect-tiles-dawn-beige-polished-59x59-tiles","Product")</f>
        <v/>
      </c>
      <c r="B1773" s="1" t="inlineStr">
        <is>
          <t>15571</t>
        </is>
      </c>
      <c r="C1773" s="1" t="inlineStr">
        <is>
          <t>Dawn Beige Polished 59x59 Tiles</t>
        </is>
      </c>
      <c r="D1773" s="1" t="inlineStr">
        <is>
          <t>590x590x10mm</t>
        </is>
      </c>
      <c r="E1773" s="1" t="n">
        <v>20.5</v>
      </c>
      <c r="F1773" s="1" t="n">
        <v>0</v>
      </c>
      <c r="G1773" s="1" t="inlineStr">
        <is>
          <t>SQM</t>
        </is>
      </c>
      <c r="H1773" s="1" t="inlineStr">
        <is>
          <t>Porcelain</t>
        </is>
      </c>
      <c r="I1773" s="1" t="inlineStr">
        <is>
          <t>Polished</t>
        </is>
      </c>
      <c r="J1773" t="n">
        <v>20.5</v>
      </c>
      <c r="K1773" t="inlineStr"/>
      <c r="L1773" t="n">
        <v>20.5</v>
      </c>
    </row>
    <row r="1774">
      <c r="A1774" s="1">
        <f>Hyperlink("https://www.wallsandfloors.co.uk/halite-polished-tiles-ivory-tiles","Product")</f>
        <v/>
      </c>
      <c r="B1774" s="1" t="inlineStr">
        <is>
          <t>12661</t>
        </is>
      </c>
      <c r="C1774" s="1" t="inlineStr">
        <is>
          <t>Halite Polished Porcelain Ivory Tiles</t>
        </is>
      </c>
      <c r="D1774" s="1" t="inlineStr">
        <is>
          <t>600x600x9mm</t>
        </is>
      </c>
      <c r="E1774" s="1" t="n">
        <v>20.35</v>
      </c>
      <c r="F1774" s="1" t="n">
        <v>0</v>
      </c>
      <c r="G1774" s="1" t="inlineStr">
        <is>
          <t>SQM</t>
        </is>
      </c>
      <c r="H1774" s="1" t="inlineStr">
        <is>
          <t>Porcelain</t>
        </is>
      </c>
      <c r="I1774" s="1" t="inlineStr">
        <is>
          <t>Polished</t>
        </is>
      </c>
      <c r="J1774" t="n">
        <v>20.35</v>
      </c>
      <c r="K1774" t="n">
        <v>20.35</v>
      </c>
      <c r="L1774" t="n">
        <v>20.35</v>
      </c>
    </row>
    <row r="1775">
      <c r="A1775" s="1">
        <f>Hyperlink("https://www.wallsandfloors.co.uk/halite-polished-tiles-cream-tiles","Product")</f>
        <v/>
      </c>
      <c r="B1775" s="1" t="inlineStr">
        <is>
          <t>12660</t>
        </is>
      </c>
      <c r="C1775" s="1" t="inlineStr">
        <is>
          <t>Halite Polished Porcelain Cream Tiles</t>
        </is>
      </c>
      <c r="D1775" s="1" t="inlineStr">
        <is>
          <t>600x600x9mm</t>
        </is>
      </c>
      <c r="E1775" s="1" t="n">
        <v>20.35</v>
      </c>
      <c r="F1775" s="1" t="n">
        <v>0</v>
      </c>
      <c r="G1775" s="1" t="inlineStr">
        <is>
          <t>SQM</t>
        </is>
      </c>
      <c r="H1775" s="1" t="inlineStr">
        <is>
          <t>Porcelain</t>
        </is>
      </c>
      <c r="I1775" s="1" t="inlineStr">
        <is>
          <t>Polished</t>
        </is>
      </c>
      <c r="J1775" t="inlineStr"/>
      <c r="K1775" t="n">
        <v>20.35</v>
      </c>
      <c r="L1775" t="n">
        <v>20.35</v>
      </c>
    </row>
    <row r="1776">
      <c r="A1776" s="1">
        <f>Hyperlink("https://www.wallsandfloors.co.uk/gris-tiles","Product")</f>
        <v/>
      </c>
      <c r="B1776" s="1" t="inlineStr">
        <is>
          <t>36200</t>
        </is>
      </c>
      <c r="C1776" s="1" t="inlineStr">
        <is>
          <t>Brix Gris Linear Mosaic Effect Tiles</t>
        </is>
      </c>
      <c r="D1776" s="1" t="inlineStr">
        <is>
          <t>548x330x8mm</t>
        </is>
      </c>
      <c r="E1776" s="1" t="n">
        <v>17.95</v>
      </c>
      <c r="F1776" s="1" t="n">
        <v>0</v>
      </c>
      <c r="G1776" s="1" t="inlineStr"/>
      <c r="H1776" s="1" t="inlineStr">
        <is>
          <t>Ceramic</t>
        </is>
      </c>
      <c r="I1776" s="1" t="inlineStr">
        <is>
          <t>Matt</t>
        </is>
      </c>
      <c r="J1776" t="inlineStr"/>
      <c r="K1776" t="n">
        <v>17.95</v>
      </c>
      <c r="L1776" t="n">
        <v>17.95</v>
      </c>
    </row>
    <row r="1777">
      <c r="A1777" s="1">
        <f>Hyperlink("https://www.wallsandfloors.co.uk/gris-glass-brick-tiles","Product")</f>
        <v/>
      </c>
      <c r="B1777" s="1" t="inlineStr">
        <is>
          <t>37271</t>
        </is>
      </c>
      <c r="C1777" s="1" t="inlineStr">
        <is>
          <t>Gris Glass Brick Tiles</t>
        </is>
      </c>
      <c r="D1777" s="1" t="inlineStr">
        <is>
          <t>300x75x8mm</t>
        </is>
      </c>
      <c r="E1777" s="1" t="n">
        <v>1.55</v>
      </c>
      <c r="F1777" s="1" t="n">
        <v>0</v>
      </c>
      <c r="G1777" s="1" t="inlineStr">
        <is>
          <t>SQM</t>
        </is>
      </c>
      <c r="H1777" s="1" t="inlineStr">
        <is>
          <t>Glass</t>
        </is>
      </c>
      <c r="I1777" s="1" t="inlineStr">
        <is>
          <t>Gloss</t>
        </is>
      </c>
      <c r="J1777" t="n">
        <v>1.55</v>
      </c>
      <c r="K1777" t="n">
        <v>1.55</v>
      </c>
      <c r="L1777" t="n">
        <v>1.55</v>
      </c>
    </row>
    <row r="1778">
      <c r="A1778" s="1">
        <f>Hyperlink("https://www.wallsandfloors.co.uk/grey-triangle-70x70x100mm-tiles","Product")</f>
        <v/>
      </c>
      <c r="B1778" s="1" t="inlineStr">
        <is>
          <t>990195</t>
        </is>
      </c>
      <c r="C1778" s="1" t="inlineStr">
        <is>
          <t>Grey Triangle 70x70x100mm Tiles</t>
        </is>
      </c>
      <c r="D1778" s="1" t="inlineStr">
        <is>
          <t>70x70x100mm</t>
        </is>
      </c>
      <c r="E1778" s="1" t="n">
        <v>3.38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3.38</v>
      </c>
      <c r="K1778" t="n">
        <v>3.38</v>
      </c>
      <c r="L1778" t="n">
        <v>3.38</v>
      </c>
    </row>
    <row r="1779">
      <c r="A1779" s="1">
        <f>Hyperlink("https://www.wallsandfloors.co.uk/grey-triangle-35x35x50mm-tiles","Product")</f>
        <v/>
      </c>
      <c r="B1779" s="1" t="inlineStr">
        <is>
          <t>990146</t>
        </is>
      </c>
      <c r="C1779" s="1" t="inlineStr">
        <is>
          <t>Grey Triangle 35x35x50mm Tiles</t>
        </is>
      </c>
      <c r="D1779" s="1" t="inlineStr">
        <is>
          <t>35x35x50mm</t>
        </is>
      </c>
      <c r="E1779" s="1" t="n">
        <v>1.76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n">
        <v>1.76</v>
      </c>
      <c r="K1779" t="n">
        <v>1.76</v>
      </c>
      <c r="L1779" t="n">
        <v>1.76</v>
      </c>
    </row>
    <row r="1780">
      <c r="A1780" s="1">
        <f>Hyperlink("https://www.wallsandfloors.co.uk/grey-strip-150x25mm-tiles","Product")</f>
        <v/>
      </c>
      <c r="B1780" s="1" t="inlineStr">
        <is>
          <t>990245</t>
        </is>
      </c>
      <c r="C1780" s="1" t="inlineStr">
        <is>
          <t>Grey Strip Tiles</t>
        </is>
      </c>
      <c r="D1780" s="1" t="inlineStr">
        <is>
          <t>150x25x9-10mm</t>
        </is>
      </c>
      <c r="E1780" s="1" t="n">
        <v>1.13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inlineStr"/>
      <c r="K1780" t="n">
        <v>1.13</v>
      </c>
      <c r="L1780" t="n">
        <v>1.13</v>
      </c>
    </row>
    <row r="1781">
      <c r="A1781" s="1">
        <f>Hyperlink("https://www.wallsandfloors.co.uk/grey-squares-70mm-tiles","Product")</f>
        <v/>
      </c>
      <c r="B1781" s="1" t="inlineStr">
        <is>
          <t>990060</t>
        </is>
      </c>
      <c r="C1781" s="1" t="inlineStr">
        <is>
          <t>Grey Squares 70mm Tiles</t>
        </is>
      </c>
      <c r="D1781" s="1" t="inlineStr">
        <is>
          <t>70x70x9-10mm</t>
        </is>
      </c>
      <c r="E1781" s="1" t="n">
        <v>0.9399999999999999</v>
      </c>
      <c r="F1781" s="1" t="n">
        <v>0</v>
      </c>
      <c r="G1781" s="1" t="inlineStr">
        <is>
          <t>SQM</t>
        </is>
      </c>
      <c r="H1781" s="1" t="inlineStr">
        <is>
          <t>Porcelain</t>
        </is>
      </c>
      <c r="I1781" s="1" t="inlineStr">
        <is>
          <t>Matt</t>
        </is>
      </c>
      <c r="J1781" t="n">
        <v>0.9399999999999999</v>
      </c>
      <c r="K1781" t="n">
        <v>0.9399999999999999</v>
      </c>
      <c r="L1781" t="n">
        <v>0.9399999999999999</v>
      </c>
    </row>
    <row r="1782">
      <c r="A1782" s="1">
        <f>Hyperlink("https://www.wallsandfloors.co.uk/hardrock-tiles-natural-dark-grey-speckle-tiles","Product")</f>
        <v/>
      </c>
      <c r="B1782" s="1" t="inlineStr">
        <is>
          <t>11385</t>
        </is>
      </c>
      <c r="C1782" s="1" t="inlineStr">
        <is>
          <t>Natural Dark Grey Speckle Tiles</t>
        </is>
      </c>
      <c r="D1782" s="1" t="inlineStr">
        <is>
          <t>300x300x9mm</t>
        </is>
      </c>
      <c r="E1782" s="1" t="n">
        <v>20.95</v>
      </c>
      <c r="F1782" s="1" t="n">
        <v>0</v>
      </c>
      <c r="G1782" s="1" t="inlineStr">
        <is>
          <t>SQM</t>
        </is>
      </c>
      <c r="H1782" s="1" t="inlineStr">
        <is>
          <t>Porcelain</t>
        </is>
      </c>
      <c r="I1782" s="1" t="inlineStr">
        <is>
          <t>Matt</t>
        </is>
      </c>
      <c r="J1782" t="n">
        <v>20.95</v>
      </c>
      <c r="K1782" t="inlineStr"/>
      <c r="L1782" t="n">
        <v>20.95</v>
      </c>
    </row>
    <row r="1783">
      <c r="A1783" s="1">
        <f>Hyperlink("https://www.wallsandfloors.co.uk/hoxley-ginger-tiles","Product")</f>
        <v/>
      </c>
      <c r="B1783" s="1" t="inlineStr">
        <is>
          <t>39107</t>
        </is>
      </c>
      <c r="C1783" s="1" t="inlineStr">
        <is>
          <t>Hoxley Ginger Tiles</t>
        </is>
      </c>
      <c r="D1783" s="1" t="inlineStr">
        <is>
          <t>200x200x8mm</t>
        </is>
      </c>
      <c r="E1783" s="1" t="n">
        <v>35.95</v>
      </c>
      <c r="F1783" s="1" t="n">
        <v>0</v>
      </c>
      <c r="G1783" s="1" t="inlineStr">
        <is>
          <t>SQM</t>
        </is>
      </c>
      <c r="H1783" s="1" t="inlineStr">
        <is>
          <t>Ceramic</t>
        </is>
      </c>
      <c r="I1783" s="1" t="inlineStr">
        <is>
          <t>Matt</t>
        </is>
      </c>
      <c r="J1783" t="inlineStr"/>
      <c r="K1783" t="n">
        <v>35.95</v>
      </c>
      <c r="L1783" t="n">
        <v>35.95</v>
      </c>
    </row>
    <row r="1784">
      <c r="A1784" s="1">
        <f>Hyperlink("https://www.wallsandfloors.co.uk/hardrock-tiles-natural-light-grey-speckle-tiles","Product")</f>
        <v/>
      </c>
      <c r="B1784" s="1" t="inlineStr">
        <is>
          <t>11358</t>
        </is>
      </c>
      <c r="C1784" s="1" t="inlineStr">
        <is>
          <t>Hardrock Natural Matt Light Grey Speckle Tiles</t>
        </is>
      </c>
      <c r="D1784" s="1" t="inlineStr">
        <is>
          <t>300x300x9mm</t>
        </is>
      </c>
      <c r="E1784" s="1" t="n">
        <v>20.95</v>
      </c>
      <c r="F1784" s="1" t="n">
        <v>0</v>
      </c>
      <c r="G1784" s="1" t="inlineStr">
        <is>
          <t>SQM</t>
        </is>
      </c>
      <c r="H1784" s="1" t="inlineStr">
        <is>
          <t>Porcelain</t>
        </is>
      </c>
      <c r="I1784" s="1" t="inlineStr">
        <is>
          <t>Matt</t>
        </is>
      </c>
      <c r="J1784" t="n">
        <v>20.95</v>
      </c>
      <c r="K1784" t="n">
        <v>20.95</v>
      </c>
      <c r="L1784" t="n">
        <v>20.95</v>
      </c>
    </row>
    <row r="1785">
      <c r="A1785" s="1">
        <f>Hyperlink("https://www.wallsandfloors.co.uk/hardrock-tiles-structured-dark-grey-speckle-tiles","Product")</f>
        <v/>
      </c>
      <c r="B1785" s="1" t="inlineStr">
        <is>
          <t>11386</t>
        </is>
      </c>
      <c r="C1785" s="1" t="inlineStr">
        <is>
          <t>Hardrock  Matt Dark Grey Anti Slip Speckle Tiles</t>
        </is>
      </c>
      <c r="D1785" s="1" t="inlineStr">
        <is>
          <t>300x300x9mm</t>
        </is>
      </c>
      <c r="E1785" s="1" t="n">
        <v>20.95</v>
      </c>
      <c r="F1785" s="1" t="n">
        <v>0</v>
      </c>
      <c r="G1785" s="1" t="inlineStr">
        <is>
          <t>SQM</t>
        </is>
      </c>
      <c r="H1785" s="1" t="inlineStr">
        <is>
          <t>Porcelain</t>
        </is>
      </c>
      <c r="I1785" s="1" t="inlineStr">
        <is>
          <t>Matt</t>
        </is>
      </c>
      <c r="J1785" t="inlineStr"/>
      <c r="K1785" t="n">
        <v>20.95</v>
      </c>
      <c r="L1785" t="n">
        <v>20.95</v>
      </c>
    </row>
    <row r="1786">
      <c r="A1786" s="1">
        <f>Hyperlink("https://www.wallsandfloors.co.uk/honey-oak-skirt-tiles","Product")</f>
        <v/>
      </c>
      <c r="B1786" s="1" t="inlineStr">
        <is>
          <t>36819</t>
        </is>
      </c>
      <c r="C1786" s="1" t="inlineStr">
        <is>
          <t>Muniellos Honey Oak Wood Effect Skirt Tiles</t>
        </is>
      </c>
      <c r="D1786" s="1" t="inlineStr">
        <is>
          <t>450x75x10.5mm</t>
        </is>
      </c>
      <c r="E1786" s="1" t="n">
        <v>7.95</v>
      </c>
      <c r="F1786" s="1" t="n">
        <v>0</v>
      </c>
      <c r="G1786" s="1" t="inlineStr">
        <is>
          <t>Tile</t>
        </is>
      </c>
      <c r="H1786" s="1" t="inlineStr">
        <is>
          <t>Porcelain</t>
        </is>
      </c>
      <c r="I1786" s="1" t="inlineStr">
        <is>
          <t>Matt</t>
        </is>
      </c>
      <c r="J1786" t="n">
        <v>7.95</v>
      </c>
      <c r="K1786" t="n">
        <v>7.95</v>
      </c>
      <c r="L1786" t="n">
        <v>7.95</v>
      </c>
    </row>
    <row r="1787">
      <c r="A1787" s="1">
        <f>Hyperlink("https://www.wallsandfloors.co.uk/high-absorption-hidro-pro-sponge","Product")</f>
        <v/>
      </c>
      <c r="B1787" s="1" t="inlineStr">
        <is>
          <t>40392</t>
        </is>
      </c>
      <c r="C1787" s="1" t="inlineStr">
        <is>
          <t>High Absorption HIDRO PRO Sponge</t>
        </is>
      </c>
      <c r="D1787" s="1" t="n">
        <v>1</v>
      </c>
      <c r="E1787" s="1" t="n">
        <v>2.19</v>
      </c>
      <c r="F1787" s="1" t="n">
        <v>0</v>
      </c>
      <c r="G1787" s="1" t="inlineStr"/>
      <c r="H1787" s="1" t="inlineStr">
        <is>
          <t>Accessories</t>
        </is>
      </c>
      <c r="I1787" s="1" t="inlineStr">
        <is>
          <t>-</t>
        </is>
      </c>
      <c r="J1787" t="n">
        <v>2.19</v>
      </c>
      <c r="K1787" t="n">
        <v>2.19</v>
      </c>
      <c r="L1787" t="n">
        <v>2.19</v>
      </c>
    </row>
    <row r="1788">
      <c r="A1788" s="1">
        <f>Hyperlink("https://www.wallsandfloors.co.uk/herne-bay-tiles-sand-bar-beige-stone-effect-tiles","Product")</f>
        <v/>
      </c>
      <c r="B1788" s="1" t="inlineStr">
        <is>
          <t>15550</t>
        </is>
      </c>
      <c r="C1788" s="1" t="inlineStr">
        <is>
          <t>Sand Bar Beige Stone Effect Tiles</t>
        </is>
      </c>
      <c r="D1788" s="1" t="inlineStr">
        <is>
          <t>600x300x9mm</t>
        </is>
      </c>
      <c r="E1788" s="1" t="n">
        <v>32.95</v>
      </c>
      <c r="F1788" s="1" t="n">
        <v>0</v>
      </c>
      <c r="G1788" s="1" t="inlineStr">
        <is>
          <t>SQM</t>
        </is>
      </c>
      <c r="H1788" s="1" t="inlineStr">
        <is>
          <t>Ceramic</t>
        </is>
      </c>
      <c r="I1788" s="1" t="inlineStr">
        <is>
          <t>Matt</t>
        </is>
      </c>
      <c r="J1788" t="n">
        <v>32.95</v>
      </c>
      <c r="K1788" t="n">
        <v>32.95</v>
      </c>
      <c r="L1788" t="n">
        <v>32.95</v>
      </c>
    </row>
    <row r="1789">
      <c r="A1789" s="1">
        <f>Hyperlink("https://www.wallsandfloors.co.uk/herne-bay-tiles-sand-bar-beige-stone-effect-floor-tiles","Product")</f>
        <v/>
      </c>
      <c r="B1789" s="1" t="inlineStr">
        <is>
          <t>34962</t>
        </is>
      </c>
      <c r="C1789" s="1" t="inlineStr">
        <is>
          <t>Sand Bar Beige Stone Effect Floor Tiles</t>
        </is>
      </c>
      <c r="D1789" s="1" t="inlineStr">
        <is>
          <t>505x505x9.5mm</t>
        </is>
      </c>
      <c r="E1789" s="1" t="n">
        <v>32.95</v>
      </c>
      <c r="F1789" s="1" t="n">
        <v>0</v>
      </c>
      <c r="G1789" s="1" t="inlineStr">
        <is>
          <t>SQM</t>
        </is>
      </c>
      <c r="H1789" s="1" t="inlineStr">
        <is>
          <t>Porcelain</t>
        </is>
      </c>
      <c r="I1789" s="1" t="inlineStr">
        <is>
          <t>Matt</t>
        </is>
      </c>
      <c r="J1789" t="n">
        <v>32.95</v>
      </c>
      <c r="K1789" t="n">
        <v>32.95</v>
      </c>
      <c r="L1789" t="n">
        <v>32.95</v>
      </c>
    </row>
    <row r="1790">
      <c r="A1790" s="1">
        <f>Hyperlink("https://www.wallsandfloors.co.uk/herne-bay-tiles-rip-curl-grey-stone-effect-tiles","Product")</f>
        <v/>
      </c>
      <c r="B1790" s="1" t="inlineStr">
        <is>
          <t>15552</t>
        </is>
      </c>
      <c r="C1790" s="1" t="inlineStr">
        <is>
          <t>Rip Curl Grey Stone Effect Tiles</t>
        </is>
      </c>
      <c r="D1790" s="1" t="inlineStr">
        <is>
          <t>600x300x9mm</t>
        </is>
      </c>
      <c r="E1790" s="1" t="n">
        <v>32.95</v>
      </c>
      <c r="F1790" s="1" t="n">
        <v>0</v>
      </c>
      <c r="G1790" s="1" t="inlineStr">
        <is>
          <t>SQM</t>
        </is>
      </c>
      <c r="H1790" s="1" t="inlineStr">
        <is>
          <t>Ceramic</t>
        </is>
      </c>
      <c r="I1790" s="1" t="inlineStr">
        <is>
          <t>Matt</t>
        </is>
      </c>
      <c r="J1790" t="n">
        <v>32.95</v>
      </c>
      <c r="K1790" t="n">
        <v>32.95</v>
      </c>
      <c r="L1790" t="n">
        <v>32.95</v>
      </c>
    </row>
    <row r="1791">
      <c r="A1791" s="1">
        <f>Hyperlink("https://www.wallsandfloors.co.uk/herne-bay-tiles-chalky-downs-white-stone-effect-tiles","Product")</f>
        <v/>
      </c>
      <c r="B1791" s="1" t="inlineStr">
        <is>
          <t>15551</t>
        </is>
      </c>
      <c r="C1791" s="1" t="inlineStr">
        <is>
          <t>Chalky Downs White Stone Effect Tiles</t>
        </is>
      </c>
      <c r="D1791" s="1" t="inlineStr">
        <is>
          <t>600x300x9mm</t>
        </is>
      </c>
      <c r="E1791" s="1" t="n">
        <v>32.95</v>
      </c>
      <c r="F1791" s="1" t="n">
        <v>0</v>
      </c>
      <c r="G1791" s="1" t="inlineStr">
        <is>
          <t>SQM</t>
        </is>
      </c>
      <c r="H1791" s="1" t="inlineStr">
        <is>
          <t>Ceramic</t>
        </is>
      </c>
      <c r="I1791" s="1" t="inlineStr">
        <is>
          <t>Matt</t>
        </is>
      </c>
      <c r="J1791" t="n">
        <v>32.95</v>
      </c>
      <c r="K1791" t="n">
        <v>32.95</v>
      </c>
      <c r="L1791" t="n">
        <v>32.95</v>
      </c>
    </row>
    <row r="1792">
      <c r="A1792" s="1">
        <f>Hyperlink("https://www.wallsandfloors.co.uk/herne-bay-tiles-chalky-downs-white-stone-effect-floor-tiles","Product")</f>
        <v/>
      </c>
      <c r="B1792" s="1" t="inlineStr">
        <is>
          <t>28487</t>
        </is>
      </c>
      <c r="C1792" s="1" t="inlineStr">
        <is>
          <t>Chalky Downs White Stone Effect Floor Tiles</t>
        </is>
      </c>
      <c r="D1792" s="1" t="inlineStr">
        <is>
          <t>500x500x9.5mm</t>
        </is>
      </c>
      <c r="E1792" s="1" t="n">
        <v>32.95</v>
      </c>
      <c r="F1792" s="1" t="n">
        <v>0</v>
      </c>
      <c r="G1792" s="1" t="inlineStr">
        <is>
          <t>SQM</t>
        </is>
      </c>
      <c r="H1792" s="1" t="inlineStr">
        <is>
          <t>Porcelain</t>
        </is>
      </c>
      <c r="I1792" s="1" t="inlineStr">
        <is>
          <t>Matt</t>
        </is>
      </c>
      <c r="J1792" t="n">
        <v>32.95</v>
      </c>
      <c r="K1792" t="inlineStr"/>
      <c r="L1792" t="n">
        <v>32.95</v>
      </c>
    </row>
    <row r="1793">
      <c r="A1793" s="1">
        <f>Hyperlink("https://www.wallsandfloors.co.uk/herati-decor-matt-tiles","Product")</f>
        <v/>
      </c>
      <c r="B1793" s="1" t="inlineStr">
        <is>
          <t>13731</t>
        </is>
      </c>
      <c r="C1793" s="1" t="inlineStr">
        <is>
          <t>Herati Decor Matt Tiles</t>
        </is>
      </c>
      <c r="D1793" s="1" t="inlineStr">
        <is>
          <t>442x442x10mm</t>
        </is>
      </c>
      <c r="E1793" s="1" t="n">
        <v>33.95</v>
      </c>
      <c r="F1793" s="1" t="n">
        <v>0</v>
      </c>
      <c r="G1793" s="1" t="inlineStr">
        <is>
          <t>SQM</t>
        </is>
      </c>
      <c r="H1793" s="1" t="inlineStr">
        <is>
          <t>Porcelain</t>
        </is>
      </c>
      <c r="I1793" s="1" t="inlineStr">
        <is>
          <t>-</t>
        </is>
      </c>
      <c r="J1793" t="inlineStr"/>
      <c r="K1793" t="n">
        <v>33.95</v>
      </c>
      <c r="L1793" t="n">
        <v>33.95</v>
      </c>
    </row>
    <row r="1794">
      <c r="A1794" s="1">
        <f>Hyperlink("https://www.wallsandfloors.co.uk/helix-noir-tiles","Product")</f>
        <v/>
      </c>
      <c r="B1794" s="1" t="inlineStr">
        <is>
          <t>43085</t>
        </is>
      </c>
      <c r="C1794" s="1" t="inlineStr">
        <is>
          <t>Helix Noir Tiles</t>
        </is>
      </c>
      <c r="D1794" s="1" t="inlineStr">
        <is>
          <t>450x450x10.5mm</t>
        </is>
      </c>
      <c r="E1794" s="1" t="n">
        <v>26.95</v>
      </c>
      <c r="F1794" s="1" t="n">
        <v>0</v>
      </c>
      <c r="G1794" s="1" t="inlineStr">
        <is>
          <t>SQM</t>
        </is>
      </c>
      <c r="H1794" s="1" t="inlineStr">
        <is>
          <t>Ceramic</t>
        </is>
      </c>
      <c r="I1794" s="1" t="inlineStr">
        <is>
          <t>Matt</t>
        </is>
      </c>
      <c r="J1794" t="inlineStr"/>
      <c r="K1794" t="n">
        <v>26.95</v>
      </c>
      <c r="L1794" t="n">
        <v>26.95</v>
      </c>
    </row>
    <row r="1795">
      <c r="A1795" s="1">
        <f>Hyperlink("https://www.wallsandfloors.co.uk/helix-indigo-tiles","Product")</f>
        <v/>
      </c>
      <c r="B1795" s="1" t="inlineStr">
        <is>
          <t>43086</t>
        </is>
      </c>
      <c r="C1795" s="1" t="inlineStr">
        <is>
          <t>Helix Indigo Tiles</t>
        </is>
      </c>
      <c r="D1795" s="1" t="inlineStr">
        <is>
          <t>450x450x10.5mm</t>
        </is>
      </c>
      <c r="E1795" s="1" t="n">
        <v>26.95</v>
      </c>
      <c r="F1795" s="1" t="n">
        <v>0</v>
      </c>
      <c r="G1795" s="1" t="inlineStr">
        <is>
          <t>SQM</t>
        </is>
      </c>
      <c r="H1795" s="1" t="inlineStr">
        <is>
          <t>Ceramic</t>
        </is>
      </c>
      <c r="I1795" s="1" t="inlineStr">
        <is>
          <t>Matt</t>
        </is>
      </c>
      <c r="J1795" t="n">
        <v>26.95</v>
      </c>
      <c r="K1795" t="inlineStr"/>
      <c r="L1795" t="n">
        <v>26.95</v>
      </c>
    </row>
    <row r="1796">
      <c r="A1796" s="1">
        <f>Hyperlink("https://www.wallsandfloors.co.uk/heavy-duty-tile-nippers","Product")</f>
        <v/>
      </c>
      <c r="B1796" s="1" t="inlineStr">
        <is>
          <t>27619</t>
        </is>
      </c>
      <c r="C1796" s="1" t="inlineStr">
        <is>
          <t>Heavy Duty Tile Nippers</t>
        </is>
      </c>
      <c r="D1796" s="1" t="inlineStr">
        <is>
          <t>1 Size</t>
        </is>
      </c>
      <c r="E1796" s="1" t="n">
        <v>29.75</v>
      </c>
      <c r="F1796" s="1" t="n">
        <v>0</v>
      </c>
      <c r="G1796" s="1" t="inlineStr">
        <is>
          <t>Unit</t>
        </is>
      </c>
      <c r="H1796" s="1" t="inlineStr">
        <is>
          <t>Tools</t>
        </is>
      </c>
      <c r="I1796" s="1" t="inlineStr">
        <is>
          <t>-</t>
        </is>
      </c>
      <c r="J1796" t="n">
        <v>29.75</v>
      </c>
      <c r="K1796" t="n">
        <v>29.75</v>
      </c>
      <c r="L1796" t="n">
        <v>29.75</v>
      </c>
    </row>
    <row r="1797">
      <c r="A1797" s="1">
        <f>Hyperlink("https://www.wallsandfloors.co.uk/harmonie-mosaic-tiles-schiste-tiles","Product")</f>
        <v/>
      </c>
      <c r="B1797" s="1" t="inlineStr">
        <is>
          <t>228</t>
        </is>
      </c>
      <c r="C1797" s="1" t="inlineStr">
        <is>
          <t>Harmonie Schiste Grey Mosaic Tiles</t>
        </is>
      </c>
      <c r="D1797" s="1" t="inlineStr">
        <is>
          <t>348x348x4mm</t>
        </is>
      </c>
      <c r="E1797" s="1" t="n">
        <v>17.95</v>
      </c>
      <c r="F1797" s="1" t="n">
        <v>0</v>
      </c>
      <c r="G1797" s="1" t="inlineStr">
        <is>
          <t>Sheet</t>
        </is>
      </c>
      <c r="H1797" s="1" t="inlineStr">
        <is>
          <t>Porcelain</t>
        </is>
      </c>
      <c r="I1797" s="1" t="inlineStr">
        <is>
          <t>Polished</t>
        </is>
      </c>
      <c r="J1797" t="n">
        <v>17.95</v>
      </c>
      <c r="K1797" t="n">
        <v>17.95</v>
      </c>
      <c r="L1797" t="n">
        <v>17.95</v>
      </c>
    </row>
    <row r="1798">
      <c r="A1798" s="1">
        <f>Hyperlink("https://www.wallsandfloors.co.uk/harmonie-mosaic-tiles-pivoine-tiles","Product")</f>
        <v/>
      </c>
      <c r="B1798" s="1" t="inlineStr">
        <is>
          <t>220</t>
        </is>
      </c>
      <c r="C1798" s="1" t="inlineStr">
        <is>
          <t>Harmonie Pivoine Red Mosaic Tiles</t>
        </is>
      </c>
      <c r="D1798" s="1" t="inlineStr">
        <is>
          <t>348x348x4mm</t>
        </is>
      </c>
      <c r="E1798" s="1" t="n">
        <v>19.95</v>
      </c>
      <c r="F1798" s="1" t="n">
        <v>0</v>
      </c>
      <c r="G1798" s="1" t="inlineStr">
        <is>
          <t>Sheet</t>
        </is>
      </c>
      <c r="H1798" s="1" t="inlineStr">
        <is>
          <t>Porcelain</t>
        </is>
      </c>
      <c r="I1798" s="1" t="inlineStr">
        <is>
          <t>Matt</t>
        </is>
      </c>
      <c r="J1798" t="inlineStr"/>
      <c r="K1798" t="n">
        <v>19.95</v>
      </c>
      <c r="L1798" t="n">
        <v>19.95</v>
      </c>
    </row>
    <row r="1799">
      <c r="A1799" s="1">
        <f>Hyperlink("https://www.wallsandfloors.co.uk/harmonie-mosaic-tiles-ivraie-tiles","Product")</f>
        <v/>
      </c>
      <c r="B1799" s="1" t="inlineStr">
        <is>
          <t>221</t>
        </is>
      </c>
      <c r="C1799" s="1" t="inlineStr">
        <is>
          <t>Harmonie Ivraie Green Mosaic Tiles</t>
        </is>
      </c>
      <c r="D1799" s="1" t="inlineStr">
        <is>
          <t>348x348x4mm</t>
        </is>
      </c>
      <c r="E1799" s="1" t="n">
        <v>17.95</v>
      </c>
      <c r="F1799" s="1" t="n">
        <v>0</v>
      </c>
      <c r="G1799" s="1" t="inlineStr">
        <is>
          <t>Sheet</t>
        </is>
      </c>
      <c r="H1799" s="1" t="inlineStr">
        <is>
          <t>Porcelain</t>
        </is>
      </c>
      <c r="I1799" s="1" t="inlineStr">
        <is>
          <t>Matt</t>
        </is>
      </c>
      <c r="J1799" t="n">
        <v>17.95</v>
      </c>
      <c r="K1799" t="n">
        <v>17.95</v>
      </c>
      <c r="L1799" t="n">
        <v>17.95</v>
      </c>
    </row>
    <row r="1800">
      <c r="A1800" s="1">
        <f>Hyperlink("https://www.wallsandfloors.co.uk/harmonie-mosaic-tiles-genet-tiles","Product")</f>
        <v/>
      </c>
      <c r="B1800" s="1" t="inlineStr">
        <is>
          <t>210</t>
        </is>
      </c>
      <c r="C1800" s="1" t="inlineStr">
        <is>
          <t>Harmonie Genet Yellow Mosaic Tiles</t>
        </is>
      </c>
      <c r="D1800" s="1" t="inlineStr">
        <is>
          <t>348x348x4mm</t>
        </is>
      </c>
      <c r="E1800" s="1" t="n">
        <v>19.95</v>
      </c>
      <c r="F1800" s="1" t="n">
        <v>0</v>
      </c>
      <c r="G1800" s="1" t="inlineStr">
        <is>
          <t>Sheet</t>
        </is>
      </c>
      <c r="H1800" s="1" t="inlineStr">
        <is>
          <t>Porcelain</t>
        </is>
      </c>
      <c r="I1800" s="1" t="inlineStr">
        <is>
          <t>Matt</t>
        </is>
      </c>
      <c r="J1800" t="n">
        <v>19.95</v>
      </c>
      <c r="K1800" t="n">
        <v>19.95</v>
      </c>
      <c r="L1800" t="n">
        <v>19.95</v>
      </c>
    </row>
    <row r="1801">
      <c r="A1801" s="1">
        <f>Hyperlink("https://www.wallsandfloors.co.uk/harmonie-mosaic-tiles-flores-tiles","Product")</f>
        <v/>
      </c>
      <c r="B1801" s="1" t="inlineStr">
        <is>
          <t>234</t>
        </is>
      </c>
      <c r="C1801" s="1" t="inlineStr">
        <is>
          <t>Harmonie Flores Cream Mosaic Tiles</t>
        </is>
      </c>
      <c r="D1801" s="1" t="inlineStr">
        <is>
          <t>348x348x4mm</t>
        </is>
      </c>
      <c r="E1801" s="1" t="n">
        <v>18.95</v>
      </c>
      <c r="F1801" s="1" t="n">
        <v>0</v>
      </c>
      <c r="G1801" s="1" t="inlineStr"/>
      <c r="H1801" s="1" t="inlineStr">
        <is>
          <t>Porcelain</t>
        </is>
      </c>
      <c r="I1801" s="1" t="inlineStr">
        <is>
          <t>Gloss</t>
        </is>
      </c>
      <c r="J1801" t="n">
        <v>18.95</v>
      </c>
      <c r="K1801" t="n">
        <v>18.95</v>
      </c>
      <c r="L1801" t="n">
        <v>18.95</v>
      </c>
    </row>
    <row r="1802">
      <c r="A1802" s="1">
        <f>Hyperlink("https://www.wallsandfloors.co.uk/harmonie-mosaic-tiles-danube-tiles","Product")</f>
        <v/>
      </c>
      <c r="B1802" s="1" t="inlineStr">
        <is>
          <t>225</t>
        </is>
      </c>
      <c r="C1802" s="1" t="inlineStr">
        <is>
          <t>Harmonie Danube Dark Blue Mosaic Tiles</t>
        </is>
      </c>
      <c r="D1802" s="1" t="inlineStr">
        <is>
          <t>348x348x4mm</t>
        </is>
      </c>
      <c r="E1802" s="1" t="n">
        <v>18.95</v>
      </c>
      <c r="F1802" s="1" t="n">
        <v>0</v>
      </c>
      <c r="G1802" s="1" t="inlineStr">
        <is>
          <t>Sheet</t>
        </is>
      </c>
      <c r="H1802" s="1" t="inlineStr">
        <is>
          <t>Porcelain</t>
        </is>
      </c>
      <c r="I1802" s="1" t="inlineStr">
        <is>
          <t>Matt</t>
        </is>
      </c>
      <c r="J1802" t="inlineStr"/>
      <c r="K1802" t="n">
        <v>18.95</v>
      </c>
      <c r="L1802" t="n">
        <v>18.95</v>
      </c>
    </row>
    <row r="1803">
      <c r="A1803" s="1">
        <f>Hyperlink("https://www.wallsandfloors.co.uk/harmonie-mosaic-tiles-caraibes-tiles","Product")</f>
        <v/>
      </c>
      <c r="B1803" s="1" t="inlineStr">
        <is>
          <t>209</t>
        </is>
      </c>
      <c r="C1803" s="1" t="inlineStr">
        <is>
          <t>Harmonie Caraibes Blue Mosaic Tiles</t>
        </is>
      </c>
      <c r="D1803" s="1" t="inlineStr">
        <is>
          <t>348x348x4mm</t>
        </is>
      </c>
      <c r="E1803" s="1" t="n">
        <v>17.95</v>
      </c>
      <c r="F1803" s="1" t="n">
        <v>0</v>
      </c>
      <c r="G1803" s="1" t="inlineStr">
        <is>
          <t>Sheet</t>
        </is>
      </c>
      <c r="H1803" s="1" t="inlineStr">
        <is>
          <t>Porcelain</t>
        </is>
      </c>
      <c r="I1803" s="1" t="inlineStr">
        <is>
          <t>Matt</t>
        </is>
      </c>
      <c r="J1803" t="inlineStr"/>
      <c r="K1803" t="n">
        <v>17.95</v>
      </c>
      <c r="L1803" t="n">
        <v>17.95</v>
      </c>
    </row>
    <row r="1804">
      <c r="A1804" s="1">
        <f>Hyperlink("https://www.wallsandfloors.co.uk/harmonie-mosaic-tiles-camelia-tiles","Product")</f>
        <v/>
      </c>
      <c r="B1804" s="1" t="inlineStr">
        <is>
          <t>216</t>
        </is>
      </c>
      <c r="C1804" s="1" t="inlineStr">
        <is>
          <t>Harmonie Camelia Pink Mosaic Tiles</t>
        </is>
      </c>
      <c r="D1804" s="1" t="inlineStr">
        <is>
          <t>348x348x4mm</t>
        </is>
      </c>
      <c r="E1804" s="1" t="n">
        <v>17.95</v>
      </c>
      <c r="F1804" s="1" t="n">
        <v>0</v>
      </c>
      <c r="G1804" s="1" t="inlineStr">
        <is>
          <t>Sheet</t>
        </is>
      </c>
      <c r="H1804" s="1" t="inlineStr">
        <is>
          <t>Porcelain</t>
        </is>
      </c>
      <c r="I1804" s="1" t="inlineStr">
        <is>
          <t>Matt</t>
        </is>
      </c>
      <c r="J1804" t="n">
        <v>17.95</v>
      </c>
      <c r="K1804" t="n">
        <v>17.95</v>
      </c>
      <c r="L1804" t="n">
        <v>17.95</v>
      </c>
    </row>
    <row r="1805">
      <c r="A1805" s="1">
        <f>Hyperlink("https://www.wallsandfloors.co.uk/harmonie-mosaic-tiles-buis-tiles","Product")</f>
        <v/>
      </c>
      <c r="B1805" s="1" t="inlineStr">
        <is>
          <t>223</t>
        </is>
      </c>
      <c r="C1805" s="1" t="inlineStr">
        <is>
          <t>Harmonie Buis Green Mosaic Tiles</t>
        </is>
      </c>
      <c r="D1805" s="1" t="inlineStr">
        <is>
          <t>348x348x4mm</t>
        </is>
      </c>
      <c r="E1805" s="1" t="n">
        <v>18.95</v>
      </c>
      <c r="F1805" s="1" t="n">
        <v>0</v>
      </c>
      <c r="G1805" s="1" t="inlineStr">
        <is>
          <t>Sheet</t>
        </is>
      </c>
      <c r="H1805" s="1" t="inlineStr">
        <is>
          <t>Porcelain</t>
        </is>
      </c>
      <c r="I1805" s="1" t="inlineStr">
        <is>
          <t>Matt</t>
        </is>
      </c>
      <c r="J1805" t="n">
        <v>18.95</v>
      </c>
      <c r="K1805" t="n">
        <v>18.95</v>
      </c>
      <c r="L1805" t="n">
        <v>18.95</v>
      </c>
    </row>
    <row r="1806">
      <c r="A1806" s="1">
        <f>Hyperlink("https://www.wallsandfloors.co.uk/harmonie-mosaic-tiles-aster-tiles","Product")</f>
        <v/>
      </c>
      <c r="B1806" s="1" t="inlineStr">
        <is>
          <t>226</t>
        </is>
      </c>
      <c r="C1806" s="1" t="inlineStr">
        <is>
          <t>Harmonie Aster Blue Mosaic Tiles</t>
        </is>
      </c>
      <c r="D1806" s="1" t="inlineStr">
        <is>
          <t>348x348x4mm</t>
        </is>
      </c>
      <c r="E1806" s="1" t="n">
        <v>17.95</v>
      </c>
      <c r="F1806" s="1" t="n">
        <v>0</v>
      </c>
      <c r="G1806" s="1" t="inlineStr">
        <is>
          <t>Sheet</t>
        </is>
      </c>
      <c r="H1806" s="1" t="inlineStr">
        <is>
          <t>Porcelain</t>
        </is>
      </c>
      <c r="I1806" s="1" t="inlineStr">
        <is>
          <t>Matt</t>
        </is>
      </c>
      <c r="J1806" t="inlineStr"/>
      <c r="K1806" t="n">
        <v>17.95</v>
      </c>
      <c r="L1806" t="n">
        <v>17.95</v>
      </c>
    </row>
    <row r="1807">
      <c r="A1807" s="1">
        <f>Hyperlink("https://www.wallsandfloors.co.uk/hardrock-tiles-structured-mid-grey-speckle-tiles","Product")</f>
        <v/>
      </c>
      <c r="B1807" s="1" t="inlineStr">
        <is>
          <t>11388</t>
        </is>
      </c>
      <c r="C1807" s="1" t="inlineStr">
        <is>
          <t>Hardrock Matt Mid Grey Anti Slip Speckle Tiles</t>
        </is>
      </c>
      <c r="D1807" s="1" t="inlineStr">
        <is>
          <t>300x300x9mm</t>
        </is>
      </c>
      <c r="E1807" s="1" t="n">
        <v>20.95</v>
      </c>
      <c r="F1807" s="1" t="n">
        <v>0</v>
      </c>
      <c r="G1807" s="1" t="inlineStr">
        <is>
          <t>SQM</t>
        </is>
      </c>
      <c r="H1807" s="1" t="inlineStr">
        <is>
          <t>Porcelain</t>
        </is>
      </c>
      <c r="I1807" s="1" t="inlineStr">
        <is>
          <t>Matt</t>
        </is>
      </c>
      <c r="J1807" t="inlineStr"/>
      <c r="K1807" t="n">
        <v>20.95</v>
      </c>
      <c r="L1807" t="n">
        <v>20.95</v>
      </c>
    </row>
    <row r="1808">
      <c r="A1808" s="1">
        <f>Hyperlink("https://www.wallsandfloors.co.uk/hardrock-tiles-structured-light-grey-speckle-tiles","Product")</f>
        <v/>
      </c>
      <c r="B1808" s="1" t="inlineStr">
        <is>
          <t>11359</t>
        </is>
      </c>
      <c r="C1808" s="1" t="inlineStr">
        <is>
          <t>Hardock Matt Light Grey Anti Slip Speckle Tiles</t>
        </is>
      </c>
      <c r="D1808" s="1" t="inlineStr">
        <is>
          <t>300x300x9mm</t>
        </is>
      </c>
      <c r="E1808" s="1" t="n">
        <v>20.95</v>
      </c>
      <c r="F1808" s="1" t="n">
        <v>0</v>
      </c>
      <c r="G1808" s="1" t="inlineStr">
        <is>
          <t>SQM</t>
        </is>
      </c>
      <c r="H1808" s="1" t="inlineStr">
        <is>
          <t>Porcelain</t>
        </is>
      </c>
      <c r="I1808" s="1" t="inlineStr">
        <is>
          <t>Matt</t>
        </is>
      </c>
      <c r="J1808" t="n">
        <v>20.95</v>
      </c>
      <c r="K1808" t="n">
        <v>20.95</v>
      </c>
      <c r="L1808" t="n">
        <v>20.95</v>
      </c>
    </row>
    <row r="1809">
      <c r="A1809" s="1">
        <f>Hyperlink("https://www.wallsandfloors.co.uk/hardrock-tiles-natural-mid-grey-speckle-tiles","Product")</f>
        <v/>
      </c>
      <c r="B1809" s="1" t="inlineStr">
        <is>
          <t>11387</t>
        </is>
      </c>
      <c r="C1809" s="1" t="inlineStr">
        <is>
          <t>Natural Mid Grey Speckle Tiles</t>
        </is>
      </c>
      <c r="D1809" s="1" t="inlineStr">
        <is>
          <t>300x300x9mm</t>
        </is>
      </c>
      <c r="E1809" s="1" t="n">
        <v>20.95</v>
      </c>
      <c r="F1809" s="1" t="n">
        <v>0</v>
      </c>
      <c r="G1809" s="1" t="inlineStr">
        <is>
          <t>SQM</t>
        </is>
      </c>
      <c r="H1809" s="1" t="inlineStr">
        <is>
          <t>Porcelain</t>
        </is>
      </c>
      <c r="I1809" s="1" t="inlineStr">
        <is>
          <t>Matt</t>
        </is>
      </c>
      <c r="J1809" t="n">
        <v>20.95</v>
      </c>
      <c r="K1809" t="n">
        <v>20.95</v>
      </c>
      <c r="L1809" t="n">
        <v>20.95</v>
      </c>
    </row>
    <row r="1810">
      <c r="A1810" s="1">
        <f>Hyperlink("https://www.wallsandfloors.co.uk/zoro-mosaic-diamond-3d-gloss-white","Product")</f>
        <v/>
      </c>
      <c r="B1810" s="1" t="inlineStr">
        <is>
          <t>39980</t>
        </is>
      </c>
      <c r="C1810" s="1" t="inlineStr">
        <is>
          <t>Bijou Gloss Hexacube 3D White Mosaic Tiles</t>
        </is>
      </c>
      <c r="D1810" s="1" t="inlineStr">
        <is>
          <t>300x262x6mm</t>
        </is>
      </c>
      <c r="E1810" s="1" t="n">
        <v>1.95</v>
      </c>
      <c r="F1810" s="1" t="n">
        <v>0</v>
      </c>
      <c r="G1810" s="1" t="inlineStr">
        <is>
          <t>Sheet</t>
        </is>
      </c>
      <c r="H1810" s="1" t="inlineStr">
        <is>
          <t>Porcelain</t>
        </is>
      </c>
      <c r="I1810" s="1" t="inlineStr">
        <is>
          <t>Gloss</t>
        </is>
      </c>
      <c r="J1810" t="n">
        <v>1.95</v>
      </c>
      <c r="K1810" t="n">
        <v>1.95</v>
      </c>
      <c r="L1810" t="n">
        <v>1.95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-350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499</v>
      </c>
      <c r="K2" t="n">
        <v>499</v>
      </c>
      <c r="L2" t="n">
        <v>149</v>
      </c>
    </row>
    <row r="3">
      <c r="A3" s="1">
        <f>Hyperlink("https://www.wallsandfloors.co.uk/rustic-wood-tiles-oak-wood-tiles","Product")</f>
        <v/>
      </c>
      <c r="B3" s="1" t="inlineStr">
        <is>
          <t>11883</t>
        </is>
      </c>
      <c r="C3" s="1" t="inlineStr">
        <is>
          <t>Rustic Oak Wood Effect Tiles</t>
        </is>
      </c>
      <c r="D3" s="1" t="inlineStr">
        <is>
          <t>615x205x9mm</t>
        </is>
      </c>
      <c r="E3" s="1" t="n">
        <v>16.95</v>
      </c>
      <c r="F3" s="1" t="n">
        <v>-154</v>
      </c>
      <c r="G3" s="1" t="inlineStr">
        <is>
          <t>SQM</t>
        </is>
      </c>
      <c r="H3" s="1" t="inlineStr">
        <is>
          <t>Ceramic</t>
        </is>
      </c>
      <c r="I3" s="1" t="inlineStr">
        <is>
          <t>Matt</t>
        </is>
      </c>
      <c r="J3" t="n">
        <v>549</v>
      </c>
      <c r="K3" t="n">
        <v>501</v>
      </c>
      <c r="L3" t="n">
        <v>395</v>
      </c>
    </row>
    <row r="4">
      <c r="A4" s="1">
        <f>Hyperlink("https://www.wallsandfloors.co.uk/matt-carrara-marble-effect-60x30-tiles","Product")</f>
        <v/>
      </c>
      <c r="B4" s="1" t="inlineStr">
        <is>
          <t>36531</t>
        </is>
      </c>
      <c r="C4" s="1" t="inlineStr">
        <is>
          <t>Cappella Matt Carrara Marble Effect Tiles</t>
        </is>
      </c>
      <c r="D4" s="1" t="inlineStr">
        <is>
          <t>600x300x8mm</t>
        </is>
      </c>
      <c r="E4" s="1" t="n">
        <v>17.95</v>
      </c>
      <c r="F4" s="1" t="n">
        <v>-141</v>
      </c>
      <c r="G4" s="1" t="inlineStr">
        <is>
          <t>SQM</t>
        </is>
      </c>
      <c r="H4" s="1" t="inlineStr">
        <is>
          <t>Porcelain</t>
        </is>
      </c>
      <c r="I4" s="1" t="inlineStr">
        <is>
          <t>Matt</t>
        </is>
      </c>
      <c r="J4" t="n">
        <v>754</v>
      </c>
      <c r="K4" t="n">
        <v>733</v>
      </c>
      <c r="L4" t="n">
        <v>613</v>
      </c>
    </row>
    <row r="5">
      <c r="A5" s="1">
        <f>Hyperlink("https://www.wallsandfloors.co.uk/piquancy-imbue-tiles","Product")</f>
        <v/>
      </c>
      <c r="B5" s="1" t="inlineStr">
        <is>
          <t>24735</t>
        </is>
      </c>
      <c r="C5" s="1" t="inlineStr">
        <is>
          <t>Imbue Vintage Pattern Tiles</t>
        </is>
      </c>
      <c r="D5" s="1" t="inlineStr">
        <is>
          <t>450x450x11.5mm</t>
        </is>
      </c>
      <c r="E5" s="1" t="n">
        <v>26.95</v>
      </c>
      <c r="F5" s="1" t="n">
        <v>-123</v>
      </c>
      <c r="G5" s="1" t="inlineStr">
        <is>
          <t>SQM</t>
        </is>
      </c>
      <c r="H5" s="1" t="inlineStr">
        <is>
          <t>Ceramic</t>
        </is>
      </c>
      <c r="I5" s="1" t="inlineStr">
        <is>
          <t>Matt</t>
        </is>
      </c>
      <c r="J5" t="n">
        <v>123</v>
      </c>
      <c r="K5" t="n">
        <v>123</v>
      </c>
      <c r="L5" t="inlineStr">
        <is>
          <t>Out of Stock</t>
        </is>
      </c>
    </row>
    <row r="6">
      <c r="A6" s="1">
        <f>Hyperlink("https://www.wallsandfloors.co.uk/form-ivory-polished-800x800","Product")</f>
        <v/>
      </c>
      <c r="B6" s="1" t="inlineStr">
        <is>
          <t>44322</t>
        </is>
      </c>
      <c r="C6" s="1" t="inlineStr">
        <is>
          <t>Form Ivory Polished Tiles</t>
        </is>
      </c>
      <c r="D6" s="1" t="inlineStr">
        <is>
          <t>800x800x9mm</t>
        </is>
      </c>
      <c r="E6" s="1" t="n">
        <v>19.95</v>
      </c>
      <c r="F6" s="1" t="n">
        <v>-120</v>
      </c>
      <c r="G6" s="1" t="inlineStr">
        <is>
          <t>SQM</t>
        </is>
      </c>
      <c r="H6" s="1" t="inlineStr">
        <is>
          <t>Porcelain</t>
        </is>
      </c>
      <c r="I6" s="1" t="inlineStr">
        <is>
          <t>Polished</t>
        </is>
      </c>
      <c r="J6" t="n">
        <v>421</v>
      </c>
      <c r="K6" t="n">
        <v>421</v>
      </c>
      <c r="L6" t="n">
        <v>301</v>
      </c>
    </row>
    <row r="7">
      <c r="A7" s="1">
        <f>Hyperlink("https://www.wallsandfloors.co.uk/reclaimed-wood-effect-tiles-rustic-blue-wood-plank-tiles","Product")</f>
        <v/>
      </c>
      <c r="B7" s="1" t="inlineStr">
        <is>
          <t>14935</t>
        </is>
      </c>
      <c r="C7" s="1" t="inlineStr">
        <is>
          <t>Rustic Blue Reclaimed Wood Effect Tiles</t>
        </is>
      </c>
      <c r="D7" s="1" t="inlineStr">
        <is>
          <t>600x150x9.8mm</t>
        </is>
      </c>
      <c r="E7" s="1" t="n">
        <v>20.95</v>
      </c>
      <c r="F7" s="1" t="n">
        <v>-114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2635</v>
      </c>
      <c r="K7" t="inlineStr"/>
      <c r="L7" t="n">
        <v>2521</v>
      </c>
    </row>
    <row r="8">
      <c r="A8" s="1">
        <f>Hyperlink("https://www.wallsandfloors.co.uk/icaria-plus-blanco-595x595x20-tiles","Product")</f>
        <v/>
      </c>
      <c r="B8" s="1" t="inlineStr">
        <is>
          <t>44089</t>
        </is>
      </c>
      <c r="C8" s="1" t="inlineStr">
        <is>
          <t>Icaria Plus Blanco Porcelain Paving Slabs</t>
        </is>
      </c>
      <c r="D8" s="1" t="inlineStr">
        <is>
          <t>595x595x20mm</t>
        </is>
      </c>
      <c r="E8" s="1" t="n">
        <v>25.95</v>
      </c>
      <c r="F8" s="1" t="n">
        <v>-96</v>
      </c>
      <c r="G8" s="1" t="inlineStr">
        <is>
          <t>SQM</t>
        </is>
      </c>
      <c r="H8" s="1" t="inlineStr">
        <is>
          <t>Porcelain</t>
        </is>
      </c>
      <c r="I8" s="1" t="inlineStr">
        <is>
          <t>Matt</t>
        </is>
      </c>
      <c r="J8" t="inlineStr"/>
      <c r="K8" t="n">
        <v>2780</v>
      </c>
      <c r="L8" t="n">
        <v>2684</v>
      </c>
    </row>
    <row r="9">
      <c r="A9" s="1">
        <f>Hyperlink("https://www.wallsandfloors.co.uk/antique-smooth-crackle-metro-tiles-porte-maillot-crackle-grey-metro-tiles","Product")</f>
        <v/>
      </c>
      <c r="B9" s="1" t="inlineStr">
        <is>
          <t>11337</t>
        </is>
      </c>
      <c r="C9" s="1" t="inlineStr">
        <is>
          <t>Porte Maillot Grey Crackle Flat Metro Tiles</t>
        </is>
      </c>
      <c r="D9" s="1" t="inlineStr">
        <is>
          <t>150x75x7mm</t>
        </is>
      </c>
      <c r="E9" s="1" t="n">
        <v>40.95</v>
      </c>
      <c r="F9" s="1" t="n">
        <v>-96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n">
        <v>395</v>
      </c>
      <c r="K9" t="n">
        <v>315</v>
      </c>
      <c r="L9" t="n">
        <v>299</v>
      </c>
    </row>
    <row r="10">
      <c r="A10" s="1">
        <f>Hyperlink("https://www.wallsandfloors.co.uk/harran-antique-vintage-blue-pattern-floor-tiles","Product")</f>
        <v/>
      </c>
      <c r="B10" s="1" t="inlineStr">
        <is>
          <t>44246</t>
        </is>
      </c>
      <c r="C10" s="1" t="inlineStr">
        <is>
          <t>Harran Antique Vintage Blue Pattern Floor Tiles</t>
        </is>
      </c>
      <c r="D10" s="1" t="inlineStr">
        <is>
          <t>450x450x8.8mm</t>
        </is>
      </c>
      <c r="E10" s="1" t="n">
        <v>11.25</v>
      </c>
      <c r="F10" s="1" t="n">
        <v>-89</v>
      </c>
      <c r="G10" s="1" t="inlineStr">
        <is>
          <t>SQM</t>
        </is>
      </c>
      <c r="H10" s="1" t="inlineStr">
        <is>
          <t>Ceramic</t>
        </is>
      </c>
      <c r="I10" s="1" t="inlineStr">
        <is>
          <t>Matt</t>
        </is>
      </c>
      <c r="J10" t="inlineStr"/>
      <c r="K10" t="n">
        <v>742</v>
      </c>
      <c r="L10" t="n">
        <v>653</v>
      </c>
    </row>
    <row r="11">
      <c r="A11" s="1">
        <f>Hyperlink("https://www.wallsandfloors.co.uk/metro-200x100-tiles-white-chapel-gloss-ct-tiles","Product")</f>
        <v/>
      </c>
      <c r="B11" s="1" t="inlineStr">
        <is>
          <t>44307</t>
        </is>
      </c>
      <c r="C11" s="1" t="inlineStr">
        <is>
          <t>Whitechapel Gloss White Metro Tiles</t>
        </is>
      </c>
      <c r="D11" s="1" t="inlineStr">
        <is>
          <t>200x100x7mm</t>
        </is>
      </c>
      <c r="E11" s="1" t="n">
        <v>10.95</v>
      </c>
      <c r="F11" s="1" t="n">
        <v>-87</v>
      </c>
      <c r="G11" s="1" t="inlineStr">
        <is>
          <t>SQM</t>
        </is>
      </c>
      <c r="H11" s="1" t="inlineStr">
        <is>
          <t>Ceramic</t>
        </is>
      </c>
      <c r="I11" s="1" t="inlineStr">
        <is>
          <t>Gloss</t>
        </is>
      </c>
      <c r="J11" t="n">
        <v>1553</v>
      </c>
      <c r="K11" t="n">
        <v>1511</v>
      </c>
      <c r="L11" t="n">
        <v>1466</v>
      </c>
    </row>
    <row r="12">
      <c r="A12" s="1">
        <f>Hyperlink("https://www.wallsandfloors.co.uk/lounge-tiles-matt-ivory-60x60-tiles","Product")</f>
        <v/>
      </c>
      <c r="B12" s="1" t="inlineStr">
        <is>
          <t>11200</t>
        </is>
      </c>
      <c r="C12" s="1" t="inlineStr">
        <is>
          <t>Lounge Matt Ivory Tiles</t>
        </is>
      </c>
      <c r="D12" s="1" t="inlineStr">
        <is>
          <t>600x600x9mm</t>
        </is>
      </c>
      <c r="E12" s="1" t="n">
        <v>28.95</v>
      </c>
      <c r="F12" s="1" t="n">
        <v>-87</v>
      </c>
      <c r="G12" s="1" t="inlineStr">
        <is>
          <t>SQM</t>
        </is>
      </c>
      <c r="H12" s="1" t="inlineStr">
        <is>
          <t>Porcelain</t>
        </is>
      </c>
      <c r="I12" s="1" t="inlineStr">
        <is>
          <t>Matt</t>
        </is>
      </c>
      <c r="J12" t="n">
        <v>416</v>
      </c>
      <c r="K12" t="n">
        <v>416</v>
      </c>
      <c r="L12" t="n">
        <v>329</v>
      </c>
    </row>
    <row r="13">
      <c r="A13" s="1">
        <f>Hyperlink("https://www.wallsandfloors.co.uk/coast-tiles-oyster-shell-60x30-tiles","Product")</f>
        <v/>
      </c>
      <c r="B13" s="1" t="inlineStr">
        <is>
          <t>14320</t>
        </is>
      </c>
      <c r="C13" s="1" t="inlineStr">
        <is>
          <t>Coast Oyster Shell Stone Effect Tiles</t>
        </is>
      </c>
      <c r="D13" s="1" t="inlineStr">
        <is>
          <t>613x303x7mm</t>
        </is>
      </c>
      <c r="E13" s="1" t="n">
        <v>17.95</v>
      </c>
      <c r="F13" s="1" t="n">
        <v>-78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Matt</t>
        </is>
      </c>
      <c r="J13" t="n">
        <v>2205</v>
      </c>
      <c r="K13" t="n">
        <v>2180</v>
      </c>
      <c r="L13" t="n">
        <v>2127</v>
      </c>
    </row>
    <row r="14">
      <c r="A14" s="1">
        <f>Hyperlink("https://www.wallsandfloors.co.uk/pinoso-marble-effect-silver-60x30-tiles","Product")</f>
        <v/>
      </c>
      <c r="B14" s="1" t="inlineStr">
        <is>
          <t>44467</t>
        </is>
      </c>
      <c r="C14" s="1" t="inlineStr">
        <is>
          <t>Pinoso Marble Effect Silver Tiles</t>
        </is>
      </c>
      <c r="D14" s="1" t="inlineStr">
        <is>
          <t>600x300x9mm</t>
        </is>
      </c>
      <c r="E14" s="1" t="n">
        <v>12.95</v>
      </c>
      <c r="F14" s="1" t="n">
        <v>-73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Gloss</t>
        </is>
      </c>
      <c r="J14" t="n">
        <v>1156</v>
      </c>
      <c r="K14" t="n">
        <v>1108</v>
      </c>
      <c r="L14" t="n">
        <v>1083</v>
      </c>
    </row>
    <row r="15">
      <c r="A15" s="1">
        <f>Hyperlink("https://www.wallsandfloors.co.uk/madagascan-ipil-tree-tiles-oak-wood-effect-tiles","Product")</f>
        <v/>
      </c>
      <c r="B15" s="1" t="inlineStr">
        <is>
          <t>14685</t>
        </is>
      </c>
      <c r="C15" s="1" t="inlineStr">
        <is>
          <t>Madagascan Ipil Oak Wood Effect Tiles</t>
        </is>
      </c>
      <c r="D15" s="1" t="inlineStr">
        <is>
          <t>1200x230x8mm</t>
        </is>
      </c>
      <c r="E15" s="1" t="n">
        <v>23.95</v>
      </c>
      <c r="F15" s="1" t="n">
        <v>-72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481</v>
      </c>
      <c r="K15" t="inlineStr"/>
      <c r="L15" t="n">
        <v>409</v>
      </c>
    </row>
    <row r="16">
      <c r="A16" s="1">
        <f>Hyperlink("https://www.wallsandfloors.co.uk/arcadia-dark-chocolate-luxury-vinyl-tiles","Product")</f>
        <v/>
      </c>
      <c r="B16" s="1" t="inlineStr">
        <is>
          <t>41404</t>
        </is>
      </c>
      <c r="C16" s="1" t="inlineStr">
        <is>
          <t>Arcadia Dark Chocolate Luxury Vinyl Tiles</t>
        </is>
      </c>
      <c r="D16" s="1" t="inlineStr">
        <is>
          <t>1235x178x4mm</t>
        </is>
      </c>
      <c r="E16" s="1" t="n">
        <v>32.95</v>
      </c>
      <c r="F16" s="1" t="n">
        <v>-70</v>
      </c>
      <c r="G16" s="1" t="inlineStr">
        <is>
          <t>SQM</t>
        </is>
      </c>
      <c r="H16" s="1" t="inlineStr">
        <is>
          <t>Vinyl</t>
        </is>
      </c>
      <c r="I16" s="1" t="inlineStr">
        <is>
          <t>Matt</t>
        </is>
      </c>
      <c r="J16" t="n">
        <v>342</v>
      </c>
      <c r="K16" t="n">
        <v>272</v>
      </c>
      <c r="L16" t="n">
        <v>272</v>
      </c>
    </row>
    <row r="17">
      <c r="A17" s="1">
        <f>Hyperlink("https://www.wallsandfloors.co.uk/gloss-carrara-marble-effect-60x60-tiles","Product")</f>
        <v/>
      </c>
      <c r="B17" s="1" t="inlineStr">
        <is>
          <t>36582</t>
        </is>
      </c>
      <c r="C17" s="1" t="inlineStr">
        <is>
          <t>Cappella Gloss Carrara Marble Effect Tiles</t>
        </is>
      </c>
      <c r="D17" s="1" t="inlineStr">
        <is>
          <t>605x605x8mm</t>
        </is>
      </c>
      <c r="E17" s="1" t="n">
        <v>17.95</v>
      </c>
      <c r="F17" s="1" t="n">
        <v>-66</v>
      </c>
      <c r="G17" s="1" t="inlineStr">
        <is>
          <t>SQM</t>
        </is>
      </c>
      <c r="H17" s="1" t="inlineStr">
        <is>
          <t>Porcelain</t>
        </is>
      </c>
      <c r="I17" s="1" t="inlineStr">
        <is>
          <t>Gloss</t>
        </is>
      </c>
      <c r="J17" t="n">
        <v>298</v>
      </c>
      <c r="K17" t="n">
        <v>298</v>
      </c>
      <c r="L17" t="n">
        <v>232</v>
      </c>
    </row>
    <row r="18">
      <c r="A18" s="1">
        <f>Hyperlink("https://www.wallsandfloors.co.uk/gloss-carrara-marble-effect-60x30-tiles","Product")</f>
        <v/>
      </c>
      <c r="B18" s="1" t="inlineStr">
        <is>
          <t>36530</t>
        </is>
      </c>
      <c r="C18" s="1" t="inlineStr">
        <is>
          <t>Cappella Gloss Carrara Marble Effect Tiles</t>
        </is>
      </c>
      <c r="D18" s="1" t="inlineStr">
        <is>
          <t>600x300x8mm</t>
        </is>
      </c>
      <c r="E18" s="1" t="n">
        <v>17.95</v>
      </c>
      <c r="F18" s="1" t="n">
        <v>-59</v>
      </c>
      <c r="G18" s="1" t="inlineStr">
        <is>
          <t>SQM</t>
        </is>
      </c>
      <c r="H18" s="1" t="inlineStr">
        <is>
          <t>Porcelain</t>
        </is>
      </c>
      <c r="I18" s="1" t="inlineStr">
        <is>
          <t>Gloss</t>
        </is>
      </c>
      <c r="J18" t="n">
        <v>696</v>
      </c>
      <c r="K18" t="n">
        <v>680</v>
      </c>
      <c r="L18" t="n">
        <v>637</v>
      </c>
    </row>
    <row r="19">
      <c r="A19" s="1">
        <f>Hyperlink("https://www.wallsandfloors.co.uk/trax-velvet-moon-1-8-slab-tiles","Product")</f>
        <v/>
      </c>
      <c r="B19" s="1" t="inlineStr">
        <is>
          <t>40432</t>
        </is>
      </c>
      <c r="C19" s="1" t="inlineStr">
        <is>
          <t>Trax Velvet Moon Porcelain Paving Slabs</t>
        </is>
      </c>
      <c r="D19" s="1" t="inlineStr">
        <is>
          <t>797x797x18mm</t>
        </is>
      </c>
      <c r="E19" s="1" t="n">
        <v>38.95</v>
      </c>
      <c r="F19" s="1" t="n">
        <v>-59</v>
      </c>
      <c r="G19" s="1" t="inlineStr">
        <is>
          <t>SQM</t>
        </is>
      </c>
      <c r="H19" s="1" t="inlineStr">
        <is>
          <t>Porcelain</t>
        </is>
      </c>
      <c r="I19" s="1" t="inlineStr">
        <is>
          <t>Matt</t>
        </is>
      </c>
      <c r="J19" t="n">
        <v>408</v>
      </c>
      <c r="K19" t="inlineStr"/>
      <c r="L19" t="n">
        <v>349</v>
      </c>
    </row>
    <row r="20">
      <c r="A20" s="1">
        <f>Hyperlink("https://www.wallsandfloors.co.uk/rhian-30x10-tiles-blanco-gloss-30x10-tiles-8363","Product")</f>
        <v/>
      </c>
      <c r="B20" s="1" t="inlineStr">
        <is>
          <t>8363</t>
        </is>
      </c>
      <c r="C20" s="1" t="inlineStr">
        <is>
          <t>Rhian Blanco White Gloss Tiles</t>
        </is>
      </c>
      <c r="D20" s="1" t="inlineStr">
        <is>
          <t>300x100x7mm</t>
        </is>
      </c>
      <c r="E20" s="1" t="n">
        <v>23.95</v>
      </c>
      <c r="F20" s="1" t="n">
        <v>-56</v>
      </c>
      <c r="G20" s="1" t="inlineStr">
        <is>
          <t>SQM</t>
        </is>
      </c>
      <c r="H20" s="1" t="inlineStr">
        <is>
          <t>Ceramic</t>
        </is>
      </c>
      <c r="I20" s="1" t="inlineStr">
        <is>
          <t>Gloss</t>
        </is>
      </c>
      <c r="J20" t="n">
        <v>1282</v>
      </c>
      <c r="K20" t="n">
        <v>1278</v>
      </c>
      <c r="L20" t="n">
        <v>1226</v>
      </c>
    </row>
    <row r="21">
      <c r="A21" s="1">
        <f>Hyperlink("https://www.wallsandfloors.co.uk/grey-1215x195-tiles","Product")</f>
        <v/>
      </c>
      <c r="B21" s="1" t="inlineStr">
        <is>
          <t>36533</t>
        </is>
      </c>
      <c r="C21" s="1" t="inlineStr">
        <is>
          <t>Muniellos Grey Wood Effect Tiles</t>
        </is>
      </c>
      <c r="D21" s="1" t="inlineStr">
        <is>
          <t>1215x195x10.5mm</t>
        </is>
      </c>
      <c r="E21" s="1" t="n">
        <v>35.95</v>
      </c>
      <c r="F21" s="1" t="n">
        <v>-53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n">
        <v>507</v>
      </c>
      <c r="K21" t="n">
        <v>507</v>
      </c>
      <c r="L21" t="n">
        <v>454</v>
      </c>
    </row>
    <row r="22">
      <c r="A22" s="1">
        <f>Hyperlink("https://www.wallsandfloors.co.uk/mini-metro-150x75-tiles-elephant-castle-grey-tiles","Product")</f>
        <v/>
      </c>
      <c r="B22" s="1" t="inlineStr">
        <is>
          <t>8387</t>
        </is>
      </c>
      <c r="C22" s="1" t="inlineStr">
        <is>
          <t>Elephant and Castle Gloss Grey Mini Metro Tiles</t>
        </is>
      </c>
      <c r="D22" s="1" t="inlineStr">
        <is>
          <t>150x75x7mm</t>
        </is>
      </c>
      <c r="E22" s="1" t="n">
        <v>25.95</v>
      </c>
      <c r="F22" s="1" t="n">
        <v>-51</v>
      </c>
      <c r="G22" s="1" t="inlineStr">
        <is>
          <t>SQM</t>
        </is>
      </c>
      <c r="H22" s="1" t="inlineStr">
        <is>
          <t>Ceramic</t>
        </is>
      </c>
      <c r="I22" s="1" t="inlineStr">
        <is>
          <t>Gloss</t>
        </is>
      </c>
      <c r="J22" t="n">
        <v>51</v>
      </c>
      <c r="K22" t="inlineStr"/>
      <c r="L22" t="inlineStr">
        <is>
          <t>In Stock</t>
        </is>
      </c>
    </row>
    <row r="23">
      <c r="A23" s="1">
        <f>Hyperlink("https://www.wallsandfloors.co.uk/rondelle-snowdrop-marble-effect-tiles","Product")</f>
        <v/>
      </c>
      <c r="B23" s="1" t="inlineStr">
        <is>
          <t>41061</t>
        </is>
      </c>
      <c r="C23" s="1" t="inlineStr">
        <is>
          <t>Rondelle Snowdrop Marble Effect Tiles</t>
        </is>
      </c>
      <c r="D23" s="1" t="inlineStr">
        <is>
          <t>600x600x9mm</t>
        </is>
      </c>
      <c r="E23" s="1" t="n">
        <v>12.95</v>
      </c>
      <c r="F23" s="1" t="n">
        <v>-51</v>
      </c>
      <c r="G23" s="1" t="inlineStr">
        <is>
          <t>SQM</t>
        </is>
      </c>
      <c r="H23" s="1" t="inlineStr">
        <is>
          <t>Porcelain</t>
        </is>
      </c>
      <c r="I23" s="1" t="inlineStr">
        <is>
          <t>Gloss</t>
        </is>
      </c>
      <c r="J23" t="n">
        <v>51</v>
      </c>
      <c r="K23" t="n">
        <v>51</v>
      </c>
      <c r="L23" t="inlineStr">
        <is>
          <t>In Stock</t>
        </is>
      </c>
    </row>
    <row r="24">
      <c r="A24" s="1">
        <f>Hyperlink("https://www.wallsandfloors.co.uk/titanic-wave-polished-alabaster-white-60x60-tiles","Product")</f>
        <v/>
      </c>
      <c r="B24" s="1" t="inlineStr">
        <is>
          <t>39143</t>
        </is>
      </c>
      <c r="C24" s="1" t="inlineStr">
        <is>
          <t>Titanic Wave Polished Alabaster White 60X60 Tiles</t>
        </is>
      </c>
      <c r="D24" s="1" t="inlineStr">
        <is>
          <t>600x600x9mm</t>
        </is>
      </c>
      <c r="E24" s="1" t="n">
        <v>26.95</v>
      </c>
      <c r="F24" s="1" t="n">
        <v>-47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Polished</t>
        </is>
      </c>
      <c r="J24" t="inlineStr"/>
      <c r="K24" t="n">
        <v>253</v>
      </c>
      <c r="L24" t="n">
        <v>206</v>
      </c>
    </row>
    <row r="25">
      <c r="A25" s="1">
        <f>Hyperlink("https://www.wallsandfloors.co.uk/rhian-30x10-tiles-blanco-matt-tiles","Product")</f>
        <v/>
      </c>
      <c r="B25" s="1" t="inlineStr">
        <is>
          <t>8364</t>
        </is>
      </c>
      <c r="C25" s="1" t="inlineStr">
        <is>
          <t>Rhian Blanco White Matt Brick Tiles</t>
        </is>
      </c>
      <c r="D25" s="1" t="inlineStr">
        <is>
          <t>300x100x7mm</t>
        </is>
      </c>
      <c r="E25" s="1" t="n">
        <v>23.95</v>
      </c>
      <c r="F25" s="1" t="n">
        <v>-45</v>
      </c>
      <c r="G25" s="1" t="inlineStr">
        <is>
          <t>SQM</t>
        </is>
      </c>
      <c r="H25" s="1" t="inlineStr">
        <is>
          <t>Ceramic</t>
        </is>
      </c>
      <c r="I25" s="1" t="inlineStr">
        <is>
          <t>Matt</t>
        </is>
      </c>
      <c r="J25" t="n">
        <v>306</v>
      </c>
      <c r="K25" t="n">
        <v>302</v>
      </c>
      <c r="L25" t="n">
        <v>261</v>
      </c>
    </row>
    <row r="26">
      <c r="A26" s="1">
        <f>Hyperlink("https://www.wallsandfloors.co.uk/linear-tiles-white-matt-linear-tiles","Product")</f>
        <v/>
      </c>
      <c r="B26" s="1" t="inlineStr">
        <is>
          <t>13921</t>
        </is>
      </c>
      <c r="C26" s="1" t="inlineStr">
        <is>
          <t>Linear White Matt Brick Tiles</t>
        </is>
      </c>
      <c r="D26" s="1" t="inlineStr">
        <is>
          <t>300x100x8mm</t>
        </is>
      </c>
      <c r="E26" s="1" t="n">
        <v>18.95</v>
      </c>
      <c r="F26" s="1" t="n">
        <v>-42</v>
      </c>
      <c r="G26" s="1" t="inlineStr">
        <is>
          <t>SQM</t>
        </is>
      </c>
      <c r="H26" s="1" t="inlineStr">
        <is>
          <t>Ceramic</t>
        </is>
      </c>
      <c r="I26" s="1" t="inlineStr">
        <is>
          <t>Matt</t>
        </is>
      </c>
      <c r="J26" t="n">
        <v>2067</v>
      </c>
      <c r="K26" t="n">
        <v>2066</v>
      </c>
      <c r="L26" t="n">
        <v>2025</v>
      </c>
    </row>
    <row r="27">
      <c r="A27" s="1">
        <f>Hyperlink("https://www.wallsandfloors.co.uk/keystone-tiles-stone-tiles","Product")</f>
        <v/>
      </c>
      <c r="B27" s="1" t="inlineStr">
        <is>
          <t>12088</t>
        </is>
      </c>
      <c r="C27" s="1" t="inlineStr">
        <is>
          <t>Lockstone Stone Tiles</t>
        </is>
      </c>
      <c r="D27" s="1" t="inlineStr">
        <is>
          <t>600x400x9mm</t>
        </is>
      </c>
      <c r="E27" s="1" t="n">
        <v>18.95</v>
      </c>
      <c r="F27" s="1" t="n">
        <v>-42</v>
      </c>
      <c r="G27" s="1" t="inlineStr">
        <is>
          <t>SQM</t>
        </is>
      </c>
      <c r="H27" s="1" t="inlineStr">
        <is>
          <t>Porcelain</t>
        </is>
      </c>
      <c r="I27" s="1" t="inlineStr">
        <is>
          <t>Matt</t>
        </is>
      </c>
      <c r="J27" t="n">
        <v>1717</v>
      </c>
      <c r="K27" t="n">
        <v>1710</v>
      </c>
      <c r="L27" t="n">
        <v>1675</v>
      </c>
    </row>
    <row r="28">
      <c r="A28" s="1">
        <f>Hyperlink("https://www.wallsandfloors.co.uk/samanea-wood-effect-tiles-oak-wood-suar-tile","Product")</f>
        <v/>
      </c>
      <c r="B28" s="1" t="inlineStr">
        <is>
          <t>13853</t>
        </is>
      </c>
      <c r="C28" s="1" t="inlineStr">
        <is>
          <t>Samanea Oak Suar Wood Effect Tiles</t>
        </is>
      </c>
      <c r="D28" s="1" t="inlineStr">
        <is>
          <t>950x240x9mm</t>
        </is>
      </c>
      <c r="E28" s="1" t="n">
        <v>20.95</v>
      </c>
      <c r="F28" s="1" t="n">
        <v>-38</v>
      </c>
      <c r="G28" s="1" t="inlineStr">
        <is>
          <t>SQM</t>
        </is>
      </c>
      <c r="H28" s="1" t="inlineStr">
        <is>
          <t>Ceramic</t>
        </is>
      </c>
      <c r="I28" s="1" t="inlineStr">
        <is>
          <t>Matt</t>
        </is>
      </c>
      <c r="J28" t="n">
        <v>994</v>
      </c>
      <c r="K28" t="inlineStr"/>
      <c r="L28" t="n">
        <v>956</v>
      </c>
    </row>
    <row r="29">
      <c r="A29" s="1">
        <f>Hyperlink("https://www.wallsandfloors.co.uk/toolshed-tile-adhesive-kwik-flex-grey-floor-tile-adhesive","Product")</f>
        <v/>
      </c>
      <c r="B29" s="1" t="inlineStr">
        <is>
          <t>10447</t>
        </is>
      </c>
      <c r="C29" s="1" t="inlineStr">
        <is>
          <t>Kwik Flex Grey Floor Tile Adhesive</t>
        </is>
      </c>
      <c r="D29" s="1" t="inlineStr">
        <is>
          <t>20 Kg</t>
        </is>
      </c>
      <c r="E29" s="1" t="n">
        <v>19.95</v>
      </c>
      <c r="F29" s="1" t="n">
        <v>-37</v>
      </c>
      <c r="G29" s="1" t="inlineStr"/>
      <c r="H29" s="1" t="inlineStr">
        <is>
          <t>Adhesive</t>
        </is>
      </c>
      <c r="I29" s="1" t="inlineStr">
        <is>
          <t>-</t>
        </is>
      </c>
      <c r="J29" t="n">
        <v>1453</v>
      </c>
      <c r="K29" t="n">
        <v>1445</v>
      </c>
      <c r="L29" t="n">
        <v>1416</v>
      </c>
    </row>
    <row r="30">
      <c r="A30" s="1">
        <f>Hyperlink("https://www.wallsandfloors.co.uk/courtyard-slate-silver-peony-slate-effect-tiles","Product")</f>
        <v/>
      </c>
      <c r="B30" s="1" t="inlineStr">
        <is>
          <t>24751</t>
        </is>
      </c>
      <c r="C30" s="1" t="inlineStr">
        <is>
          <t>Courtyard Silver Peony Slate Effect Tiles</t>
        </is>
      </c>
      <c r="D30" s="1" t="inlineStr">
        <is>
          <t>598x297x7.5mm</t>
        </is>
      </c>
      <c r="E30" s="1" t="n">
        <v>14.95</v>
      </c>
      <c r="F30" s="1" t="n">
        <v>-36</v>
      </c>
      <c r="G30" s="1" t="inlineStr">
        <is>
          <t>SQM</t>
        </is>
      </c>
      <c r="H30" s="1" t="inlineStr">
        <is>
          <t>Porcelain</t>
        </is>
      </c>
      <c r="I30" s="1" t="inlineStr">
        <is>
          <t>Matt</t>
        </is>
      </c>
      <c r="J30" t="n">
        <v>725</v>
      </c>
      <c r="K30" t="n">
        <v>712</v>
      </c>
      <c r="L30" t="n">
        <v>689</v>
      </c>
    </row>
    <row r="31">
      <c r="A31" s="1">
        <f>Hyperlink("https://www.wallsandfloors.co.uk/scintilla-olive-tiles","Product")</f>
        <v/>
      </c>
      <c r="B31" s="1" t="inlineStr">
        <is>
          <t>39078</t>
        </is>
      </c>
      <c r="C31" s="1" t="inlineStr">
        <is>
          <t>Scintilla Olive Green Star Pattern Tiles</t>
        </is>
      </c>
      <c r="D31" s="1" t="inlineStr">
        <is>
          <t>450x450x10.5mm</t>
        </is>
      </c>
      <c r="E31" s="1" t="n">
        <v>19.95</v>
      </c>
      <c r="F31" s="1" t="n">
        <v>-32</v>
      </c>
      <c r="G31" s="1" t="inlineStr">
        <is>
          <t>SQM</t>
        </is>
      </c>
      <c r="H31" s="1" t="inlineStr">
        <is>
          <t>Ceramic</t>
        </is>
      </c>
      <c r="I31" s="1" t="inlineStr">
        <is>
          <t>Matt</t>
        </is>
      </c>
      <c r="J31" t="n">
        <v>1065</v>
      </c>
      <c r="K31" t="n">
        <v>1056</v>
      </c>
      <c r="L31" t="n">
        <v>1033</v>
      </c>
    </row>
    <row r="32">
      <c r="A32" s="1">
        <f>Hyperlink("https://www.wallsandfloors.co.uk/scintilla-paprika-tiles","Product")</f>
        <v/>
      </c>
      <c r="B32" s="1" t="inlineStr">
        <is>
          <t>39077</t>
        </is>
      </c>
      <c r="C32" s="1" t="inlineStr">
        <is>
          <t>Scintilla Paprika Orange Star Pattern Tiles</t>
        </is>
      </c>
      <c r="D32" s="1" t="inlineStr">
        <is>
          <t>450x450x10.5mm</t>
        </is>
      </c>
      <c r="E32" s="1" t="n">
        <v>19.95</v>
      </c>
      <c r="F32" s="1" t="n">
        <v>-30</v>
      </c>
      <c r="G32" s="1" t="inlineStr">
        <is>
          <t>SQM</t>
        </is>
      </c>
      <c r="H32" s="1" t="inlineStr">
        <is>
          <t>Ceramic</t>
        </is>
      </c>
      <c r="I32" s="1" t="inlineStr">
        <is>
          <t>Matt</t>
        </is>
      </c>
      <c r="J32" t="n">
        <v>133</v>
      </c>
      <c r="K32" t="inlineStr"/>
      <c r="L32" t="n">
        <v>103</v>
      </c>
    </row>
    <row r="33">
      <c r="A33" s="1">
        <f>Hyperlink("https://www.wallsandfloors.co.uk/country-farmhouse-multicolour-slate-tiles-multicolour-slate-random-tiles","Product")</f>
        <v/>
      </c>
      <c r="B33" s="1" t="inlineStr">
        <is>
          <t>12114</t>
        </is>
      </c>
      <c r="C33" s="1" t="inlineStr">
        <is>
          <t>Country Farmhouse Mixed Multicolour Slate Tiles</t>
        </is>
      </c>
      <c r="D33" s="1" t="inlineStr">
        <is>
          <t>Mixed  (1 pack = 0.725 sqm)</t>
        </is>
      </c>
      <c r="E33" s="1" t="n">
        <v>16.95</v>
      </c>
      <c r="F33" s="1" t="n">
        <v>-30</v>
      </c>
      <c r="G33" s="1" t="inlineStr">
        <is>
          <t>SQM</t>
        </is>
      </c>
      <c r="H33" s="1" t="inlineStr">
        <is>
          <t>Slate</t>
        </is>
      </c>
      <c r="I33" s="1" t="inlineStr">
        <is>
          <t>Matt</t>
        </is>
      </c>
      <c r="J33" t="n">
        <v>384</v>
      </c>
      <c r="K33" t="n">
        <v>383</v>
      </c>
      <c r="L33" t="n">
        <v>354</v>
      </c>
    </row>
    <row r="34">
      <c r="A34" s="1">
        <f>Hyperlink("https://www.wallsandfloors.co.uk/lissome-tiles-chalk-30x7-5-gloss-tile","Product")</f>
        <v/>
      </c>
      <c r="B34" s="1" t="inlineStr">
        <is>
          <t>13601</t>
        </is>
      </c>
      <c r="C34" s="1" t="inlineStr">
        <is>
          <t>Lissome Gloss Chalk White Metro Tiles</t>
        </is>
      </c>
      <c r="D34" s="1" t="inlineStr">
        <is>
          <t>300x75x7.4mm</t>
        </is>
      </c>
      <c r="E34" s="1" t="n">
        <v>21</v>
      </c>
      <c r="F34" s="1" t="n">
        <v>-28</v>
      </c>
      <c r="G34" s="1" t="inlineStr">
        <is>
          <t>SQM</t>
        </is>
      </c>
      <c r="H34" s="1" t="inlineStr">
        <is>
          <t>Ceramic</t>
        </is>
      </c>
      <c r="I34" s="1" t="inlineStr">
        <is>
          <t>Gloss</t>
        </is>
      </c>
      <c r="J34" t="n">
        <v>87</v>
      </c>
      <c r="K34" t="inlineStr"/>
      <c r="L34" t="n">
        <v>59</v>
      </c>
    </row>
    <row r="35">
      <c r="A35" s="1">
        <f>Hyperlink("https://www.wallsandfloors.co.uk/gloss-carrara-marble-effect-120x60-tiles","Product")</f>
        <v/>
      </c>
      <c r="B35" s="1" t="inlineStr">
        <is>
          <t>40658</t>
        </is>
      </c>
      <c r="C35" s="1" t="inlineStr">
        <is>
          <t>Cappella Gloss Carrara Marble Effect Tiles</t>
        </is>
      </c>
      <c r="D35" s="1" t="inlineStr">
        <is>
          <t>1200x600x10mm</t>
        </is>
      </c>
      <c r="E35" s="1" t="n">
        <v>27.95</v>
      </c>
      <c r="F35" s="1" t="n">
        <v>-28</v>
      </c>
      <c r="G35" s="1" t="inlineStr">
        <is>
          <t>SQM</t>
        </is>
      </c>
      <c r="H35" s="1" t="inlineStr">
        <is>
          <t>Porcelain</t>
        </is>
      </c>
      <c r="I35" s="1" t="inlineStr">
        <is>
          <t>Polished</t>
        </is>
      </c>
      <c r="J35" t="n">
        <v>176</v>
      </c>
      <c r="K35" t="n">
        <v>176</v>
      </c>
      <c r="L35" t="n">
        <v>148</v>
      </c>
    </row>
    <row r="36">
      <c r="A36" s="1">
        <f>Hyperlink("https://www.wallsandfloors.co.uk/tiveden-teka-wood-effect-tiles","Product")</f>
        <v/>
      </c>
      <c r="B36" s="1" t="inlineStr">
        <is>
          <t>41848</t>
        </is>
      </c>
      <c r="C36" s="1" t="inlineStr">
        <is>
          <t>Tiveden Teka Wood Effect Tiles</t>
        </is>
      </c>
      <c r="D36" s="1" t="inlineStr">
        <is>
          <t>1195x225x8.7mm</t>
        </is>
      </c>
      <c r="E36" s="1" t="n">
        <v>27.95</v>
      </c>
      <c r="F36" s="1" t="n">
        <v>-27</v>
      </c>
      <c r="G36" s="1" t="inlineStr">
        <is>
          <t>SQM</t>
        </is>
      </c>
      <c r="H36" s="1" t="inlineStr">
        <is>
          <t>Porcelain</t>
        </is>
      </c>
      <c r="I36" s="1" t="inlineStr">
        <is>
          <t>Matt</t>
        </is>
      </c>
      <c r="J36" t="n">
        <v>217</v>
      </c>
      <c r="K36" t="n">
        <v>217</v>
      </c>
      <c r="L36" t="n">
        <v>190</v>
      </c>
    </row>
    <row r="37">
      <c r="A37" s="1">
        <f>Hyperlink("https://www.wallsandfloors.co.uk/rustic-metro-tiles-white-gloss-tiles","Product")</f>
        <v/>
      </c>
      <c r="B37" s="1" t="inlineStr">
        <is>
          <t>12174</t>
        </is>
      </c>
      <c r="C37" s="1" t="inlineStr">
        <is>
          <t>White Rustic Metro Tiles</t>
        </is>
      </c>
      <c r="D37" s="1" t="inlineStr">
        <is>
          <t>150x75x7mm</t>
        </is>
      </c>
      <c r="E37" s="1" t="n">
        <v>20.95</v>
      </c>
      <c r="F37" s="1" t="n">
        <v>-27</v>
      </c>
      <c r="G37" s="1" t="inlineStr">
        <is>
          <t>SQM</t>
        </is>
      </c>
      <c r="H37" s="1" t="inlineStr">
        <is>
          <t>Ceramic</t>
        </is>
      </c>
      <c r="I37" s="1" t="inlineStr">
        <is>
          <t>Gloss</t>
        </is>
      </c>
      <c r="J37" t="n">
        <v>306</v>
      </c>
      <c r="K37" t="n">
        <v>306</v>
      </c>
      <c r="L37" t="n">
        <v>279</v>
      </c>
    </row>
    <row r="38">
      <c r="A38" s="1">
        <f>Hyperlink("https://www.wallsandfloors.co.uk/piquancy-cynosure-tiles","Product")</f>
        <v/>
      </c>
      <c r="B38" s="1" t="inlineStr">
        <is>
          <t>24743</t>
        </is>
      </c>
      <c r="C38" s="1" t="inlineStr">
        <is>
          <t>Cynosure Vintage Pattern Tiles</t>
        </is>
      </c>
      <c r="D38" s="1" t="inlineStr">
        <is>
          <t>450x450x11.5mm</t>
        </is>
      </c>
      <c r="E38" s="1" t="n">
        <v>26.95</v>
      </c>
      <c r="F38" s="1" t="n">
        <v>-26</v>
      </c>
      <c r="G38" s="1" t="inlineStr">
        <is>
          <t>SQM</t>
        </is>
      </c>
      <c r="H38" s="1" t="inlineStr">
        <is>
          <t>Ceramic</t>
        </is>
      </c>
      <c r="I38" s="1" t="inlineStr">
        <is>
          <t>Matt</t>
        </is>
      </c>
      <c r="J38" t="n">
        <v>133</v>
      </c>
      <c r="K38" t="n">
        <v>126</v>
      </c>
      <c r="L38" t="n">
        <v>107</v>
      </c>
    </row>
    <row r="39">
      <c r="A39" s="1">
        <f>Hyperlink("https://www.wallsandfloors.co.uk/churchill-snow-midnight-chequer-mosaic-tiles","Product")</f>
        <v/>
      </c>
      <c r="B39" s="1" t="inlineStr">
        <is>
          <t>41056</t>
        </is>
      </c>
      <c r="C39" s="1" t="inlineStr">
        <is>
          <t>Churchill Snow &amp; Midnight Chequer Mosaic Tiles</t>
        </is>
      </c>
      <c r="D39" s="1" t="inlineStr">
        <is>
          <t>291x291x6mm</t>
        </is>
      </c>
      <c r="E39" s="1" t="n">
        <v>5.95</v>
      </c>
      <c r="F39" s="1" t="n">
        <v>-25</v>
      </c>
      <c r="G39" s="1" t="inlineStr">
        <is>
          <t>Sheet</t>
        </is>
      </c>
      <c r="H39" s="1" t="inlineStr">
        <is>
          <t>Porcelain</t>
        </is>
      </c>
      <c r="I39" s="1" t="inlineStr">
        <is>
          <t>Matt</t>
        </is>
      </c>
      <c r="J39" t="n">
        <v>462</v>
      </c>
      <c r="K39" t="inlineStr"/>
      <c r="L39" t="n">
        <v>437</v>
      </c>
    </row>
    <row r="40">
      <c r="A40" s="1">
        <f>Hyperlink("https://www.wallsandfloors.co.uk/toolshed-tile-adhesive-kwik-grip-15-wall-tile-adhesive","Product")</f>
        <v/>
      </c>
      <c r="B40" s="1" t="inlineStr">
        <is>
          <t>9199</t>
        </is>
      </c>
      <c r="C40" s="1" t="inlineStr">
        <is>
          <t>Kwik Grip 15 Wall Tile Adhesive</t>
        </is>
      </c>
      <c r="D40" s="1" t="inlineStr">
        <is>
          <t>15 Ltr</t>
        </is>
      </c>
      <c r="E40" s="1" t="n">
        <v>19.95</v>
      </c>
      <c r="F40" s="1" t="n">
        <v>-23</v>
      </c>
      <c r="G40" s="1" t="inlineStr">
        <is>
          <t>Unit</t>
        </is>
      </c>
      <c r="H40" s="1" t="inlineStr">
        <is>
          <t>Adhesive</t>
        </is>
      </c>
      <c r="I40" s="1" t="inlineStr">
        <is>
          <t>-</t>
        </is>
      </c>
      <c r="J40" t="n">
        <v>272</v>
      </c>
      <c r="K40" t="n">
        <v>272</v>
      </c>
      <c r="L40" t="n">
        <v>249</v>
      </c>
    </row>
    <row r="41">
      <c r="A41" s="1">
        <f>Hyperlink("https://www.wallsandfloors.co.uk/victorian-green-metro-tiles","Product")</f>
        <v/>
      </c>
      <c r="B41" s="1" t="inlineStr">
        <is>
          <t>44215</t>
        </is>
      </c>
      <c r="C41" s="1" t="inlineStr">
        <is>
          <t>Victorian Green Metro Tiles</t>
        </is>
      </c>
      <c r="D41" s="1" t="inlineStr">
        <is>
          <t>200x100x6.8mm</t>
        </is>
      </c>
      <c r="E41" s="1" t="n">
        <v>26.95</v>
      </c>
      <c r="F41" s="1" t="n">
        <v>-23</v>
      </c>
      <c r="G41" s="1" t="inlineStr">
        <is>
          <t>SQM</t>
        </is>
      </c>
      <c r="H41" s="1" t="inlineStr">
        <is>
          <t>Ceramic</t>
        </is>
      </c>
      <c r="I41" s="1" t="inlineStr">
        <is>
          <t>Gloss</t>
        </is>
      </c>
      <c r="J41" t="n">
        <v>520</v>
      </c>
      <c r="K41" t="n">
        <v>518</v>
      </c>
      <c r="L41" t="n">
        <v>497</v>
      </c>
    </row>
    <row r="42">
      <c r="A42" s="1">
        <f>Hyperlink("https://www.wallsandfloors.co.uk/metro-smooth-150x75-tiles-white-chapel-brick-gloss-tiles","Product")</f>
        <v/>
      </c>
      <c r="B42" s="1" t="inlineStr">
        <is>
          <t>10725</t>
        </is>
      </c>
      <c r="C42" s="1" t="inlineStr">
        <is>
          <t>Whitechapel Gloss White Flat Mini Metro Tiles</t>
        </is>
      </c>
      <c r="D42" s="1" t="inlineStr">
        <is>
          <t>150x75x7mm</t>
        </is>
      </c>
      <c r="E42" s="1" t="n">
        <v>20.95</v>
      </c>
      <c r="F42" s="1" t="n">
        <v>-23</v>
      </c>
      <c r="G42" s="1" t="inlineStr">
        <is>
          <t>SQM</t>
        </is>
      </c>
      <c r="H42" s="1" t="inlineStr">
        <is>
          <t>Ceramic</t>
        </is>
      </c>
      <c r="I42" s="1" t="inlineStr">
        <is>
          <t>Gloss</t>
        </is>
      </c>
      <c r="J42" t="n">
        <v>323</v>
      </c>
      <c r="K42" t="inlineStr"/>
      <c r="L42" t="n">
        <v>300</v>
      </c>
    </row>
    <row r="43">
      <c r="A43" s="1">
        <f>Hyperlink("https://www.wallsandfloors.co.uk/titanium-anti-slip-tiles-tethys-structured-30x30-anti-slip-tiles","Product")</f>
        <v/>
      </c>
      <c r="B43" s="1" t="inlineStr">
        <is>
          <t>14185</t>
        </is>
      </c>
      <c r="C43" s="1" t="inlineStr">
        <is>
          <t>Titanium Tethys Structured Anti-Slip Tiles</t>
        </is>
      </c>
      <c r="D43" s="1" t="inlineStr">
        <is>
          <t>300x300x9mm</t>
        </is>
      </c>
      <c r="E43" s="1" t="n">
        <v>20.95</v>
      </c>
      <c r="F43" s="1" t="n">
        <v>-23</v>
      </c>
      <c r="G43" s="1" t="inlineStr">
        <is>
          <t>SQM</t>
        </is>
      </c>
      <c r="H43" s="1" t="inlineStr">
        <is>
          <t>Porcelain</t>
        </is>
      </c>
      <c r="I43" s="1" t="inlineStr">
        <is>
          <t>Matt</t>
        </is>
      </c>
      <c r="J43" t="n">
        <v>336</v>
      </c>
      <c r="K43" t="n">
        <v>336</v>
      </c>
      <c r="L43" t="n">
        <v>313</v>
      </c>
    </row>
    <row r="44">
      <c r="A44" s="1">
        <f>Hyperlink("https://www.wallsandfloors.co.uk/sherwood-natural-20mm-wood-effect-tiles","Product")</f>
        <v/>
      </c>
      <c r="B44" s="1" t="inlineStr">
        <is>
          <t>44426</t>
        </is>
      </c>
      <c r="C44" s="1" t="inlineStr">
        <is>
          <t>Sherwood Natural Wood Effect Porcelain Paving Slabs</t>
        </is>
      </c>
      <c r="D44" s="1" t="inlineStr">
        <is>
          <t>1195x295x20mm</t>
        </is>
      </c>
      <c r="E44" s="1" t="n">
        <v>48.95</v>
      </c>
      <c r="F44" s="1" t="n">
        <v>-22</v>
      </c>
      <c r="G44" s="1" t="inlineStr">
        <is>
          <t>SQM</t>
        </is>
      </c>
      <c r="H44" s="1" t="inlineStr">
        <is>
          <t>Porcelain</t>
        </is>
      </c>
      <c r="I44" s="1" t="inlineStr">
        <is>
          <t>Matt</t>
        </is>
      </c>
      <c r="J44" t="n">
        <v>466</v>
      </c>
      <c r="K44" t="n">
        <v>444</v>
      </c>
      <c r="L44" t="n">
        <v>444</v>
      </c>
    </row>
    <row r="45">
      <c r="A45" s="1">
        <f>Hyperlink("https://www.wallsandfloors.co.uk/country-farmhouse-multicolour-slate-tiles-multicolour-slate-30x30-tiles","Product")</f>
        <v/>
      </c>
      <c r="B45" s="1" t="inlineStr">
        <is>
          <t>12112</t>
        </is>
      </c>
      <c r="C45" s="1" t="inlineStr">
        <is>
          <t>Country Farmhouse Multicolour Slate Tiles</t>
        </is>
      </c>
      <c r="D45" s="1" t="inlineStr">
        <is>
          <t>300x300x7-12mm</t>
        </is>
      </c>
      <c r="E45" s="1" t="n">
        <v>17.95</v>
      </c>
      <c r="F45" s="1" t="n">
        <v>-20</v>
      </c>
      <c r="G45" s="1" t="inlineStr">
        <is>
          <t>SQM</t>
        </is>
      </c>
      <c r="H45" s="1" t="inlineStr">
        <is>
          <t>Slate</t>
        </is>
      </c>
      <c r="I45" s="1" t="inlineStr">
        <is>
          <t>Matt</t>
        </is>
      </c>
      <c r="J45" t="n">
        <v>375</v>
      </c>
      <c r="K45" t="n">
        <v>375</v>
      </c>
      <c r="L45" t="n">
        <v>355</v>
      </c>
    </row>
    <row r="46">
      <c r="A46" s="1">
        <f>Hyperlink("https://www.wallsandfloors.co.uk/cognac-triangle-50x50x70mm-tiles","Product")</f>
        <v/>
      </c>
      <c r="B46" s="1" t="inlineStr">
        <is>
          <t>990166</t>
        </is>
      </c>
      <c r="C46" s="1" t="inlineStr">
        <is>
          <t>Cognac Triangle Tiles</t>
        </is>
      </c>
      <c r="D46" s="1" t="inlineStr">
        <is>
          <t>50x50x70mm</t>
        </is>
      </c>
      <c r="E46" s="1" t="n">
        <v>1.31</v>
      </c>
      <c r="F46" s="1" t="n">
        <v>-20</v>
      </c>
      <c r="G46" s="1" t="inlineStr">
        <is>
          <t>SQM</t>
        </is>
      </c>
      <c r="H46" s="1" t="inlineStr">
        <is>
          <t>Porcelain</t>
        </is>
      </c>
      <c r="I46" s="1" t="inlineStr">
        <is>
          <t>Matt</t>
        </is>
      </c>
      <c r="J46" t="n">
        <v>775</v>
      </c>
      <c r="K46" t="n">
        <v>755</v>
      </c>
      <c r="L46" t="n">
        <v>755</v>
      </c>
    </row>
    <row r="47">
      <c r="A47" s="1">
        <f>Hyperlink("https://www.wallsandfloors.co.uk/raku-blue-tiles","Product")</f>
        <v/>
      </c>
      <c r="B47" s="1" t="inlineStr">
        <is>
          <t>44472</t>
        </is>
      </c>
      <c r="C47" s="1" t="inlineStr">
        <is>
          <t>Raku Blue Tiles</t>
        </is>
      </c>
      <c r="D47" s="1" t="inlineStr">
        <is>
          <t>400x200x10.3mm</t>
        </is>
      </c>
      <c r="E47" s="1" t="n">
        <v>33.95</v>
      </c>
      <c r="F47" s="1" t="n">
        <v>-20</v>
      </c>
      <c r="G47" s="1" t="inlineStr">
        <is>
          <t>SQM</t>
        </is>
      </c>
      <c r="H47" s="1" t="inlineStr">
        <is>
          <t>Ceramic</t>
        </is>
      </c>
      <c r="I47" s="1" t="inlineStr">
        <is>
          <t>Matt</t>
        </is>
      </c>
      <c r="J47" t="n">
        <v>216</v>
      </c>
      <c r="K47" t="n">
        <v>215</v>
      </c>
      <c r="L47" t="n">
        <v>196</v>
      </c>
    </row>
    <row r="48">
      <c r="A48" s="1">
        <f>Hyperlink("https://www.wallsandfloors.co.uk/devine-whites-tiles-satin-white-wall-40x20-tiles","Product")</f>
        <v/>
      </c>
      <c r="B48" s="1" t="inlineStr">
        <is>
          <t>13341</t>
        </is>
      </c>
      <c r="C48" s="1" t="inlineStr">
        <is>
          <t>Devine Satin White Wall Tiles</t>
        </is>
      </c>
      <c r="D48" s="1" t="inlineStr">
        <is>
          <t>400x200x7mm</t>
        </is>
      </c>
      <c r="E48" s="1" t="n">
        <v>15.95</v>
      </c>
      <c r="F48" s="1" t="n">
        <v>-20</v>
      </c>
      <c r="G48" s="1" t="inlineStr">
        <is>
          <t>SQM</t>
        </is>
      </c>
      <c r="H48" s="1" t="inlineStr">
        <is>
          <t>Ceramic</t>
        </is>
      </c>
      <c r="I48" s="1" t="inlineStr">
        <is>
          <t>Satin</t>
        </is>
      </c>
      <c r="J48" t="inlineStr"/>
      <c r="K48" t="n">
        <v>228</v>
      </c>
      <c r="L48" t="n">
        <v>208</v>
      </c>
    </row>
    <row r="49">
      <c r="A49" s="1">
        <f>Hyperlink("https://www.wallsandfloors.co.uk/aleutian-tiles-mountain-white-gloss-60x30-tiles","Product")</f>
        <v/>
      </c>
      <c r="B49" s="1" t="inlineStr">
        <is>
          <t>34993</t>
        </is>
      </c>
      <c r="C49" s="1" t="inlineStr">
        <is>
          <t>Aleutian Mountain White Gloss Tiles</t>
        </is>
      </c>
      <c r="D49" s="1" t="inlineStr">
        <is>
          <t>600x300x10mm</t>
        </is>
      </c>
      <c r="E49" s="1" t="n">
        <v>17.95</v>
      </c>
      <c r="F49" s="1" t="n">
        <v>-18</v>
      </c>
      <c r="G49" s="1" t="inlineStr">
        <is>
          <t>SQM</t>
        </is>
      </c>
      <c r="H49" s="1" t="inlineStr">
        <is>
          <t>Porcelain</t>
        </is>
      </c>
      <c r="I49" s="1" t="inlineStr">
        <is>
          <t>Gloss</t>
        </is>
      </c>
      <c r="J49" t="n">
        <v>135</v>
      </c>
      <c r="K49" t="n">
        <v>135</v>
      </c>
      <c r="L49" t="n">
        <v>117</v>
      </c>
    </row>
    <row r="50">
      <c r="A50" s="1">
        <f>Hyperlink("https://www.wallsandfloors.co.uk/vena-diana-flat-gloss-30x10-tiles","Product")</f>
        <v/>
      </c>
      <c r="B50" s="1" t="inlineStr">
        <is>
          <t>37746</t>
        </is>
      </c>
      <c r="C50" s="1" t="inlineStr">
        <is>
          <t>Vena Biana Flat Gloss Tiles</t>
        </is>
      </c>
      <c r="D50" s="1" t="inlineStr">
        <is>
          <t>300x100x7.5mm</t>
        </is>
      </c>
      <c r="E50" s="1" t="n">
        <v>23.15</v>
      </c>
      <c r="F50" s="1" t="n">
        <v>-18</v>
      </c>
      <c r="G50" s="1" t="inlineStr">
        <is>
          <t>SQM</t>
        </is>
      </c>
      <c r="H50" s="1" t="inlineStr">
        <is>
          <t>Ceramic</t>
        </is>
      </c>
      <c r="I50" s="1" t="inlineStr">
        <is>
          <t>Gloss</t>
        </is>
      </c>
      <c r="J50" t="n">
        <v>392</v>
      </c>
      <c r="K50" t="inlineStr"/>
      <c r="L50" t="n">
        <v>374</v>
      </c>
    </row>
    <row r="51">
      <c r="A51" s="1">
        <f>Hyperlink("https://www.wallsandfloors.co.uk/soho-nero-tiles","Product")</f>
        <v/>
      </c>
      <c r="B51" s="1" t="inlineStr">
        <is>
          <t>38591</t>
        </is>
      </c>
      <c r="C51" s="1" t="inlineStr">
        <is>
          <t>Soho Nero Black Marble Effect Tiles</t>
        </is>
      </c>
      <c r="D51" s="1" t="inlineStr">
        <is>
          <t>185x185x8mm</t>
        </is>
      </c>
      <c r="E51" s="1" t="n">
        <v>34.95</v>
      </c>
      <c r="F51" s="1" t="n">
        <v>-17</v>
      </c>
      <c r="G51" s="1" t="inlineStr">
        <is>
          <t>SQM</t>
        </is>
      </c>
      <c r="H51" s="1" t="inlineStr">
        <is>
          <t>Porcelain</t>
        </is>
      </c>
      <c r="I51" s="1" t="inlineStr">
        <is>
          <t>Matt</t>
        </is>
      </c>
      <c r="J51" t="n">
        <v>148</v>
      </c>
      <c r="K51" t="n">
        <v>148</v>
      </c>
      <c r="L51" t="n">
        <v>131</v>
      </c>
    </row>
    <row r="52">
      <c r="A52" s="1">
        <f>Hyperlink("https://www.wallsandfloors.co.uk/blue-mix-split-face-wood-tiles","Product")</f>
        <v/>
      </c>
      <c r="B52" s="1" t="inlineStr">
        <is>
          <t>14936</t>
        </is>
      </c>
      <c r="C52" s="1" t="inlineStr">
        <is>
          <t>Blue Mix Split Face Wood Tiles</t>
        </is>
      </c>
      <c r="D52" s="1" t="inlineStr">
        <is>
          <t>450x250x12mm</t>
        </is>
      </c>
      <c r="E52" s="1" t="n">
        <v>30.95</v>
      </c>
      <c r="F52" s="1" t="n">
        <v>-17</v>
      </c>
      <c r="G52" s="1" t="inlineStr">
        <is>
          <t>SQM</t>
        </is>
      </c>
      <c r="H52" s="1" t="inlineStr">
        <is>
          <t>Porcelain</t>
        </is>
      </c>
      <c r="I52" s="1" t="inlineStr">
        <is>
          <t>Matt</t>
        </is>
      </c>
      <c r="J52" t="n">
        <v>117</v>
      </c>
      <c r="K52" t="n">
        <v>117</v>
      </c>
      <c r="L52" t="n">
        <v>100</v>
      </c>
    </row>
    <row r="53">
      <c r="A53" s="1">
        <f>Hyperlink("https://www.wallsandfloors.co.uk/diablo-travertine-effect-tiles-beige-stone-effect-tiles","Product")</f>
        <v/>
      </c>
      <c r="B53" s="1" t="inlineStr">
        <is>
          <t>15287</t>
        </is>
      </c>
      <c r="C53" s="1" t="inlineStr">
        <is>
          <t>Diablo Beige Travertine Effect Tiles</t>
        </is>
      </c>
      <c r="D53" s="1" t="inlineStr">
        <is>
          <t>600x400x7.5mm</t>
        </is>
      </c>
      <c r="E53" s="1" t="n">
        <v>20.95</v>
      </c>
      <c r="F53" s="1" t="n">
        <v>-17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Matt</t>
        </is>
      </c>
      <c r="J53" t="n">
        <v>156</v>
      </c>
      <c r="K53" t="n">
        <v>156</v>
      </c>
      <c r="L53" t="n">
        <v>139</v>
      </c>
    </row>
    <row r="54">
      <c r="A54" s="1">
        <f>Hyperlink("https://www.wallsandfloors.co.uk/picket-bevelled-mint-tiles","Product")</f>
        <v/>
      </c>
      <c r="B54" s="1" t="inlineStr">
        <is>
          <t>44238</t>
        </is>
      </c>
      <c r="C54" s="1" t="inlineStr">
        <is>
          <t>Pickett™ Bevelled Mint Tiles</t>
        </is>
      </c>
      <c r="D54" s="1" t="inlineStr">
        <is>
          <t>300x100x8.2mm</t>
        </is>
      </c>
      <c r="E54" s="1" t="n">
        <v>34.95</v>
      </c>
      <c r="F54" s="1" t="n">
        <v>-17</v>
      </c>
      <c r="G54" s="1" t="inlineStr">
        <is>
          <t>SQM</t>
        </is>
      </c>
      <c r="H54" s="1" t="inlineStr">
        <is>
          <t>Ceramic</t>
        </is>
      </c>
      <c r="I54" s="1" t="inlineStr">
        <is>
          <t>Gloss</t>
        </is>
      </c>
      <c r="J54" t="n">
        <v>130</v>
      </c>
      <c r="K54" t="inlineStr"/>
      <c r="L54" t="n">
        <v>113</v>
      </c>
    </row>
    <row r="55">
      <c r="A55" s="1">
        <f>Hyperlink("https://www.wallsandfloors.co.uk/quarry-red-tiles-red-plain-15x15-hexagon-quarry-tiles","Product")</f>
        <v/>
      </c>
      <c r="B55" s="1" t="inlineStr">
        <is>
          <t>15458</t>
        </is>
      </c>
      <c r="C55" s="1" t="inlineStr">
        <is>
          <t>Red Plain Hexagon Quarry Tiles</t>
        </is>
      </c>
      <c r="D55" s="1" t="inlineStr">
        <is>
          <t>150x150x8.5mm</t>
        </is>
      </c>
      <c r="E55" s="1" t="n">
        <v>23.95</v>
      </c>
      <c r="F55" s="1" t="n">
        <v>-16</v>
      </c>
      <c r="G55" s="1" t="inlineStr">
        <is>
          <t>SQM</t>
        </is>
      </c>
      <c r="H55" s="1" t="inlineStr">
        <is>
          <t>Clay</t>
        </is>
      </c>
      <c r="I55" s="1" t="inlineStr">
        <is>
          <t>Matt</t>
        </is>
      </c>
      <c r="J55" t="n">
        <v>114</v>
      </c>
      <c r="K55" t="n">
        <v>98</v>
      </c>
      <c r="L55" t="n">
        <v>98</v>
      </c>
    </row>
    <row r="56">
      <c r="A56" s="1">
        <f>Hyperlink("https://www.wallsandfloors.co.uk/soho-satin-tiles","Product")</f>
        <v/>
      </c>
      <c r="B56" s="1" t="inlineStr">
        <is>
          <t>38592</t>
        </is>
      </c>
      <c r="C56" s="1" t="inlineStr">
        <is>
          <t>Soho Satin White Marble Effect Tiles</t>
        </is>
      </c>
      <c r="D56" s="1" t="inlineStr">
        <is>
          <t>185x185x8mm</t>
        </is>
      </c>
      <c r="E56" s="1" t="n">
        <v>34.95</v>
      </c>
      <c r="F56" s="1" t="n">
        <v>-16</v>
      </c>
      <c r="G56" s="1" t="inlineStr">
        <is>
          <t>SQM</t>
        </is>
      </c>
      <c r="H56" s="1" t="inlineStr">
        <is>
          <t>Porcelain</t>
        </is>
      </c>
      <c r="I56" s="1" t="inlineStr">
        <is>
          <t>Matt</t>
        </is>
      </c>
      <c r="J56" t="inlineStr"/>
      <c r="K56" t="n">
        <v>91</v>
      </c>
      <c r="L56" t="n">
        <v>75</v>
      </c>
    </row>
    <row r="57">
      <c r="A57" s="1">
        <f>Hyperlink("https://www.wallsandfloors.co.uk/memoir-encaustic-effect-tiles-saltaire-scored-tiles","Product")</f>
        <v/>
      </c>
      <c r="B57" s="1" t="inlineStr">
        <is>
          <t>15387</t>
        </is>
      </c>
      <c r="C57" s="1" t="inlineStr">
        <is>
          <t>Memoir Encaustic Saltaire Pattern Tiles</t>
        </is>
      </c>
      <c r="D57" s="1" t="inlineStr">
        <is>
          <t>450x450x10mm</t>
        </is>
      </c>
      <c r="E57" s="1" t="n">
        <v>20.95</v>
      </c>
      <c r="F57" s="1" t="n">
        <v>-15</v>
      </c>
      <c r="G57" s="1" t="inlineStr">
        <is>
          <t>SQM</t>
        </is>
      </c>
      <c r="H57" s="1" t="inlineStr">
        <is>
          <t>Ceramic</t>
        </is>
      </c>
      <c r="I57" s="1" t="inlineStr">
        <is>
          <t>Matt</t>
        </is>
      </c>
      <c r="J57" t="n">
        <v>345</v>
      </c>
      <c r="K57" t="n">
        <v>345</v>
      </c>
      <c r="L57" t="n">
        <v>330</v>
      </c>
    </row>
    <row r="58">
      <c r="A58" s="1">
        <f>Hyperlink("https://www.wallsandfloors.co.uk/picket-bevelled-navy-tiles","Product")</f>
        <v/>
      </c>
      <c r="B58" s="1" t="inlineStr">
        <is>
          <t>44216</t>
        </is>
      </c>
      <c r="C58" s="1" t="inlineStr">
        <is>
          <t>Pickett™ Bevelled Navy Tiles</t>
        </is>
      </c>
      <c r="D58" s="1" t="inlineStr">
        <is>
          <t>300x100x8.2mm</t>
        </is>
      </c>
      <c r="E58" s="1" t="n">
        <v>34.95</v>
      </c>
      <c r="F58" s="1" t="n">
        <v>-15</v>
      </c>
      <c r="G58" s="1" t="inlineStr">
        <is>
          <t>SQM</t>
        </is>
      </c>
      <c r="H58" s="1" t="inlineStr">
        <is>
          <t>Ceramic</t>
        </is>
      </c>
      <c r="I58" s="1" t="inlineStr">
        <is>
          <t>Gloss</t>
        </is>
      </c>
      <c r="J58" t="n">
        <v>164</v>
      </c>
      <c r="K58" t="n">
        <v>162</v>
      </c>
      <c r="L58" t="n">
        <v>149</v>
      </c>
    </row>
    <row r="59">
      <c r="A59" s="1">
        <f>Hyperlink("https://www.wallsandfloors.co.uk/kingsley-blue-tiles","Product")</f>
        <v/>
      </c>
      <c r="B59" s="1" t="inlineStr">
        <is>
          <t>41858</t>
        </is>
      </c>
      <c r="C59" s="1" t="inlineStr">
        <is>
          <t>Kingsley Blue Pattern Tiles</t>
        </is>
      </c>
      <c r="D59" s="1" t="inlineStr">
        <is>
          <t>450x450x8.5mm</t>
        </is>
      </c>
      <c r="E59" s="1" t="n">
        <v>29.95</v>
      </c>
      <c r="F59" s="1" t="n">
        <v>-15</v>
      </c>
      <c r="G59" s="1" t="inlineStr">
        <is>
          <t>SQM</t>
        </is>
      </c>
      <c r="H59" s="1" t="inlineStr">
        <is>
          <t>Porcelain</t>
        </is>
      </c>
      <c r="I59" s="1" t="inlineStr">
        <is>
          <t>Matt</t>
        </is>
      </c>
      <c r="J59" t="n">
        <v>100</v>
      </c>
      <c r="K59" t="n">
        <v>100</v>
      </c>
      <c r="L59" t="n">
        <v>85</v>
      </c>
    </row>
    <row r="60">
      <c r="A60" s="1">
        <f>Hyperlink("https://www.wallsandfloors.co.uk/toolshed-tile-adhesive-kwik-grip-ice-white-wall-tile-adhesive","Product")</f>
        <v/>
      </c>
      <c r="B60" s="1" t="inlineStr">
        <is>
          <t>13765</t>
        </is>
      </c>
      <c r="C60" s="1" t="inlineStr">
        <is>
          <t>Kwik Grip Ice White Wall Tile Adhesive</t>
        </is>
      </c>
      <c r="D60" s="1" t="inlineStr">
        <is>
          <t>10 Ltr</t>
        </is>
      </c>
      <c r="E60" s="1" t="n">
        <v>22.95</v>
      </c>
      <c r="F60" s="1" t="n">
        <v>-15</v>
      </c>
      <c r="G60" s="1" t="inlineStr"/>
      <c r="H60" s="1" t="inlineStr">
        <is>
          <t>Adhesive</t>
        </is>
      </c>
      <c r="I60" s="1" t="inlineStr">
        <is>
          <t>-</t>
        </is>
      </c>
      <c r="J60" t="n">
        <v>310</v>
      </c>
      <c r="K60" t="inlineStr"/>
      <c r="L60" t="n">
        <v>295</v>
      </c>
    </row>
    <row r="61">
      <c r="A61" s="1">
        <f>Hyperlink("https://www.wallsandfloors.co.uk/scintilla-silver-grey-star-pattern-tiles","Product")</f>
        <v/>
      </c>
      <c r="B61" s="1" t="inlineStr">
        <is>
          <t>43853</t>
        </is>
      </c>
      <c r="C61" s="1" t="inlineStr">
        <is>
          <t>Scintilla Silver Grey Star Pattern Tiles</t>
        </is>
      </c>
      <c r="D61" s="1" t="inlineStr">
        <is>
          <t>450x450x10.5mm</t>
        </is>
      </c>
      <c r="E61" s="1" t="n">
        <v>19.95</v>
      </c>
      <c r="F61" s="1" t="n">
        <v>-15</v>
      </c>
      <c r="G61" s="1" t="inlineStr">
        <is>
          <t>SQM</t>
        </is>
      </c>
      <c r="H61" s="1" t="inlineStr">
        <is>
          <t>Ceramic</t>
        </is>
      </c>
      <c r="I61" s="1" t="inlineStr">
        <is>
          <t>Matt</t>
        </is>
      </c>
      <c r="J61" t="n">
        <v>545</v>
      </c>
      <c r="K61" t="n">
        <v>541</v>
      </c>
      <c r="L61" t="n">
        <v>530</v>
      </c>
    </row>
    <row r="62">
      <c r="A62" s="1">
        <f>Hyperlink("https://www.wallsandfloors.co.uk/metro-200x100-tiles-chalk-farm-matt-white-tiles","Product")</f>
        <v/>
      </c>
      <c r="B62" s="1" t="inlineStr">
        <is>
          <t>8403</t>
        </is>
      </c>
      <c r="C62" s="1" t="inlineStr">
        <is>
          <t>Metro Chalk Farm White Matt Tiles</t>
        </is>
      </c>
      <c r="D62" s="1" t="inlineStr">
        <is>
          <t>200x100x7mm</t>
        </is>
      </c>
      <c r="E62" s="1" t="n">
        <v>17.95</v>
      </c>
      <c r="F62" s="1" t="n">
        <v>-14</v>
      </c>
      <c r="G62" s="1" t="inlineStr">
        <is>
          <t>SQM</t>
        </is>
      </c>
      <c r="H62" s="1" t="inlineStr">
        <is>
          <t>Ceramic</t>
        </is>
      </c>
      <c r="I62" s="1" t="inlineStr">
        <is>
          <t>Matt</t>
        </is>
      </c>
      <c r="J62" t="n">
        <v>876</v>
      </c>
      <c r="K62" t="n">
        <v>862</v>
      </c>
      <c r="L62" t="n">
        <v>862</v>
      </c>
    </row>
    <row r="63">
      <c r="A63" s="1">
        <f>Hyperlink("https://www.wallsandfloors.co.uk/cava-victorian-unglazed-150x150-quarry-tiles-black-quarry-tiles","Product")</f>
        <v/>
      </c>
      <c r="B63" s="1" t="inlineStr">
        <is>
          <t>13072</t>
        </is>
      </c>
      <c r="C63" s="1" t="inlineStr">
        <is>
          <t>Cava Victorian Black Quarry Tiles</t>
        </is>
      </c>
      <c r="D63" s="1" t="inlineStr">
        <is>
          <t>150x150x8mm</t>
        </is>
      </c>
      <c r="E63" s="1" t="n">
        <v>39.95</v>
      </c>
      <c r="F63" s="1" t="n">
        <v>-13</v>
      </c>
      <c r="G63" s="1" t="inlineStr">
        <is>
          <t>SQM</t>
        </is>
      </c>
      <c r="H63" s="1" t="inlineStr">
        <is>
          <t>Porcelain</t>
        </is>
      </c>
      <c r="I63" s="1" t="inlineStr">
        <is>
          <t>Matt</t>
        </is>
      </c>
      <c r="J63" t="n">
        <v>323</v>
      </c>
      <c r="K63" t="n">
        <v>321</v>
      </c>
      <c r="L63" t="n">
        <v>310</v>
      </c>
    </row>
    <row r="64">
      <c r="A64" s="1">
        <f>Hyperlink("https://www.wallsandfloors.co.uk/mr-jones-charcoal-tiles-58825","Product")</f>
        <v/>
      </c>
      <c r="B64" s="1" t="inlineStr">
        <is>
          <t>43419</t>
        </is>
      </c>
      <c r="C64" s="1" t="inlineStr">
        <is>
          <t>Mr Jones Charcoal Tiles</t>
        </is>
      </c>
      <c r="D64" s="1" t="inlineStr">
        <is>
          <t>450x450x9mm</t>
        </is>
      </c>
      <c r="E64" s="1" t="n">
        <v>17.95</v>
      </c>
      <c r="F64" s="1" t="n">
        <v>-13</v>
      </c>
      <c r="G64" s="1" t="inlineStr">
        <is>
          <t>SQM</t>
        </is>
      </c>
      <c r="H64" s="1" t="inlineStr">
        <is>
          <t>Ceramic</t>
        </is>
      </c>
      <c r="I64" s="1" t="inlineStr">
        <is>
          <t>Matt</t>
        </is>
      </c>
      <c r="J64" t="n">
        <v>1339</v>
      </c>
      <c r="K64" t="inlineStr"/>
      <c r="L64" t="n">
        <v>1326</v>
      </c>
    </row>
    <row r="65">
      <c r="A65" s="1">
        <f>Hyperlink("https://www.wallsandfloors.co.uk/aquarelle-300x100-tiles-mint-tiles","Product")</f>
        <v/>
      </c>
      <c r="B65" s="1" t="inlineStr">
        <is>
          <t>15410</t>
        </is>
      </c>
      <c r="C65" s="1" t="inlineStr">
        <is>
          <t>Aquarelle Mint Blue Tiles</t>
        </is>
      </c>
      <c r="D65" s="1" t="inlineStr">
        <is>
          <t>300x100x8mm</t>
        </is>
      </c>
      <c r="E65" s="1" t="n">
        <v>29.95</v>
      </c>
      <c r="F65" s="1" t="n">
        <v>-13</v>
      </c>
      <c r="G65" s="1" t="inlineStr">
        <is>
          <t>SQM</t>
        </is>
      </c>
      <c r="H65" s="1" t="inlineStr">
        <is>
          <t>Ceramic</t>
        </is>
      </c>
      <c r="I65" s="1" t="inlineStr">
        <is>
          <t>Gloss</t>
        </is>
      </c>
      <c r="J65" t="n">
        <v>87</v>
      </c>
      <c r="K65" t="inlineStr"/>
      <c r="L65" t="n">
        <v>74</v>
      </c>
    </row>
    <row r="66">
      <c r="A66" s="1">
        <f>Hyperlink("https://www.wallsandfloors.co.uk/marvel-tiles-timber-wolf-pale-grey-gloss-tiles","Product")</f>
        <v/>
      </c>
      <c r="B66" s="1" t="inlineStr">
        <is>
          <t>13697</t>
        </is>
      </c>
      <c r="C66" s="1" t="inlineStr">
        <is>
          <t>Marvel Gloss Timber Wolf Pale Grey Wall Tiles</t>
        </is>
      </c>
      <c r="D66" s="1" t="inlineStr">
        <is>
          <t>148x148x6mm</t>
        </is>
      </c>
      <c r="E66" s="1" t="n">
        <v>23.95</v>
      </c>
      <c r="F66" s="1" t="n">
        <v>-13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n">
        <v>148</v>
      </c>
      <c r="K66" t="n">
        <v>148</v>
      </c>
      <c r="L66" t="n">
        <v>135</v>
      </c>
    </row>
    <row r="67">
      <c r="A67" s="1">
        <f>Hyperlink("https://www.wallsandfloors.co.uk/aragon-terracotta-red-quarry-tiles-flat-20x20-tiles-13314","Product")</f>
        <v/>
      </c>
      <c r="B67" s="1" t="inlineStr">
        <is>
          <t>13314</t>
        </is>
      </c>
      <c r="C67" s="1" t="inlineStr">
        <is>
          <t>Aragon Flat Red Quarry Tiles</t>
        </is>
      </c>
      <c r="D67" s="1" t="inlineStr">
        <is>
          <t>200x200x12mm</t>
        </is>
      </c>
      <c r="E67" s="1" t="n">
        <v>50.95</v>
      </c>
      <c r="F67" s="1" t="n">
        <v>-13</v>
      </c>
      <c r="G67" s="1" t="inlineStr">
        <is>
          <t>SQM</t>
        </is>
      </c>
      <c r="H67" s="1" t="inlineStr">
        <is>
          <t>Clay</t>
        </is>
      </c>
      <c r="I67" s="1" t="inlineStr">
        <is>
          <t>Matt</t>
        </is>
      </c>
      <c r="J67" t="inlineStr"/>
      <c r="K67" t="n">
        <v>144</v>
      </c>
      <c r="L67" t="n">
        <v>131</v>
      </c>
    </row>
    <row r="68">
      <c r="A68" s="1">
        <f>Hyperlink("https://www.wallsandfloors.co.uk/troverta-ash-60x30-tiles","Product")</f>
        <v/>
      </c>
      <c r="B68" s="1" t="inlineStr">
        <is>
          <t>43327</t>
        </is>
      </c>
      <c r="C68" s="1" t="inlineStr">
        <is>
          <t>Troverta Ash Tiles</t>
        </is>
      </c>
      <c r="D68" s="1" t="inlineStr">
        <is>
          <t>600x300x8.5mm</t>
        </is>
      </c>
      <c r="E68" s="1" t="n">
        <v>20.95</v>
      </c>
      <c r="F68" s="1" t="n">
        <v>-13</v>
      </c>
      <c r="G68" s="1" t="inlineStr">
        <is>
          <t>SQM</t>
        </is>
      </c>
      <c r="H68" s="1" t="inlineStr">
        <is>
          <t>Ceramic</t>
        </is>
      </c>
      <c r="I68" s="1" t="inlineStr">
        <is>
          <t>Matt</t>
        </is>
      </c>
      <c r="J68" t="n">
        <v>554</v>
      </c>
      <c r="K68" t="inlineStr"/>
      <c r="L68" t="n">
        <v>541</v>
      </c>
    </row>
    <row r="69">
      <c r="A69" s="1">
        <f>Hyperlink("https://www.wallsandfloors.co.uk/boutique-brick-chiffon-hand-crafted-metro-tiles","Product")</f>
        <v/>
      </c>
      <c r="B69" s="1" t="inlineStr">
        <is>
          <t>34249</t>
        </is>
      </c>
      <c r="C69" s="1" t="inlineStr">
        <is>
          <t>Chiffon Hand Crafted Metro Tiles</t>
        </is>
      </c>
      <c r="D69" s="1" t="inlineStr">
        <is>
          <t>300x75x10mm</t>
        </is>
      </c>
      <c r="E69" s="1" t="n">
        <v>35.95</v>
      </c>
      <c r="F69" s="1" t="n">
        <v>-12</v>
      </c>
      <c r="G69" s="1" t="inlineStr">
        <is>
          <t>SQM</t>
        </is>
      </c>
      <c r="H69" s="1" t="inlineStr">
        <is>
          <t>Ceramic</t>
        </is>
      </c>
      <c r="I69" s="1" t="inlineStr">
        <is>
          <t>Gloss</t>
        </is>
      </c>
      <c r="J69" t="n">
        <v>665</v>
      </c>
      <c r="K69" t="n">
        <v>662</v>
      </c>
      <c r="L69" t="n">
        <v>653</v>
      </c>
    </row>
    <row r="70">
      <c r="A70" s="1">
        <f>Hyperlink("https://www.wallsandfloors.co.uk/rustic-metro-300x100-almond-gloss-tiles","Product")</f>
        <v/>
      </c>
      <c r="B70" s="1" t="inlineStr">
        <is>
          <t>15082</t>
        </is>
      </c>
      <c r="C70" s="1" t="inlineStr">
        <is>
          <t>Almond Rustic Metro Tiles</t>
        </is>
      </c>
      <c r="D70" s="1" t="inlineStr">
        <is>
          <t>300x100x7mm</t>
        </is>
      </c>
      <c r="E70" s="1" t="n">
        <v>20.95</v>
      </c>
      <c r="F70" s="1" t="n">
        <v>-12</v>
      </c>
      <c r="G70" s="1" t="inlineStr">
        <is>
          <t>SQM</t>
        </is>
      </c>
      <c r="H70" s="1" t="inlineStr">
        <is>
          <t>Ceramic</t>
        </is>
      </c>
      <c r="I70" s="1" t="inlineStr">
        <is>
          <t>Gloss</t>
        </is>
      </c>
      <c r="J70" t="n">
        <v>160</v>
      </c>
      <c r="K70" t="n">
        <v>160</v>
      </c>
      <c r="L70" t="n">
        <v>148</v>
      </c>
    </row>
    <row r="71">
      <c r="A71" s="1">
        <f>Hyperlink("https://www.wallsandfloors.co.uk/mini-metro-150x75-tiles-white-chapel-tiles","Product")</f>
        <v/>
      </c>
      <c r="B71" s="1" t="inlineStr">
        <is>
          <t>8377</t>
        </is>
      </c>
      <c r="C71" s="1" t="inlineStr">
        <is>
          <t>Whitechapel Gloss White Mini Metro Tiles</t>
        </is>
      </c>
      <c r="D71" s="1" t="inlineStr">
        <is>
          <t>150x75x7mm</t>
        </is>
      </c>
      <c r="E71" s="1" t="n">
        <v>23.95</v>
      </c>
      <c r="F71" s="1" t="n">
        <v>-12</v>
      </c>
      <c r="G71" s="1" t="inlineStr">
        <is>
          <t>SQM</t>
        </is>
      </c>
      <c r="H71" s="1" t="inlineStr">
        <is>
          <t>Ceramic</t>
        </is>
      </c>
      <c r="I71" s="1" t="inlineStr">
        <is>
          <t>Gloss</t>
        </is>
      </c>
      <c r="J71" t="n">
        <v>259</v>
      </c>
      <c r="K71" t="inlineStr"/>
      <c r="L71" t="n">
        <v>247</v>
      </c>
    </row>
    <row r="72">
      <c r="A72" s="1">
        <f>Hyperlink("https://www.wallsandfloors.co.uk/mini-metro-150x75-tiles-chalk-farm-tiles","Product")</f>
        <v/>
      </c>
      <c r="B72" s="1" t="inlineStr">
        <is>
          <t>8380</t>
        </is>
      </c>
      <c r="C72" s="1" t="inlineStr">
        <is>
          <t>Chalk Farm White Matt Mini Metro Tiles</t>
        </is>
      </c>
      <c r="D72" s="1" t="inlineStr">
        <is>
          <t>150x75x7mm</t>
        </is>
      </c>
      <c r="E72" s="1" t="n">
        <v>25.95</v>
      </c>
      <c r="F72" s="1" t="n">
        <v>-12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230</v>
      </c>
      <c r="K72" t="n">
        <v>230</v>
      </c>
      <c r="L72" t="n">
        <v>218</v>
      </c>
    </row>
    <row r="73">
      <c r="A73" s="1">
        <f>Hyperlink("https://www.wallsandfloors.co.uk/cava-victorian-unglazed-150x150-quarry-tiles-white-quarry-tiles","Product")</f>
        <v/>
      </c>
      <c r="B73" s="1" t="inlineStr">
        <is>
          <t>13075</t>
        </is>
      </c>
      <c r="C73" s="1" t="inlineStr">
        <is>
          <t>Cava Victorian White Quarry Tiles</t>
        </is>
      </c>
      <c r="D73" s="1" t="inlineStr">
        <is>
          <t>150x150x8mm</t>
        </is>
      </c>
      <c r="E73" s="1" t="n">
        <v>39.95</v>
      </c>
      <c r="F73" s="1" t="n">
        <v>-12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Matt</t>
        </is>
      </c>
      <c r="J73" t="n">
        <v>137</v>
      </c>
      <c r="K73" t="n">
        <v>136</v>
      </c>
      <c r="L73" t="n">
        <v>125</v>
      </c>
    </row>
    <row r="74">
      <c r="A74" s="1">
        <f>Hyperlink("https://www.wallsandfloors.co.uk/ledbury-black-tiles","Product")</f>
        <v/>
      </c>
      <c r="B74" s="1" t="inlineStr">
        <is>
          <t>41138</t>
        </is>
      </c>
      <c r="C74" s="1" t="inlineStr">
        <is>
          <t>Ledbury Charcoal Black Pattern Tiles</t>
        </is>
      </c>
      <c r="D74" s="1" t="inlineStr">
        <is>
          <t>450x450x10mm</t>
        </is>
      </c>
      <c r="E74" s="1" t="n">
        <v>18.95</v>
      </c>
      <c r="F74" s="1" t="n">
        <v>-12</v>
      </c>
      <c r="G74" s="1" t="inlineStr">
        <is>
          <t>SQM</t>
        </is>
      </c>
      <c r="H74" s="1" t="inlineStr">
        <is>
          <t>Ceramic</t>
        </is>
      </c>
      <c r="I74" s="1" t="inlineStr">
        <is>
          <t>Satin</t>
        </is>
      </c>
      <c r="J74" t="n">
        <v>162</v>
      </c>
      <c r="K74" t="n">
        <v>162</v>
      </c>
      <c r="L74" t="n">
        <v>150</v>
      </c>
    </row>
    <row r="75">
      <c r="A75" s="1">
        <f>Hyperlink("https://www.wallsandfloors.co.uk/innocence-whites-white-smooth-matt-400x250-tile","Product")</f>
        <v/>
      </c>
      <c r="B75" s="1" t="inlineStr">
        <is>
          <t>13335</t>
        </is>
      </c>
      <c r="C75" s="1" t="inlineStr">
        <is>
          <t>Innocence White Smooth Matt Tiles</t>
        </is>
      </c>
      <c r="D75" s="1" t="inlineStr">
        <is>
          <t>400x250x7mm</t>
        </is>
      </c>
      <c r="E75" s="1" t="n">
        <v>13.95</v>
      </c>
      <c r="F75" s="1" t="n">
        <v>-11</v>
      </c>
      <c r="G75" s="1" t="inlineStr">
        <is>
          <t>SQM</t>
        </is>
      </c>
      <c r="H75" s="1" t="inlineStr">
        <is>
          <t>Ceramic</t>
        </is>
      </c>
      <c r="I75" s="1" t="inlineStr">
        <is>
          <t>Matt</t>
        </is>
      </c>
      <c r="J75" t="n">
        <v>467</v>
      </c>
      <c r="K75" t="n">
        <v>467</v>
      </c>
      <c r="L75" t="n">
        <v>456</v>
      </c>
    </row>
    <row r="76">
      <c r="A76" s="1">
        <f>Hyperlink("https://www.wallsandfloors.co.uk/kingdom-tiles-province-60x60-tiles","Product")</f>
        <v/>
      </c>
      <c r="B76" s="1" t="inlineStr">
        <is>
          <t>14428</t>
        </is>
      </c>
      <c r="C76" s="1" t="inlineStr">
        <is>
          <t>Kingdom Province 60x60 Grey Concrete Effect Tiles</t>
        </is>
      </c>
      <c r="D76" s="1" t="inlineStr">
        <is>
          <t>600x600x8mm</t>
        </is>
      </c>
      <c r="E76" s="1" t="n">
        <v>19.8</v>
      </c>
      <c r="F76" s="1" t="n">
        <v>-11</v>
      </c>
      <c r="G76" s="1" t="inlineStr">
        <is>
          <t>SQM</t>
        </is>
      </c>
      <c r="H76" s="1" t="inlineStr">
        <is>
          <t>Porcelain</t>
        </is>
      </c>
      <c r="I76" s="1" t="inlineStr">
        <is>
          <t>Matt</t>
        </is>
      </c>
      <c r="J76" t="n">
        <v>151</v>
      </c>
      <c r="K76" t="n">
        <v>151</v>
      </c>
      <c r="L76" t="n">
        <v>140</v>
      </c>
    </row>
    <row r="77">
      <c r="A77" s="1">
        <f>Hyperlink("https://www.wallsandfloors.co.uk/memoir-black-and-white-statement-tiles","Product")</f>
        <v/>
      </c>
      <c r="B77" s="1" t="inlineStr">
        <is>
          <t>41139</t>
        </is>
      </c>
      <c r="C77" s="1" t="inlineStr">
        <is>
          <t>Chelsea Black and White Statement Tiles</t>
        </is>
      </c>
      <c r="D77" s="1" t="inlineStr">
        <is>
          <t>450x450x10mm</t>
        </is>
      </c>
      <c r="E77" s="1" t="n">
        <v>20.95</v>
      </c>
      <c r="F77" s="1" t="n">
        <v>-11</v>
      </c>
      <c r="G77" s="1" t="inlineStr">
        <is>
          <t>SQM</t>
        </is>
      </c>
      <c r="H77" s="1" t="inlineStr">
        <is>
          <t>Ceramic</t>
        </is>
      </c>
      <c r="I77" s="1" t="inlineStr">
        <is>
          <t>Matt</t>
        </is>
      </c>
      <c r="J77" t="n">
        <v>167</v>
      </c>
      <c r="K77" t="n">
        <v>164</v>
      </c>
      <c r="L77" t="n">
        <v>156</v>
      </c>
    </row>
    <row r="78">
      <c r="A78" s="1">
        <f>Hyperlink("https://www.wallsandfloors.co.uk/salon-porcelain-tiles-black-matt-600x300-tiles","Product")</f>
        <v/>
      </c>
      <c r="B78" s="1" t="inlineStr">
        <is>
          <t>12655</t>
        </is>
      </c>
      <c r="C78" s="1" t="inlineStr">
        <is>
          <t>Salon Porcelain Black Matt Tiles</t>
        </is>
      </c>
      <c r="D78" s="1" t="inlineStr">
        <is>
          <t>600x300x10mm</t>
        </is>
      </c>
      <c r="E78" s="1" t="n">
        <v>29.95</v>
      </c>
      <c r="F78" s="1" t="n">
        <v>-10</v>
      </c>
      <c r="G78" s="1" t="inlineStr">
        <is>
          <t>SQM</t>
        </is>
      </c>
      <c r="H78" s="1" t="inlineStr">
        <is>
          <t>Porcelain</t>
        </is>
      </c>
      <c r="I78" s="1" t="inlineStr">
        <is>
          <t>Matt</t>
        </is>
      </c>
      <c r="J78" t="n">
        <v>247</v>
      </c>
      <c r="K78" t="inlineStr"/>
      <c r="L78" t="n">
        <v>237</v>
      </c>
    </row>
    <row r="79">
      <c r="A79" s="1">
        <f>Hyperlink("https://www.wallsandfloors.co.uk/quarry-red-tiles-plain-smooth-quarry-tiles","Product")</f>
        <v/>
      </c>
      <c r="B79" s="1" t="inlineStr">
        <is>
          <t>11487</t>
        </is>
      </c>
      <c r="C79" s="1" t="inlineStr">
        <is>
          <t>Plain Smooth Red Quarry Tiles</t>
        </is>
      </c>
      <c r="D79" s="1" t="inlineStr">
        <is>
          <t>150x150x6mm</t>
        </is>
      </c>
      <c r="E79" s="1" t="n">
        <v>19.95</v>
      </c>
      <c r="F79" s="1" t="n">
        <v>-10</v>
      </c>
      <c r="G79" s="1" t="inlineStr">
        <is>
          <t>SQM</t>
        </is>
      </c>
      <c r="H79" s="1" t="inlineStr">
        <is>
          <t>Clay</t>
        </is>
      </c>
      <c r="I79" s="1" t="inlineStr">
        <is>
          <t>Matt</t>
        </is>
      </c>
      <c r="J79" t="n">
        <v>1042</v>
      </c>
      <c r="K79" t="inlineStr"/>
      <c r="L79" t="n">
        <v>1032</v>
      </c>
    </row>
    <row r="80">
      <c r="A80" s="1">
        <f>Hyperlink("https://www.wallsandfloors.co.uk/brick-tiles-white-gloss-smooth-brick-tiles","Product")</f>
        <v/>
      </c>
      <c r="B80" s="1" t="inlineStr">
        <is>
          <t>7579</t>
        </is>
      </c>
      <c r="C80" s="1" t="inlineStr">
        <is>
          <t>Flat Whitechapel White Gloss Tiles</t>
        </is>
      </c>
      <c r="D80" s="1" t="inlineStr">
        <is>
          <t>200x100x7mm</t>
        </is>
      </c>
      <c r="E80" s="1" t="n">
        <v>20.95</v>
      </c>
      <c r="F80" s="1" t="n">
        <v>-9</v>
      </c>
      <c r="G80" s="1" t="inlineStr">
        <is>
          <t>SQM</t>
        </is>
      </c>
      <c r="H80" s="1" t="inlineStr">
        <is>
          <t>Ceramic</t>
        </is>
      </c>
      <c r="I80" s="1" t="inlineStr">
        <is>
          <t>Gloss</t>
        </is>
      </c>
      <c r="J80" t="inlineStr"/>
      <c r="K80" t="n">
        <v>699</v>
      </c>
      <c r="L80" t="n">
        <v>690</v>
      </c>
    </row>
    <row r="81">
      <c r="A81" s="1">
        <f>Hyperlink("https://www.wallsandfloors.co.uk/vena-biana-flat-matt-20x10-tiles","Product")</f>
        <v/>
      </c>
      <c r="B81" s="1" t="inlineStr">
        <is>
          <t>37745</t>
        </is>
      </c>
      <c r="C81" s="1" t="inlineStr">
        <is>
          <t>Vena Biana Flat Matt Tiles</t>
        </is>
      </c>
      <c r="D81" s="1" t="inlineStr">
        <is>
          <t>200x100x7mm</t>
        </is>
      </c>
      <c r="E81" s="1" t="n">
        <v>19.65</v>
      </c>
      <c r="F81" s="1" t="n">
        <v>-9</v>
      </c>
      <c r="G81" s="1" t="inlineStr">
        <is>
          <t>SQM</t>
        </is>
      </c>
      <c r="H81" s="1" t="inlineStr">
        <is>
          <t>Ceramic</t>
        </is>
      </c>
      <c r="I81" s="1" t="inlineStr">
        <is>
          <t>Matt</t>
        </is>
      </c>
      <c r="J81" t="inlineStr"/>
      <c r="K81" t="n">
        <v>267</v>
      </c>
      <c r="L81" t="n">
        <v>258</v>
      </c>
    </row>
    <row r="82">
      <c r="A82" s="1">
        <f>Hyperlink("https://www.wallsandfloors.co.uk/octagon-charcoal-tiles","Product")</f>
        <v/>
      </c>
      <c r="B82" s="1" t="inlineStr">
        <is>
          <t>43046</t>
        </is>
      </c>
      <c r="C82" s="1" t="inlineStr">
        <is>
          <t>Octagon Charcoal Tiles</t>
        </is>
      </c>
      <c r="D82" s="1" t="inlineStr">
        <is>
          <t>450x450x10.5mm</t>
        </is>
      </c>
      <c r="E82" s="1" t="n">
        <v>26.95</v>
      </c>
      <c r="F82" s="1" t="n">
        <v>-9</v>
      </c>
      <c r="G82" s="1" t="inlineStr">
        <is>
          <t>SQM</t>
        </is>
      </c>
      <c r="H82" s="1" t="inlineStr">
        <is>
          <t>Ceramic</t>
        </is>
      </c>
      <c r="I82" s="1" t="inlineStr">
        <is>
          <t>Matt</t>
        </is>
      </c>
      <c r="J82" t="n">
        <v>136</v>
      </c>
      <c r="K82" t="inlineStr"/>
      <c r="L82" t="n">
        <v>127</v>
      </c>
    </row>
    <row r="83">
      <c r="A83" s="1">
        <f>Hyperlink("https://www.wallsandfloors.co.uk/nutmeg-grey-wood-effect-tile","Product")</f>
        <v/>
      </c>
      <c r="B83" s="1" t="inlineStr">
        <is>
          <t>40051</t>
        </is>
      </c>
      <c r="C83" s="1" t="inlineStr">
        <is>
          <t>Nutmeg Grey Wood Effect Tiles</t>
        </is>
      </c>
      <c r="D83" s="1" t="inlineStr">
        <is>
          <t>154x600x9mm</t>
        </is>
      </c>
      <c r="E83" s="1" t="n">
        <v>16.95</v>
      </c>
      <c r="F83" s="1" t="n">
        <v>-9</v>
      </c>
      <c r="G83" s="1" t="inlineStr">
        <is>
          <t>SQM</t>
        </is>
      </c>
      <c r="H83" s="1" t="inlineStr">
        <is>
          <t>Ceramic</t>
        </is>
      </c>
      <c r="I83" s="1" t="inlineStr">
        <is>
          <t>Matt</t>
        </is>
      </c>
      <c r="J83" t="inlineStr"/>
      <c r="K83" t="n">
        <v>216</v>
      </c>
      <c r="L83" t="n">
        <v>207</v>
      </c>
    </row>
    <row r="84">
      <c r="A84" s="1">
        <f>Hyperlink("https://www.wallsandfloors.co.uk/ador-nero-marble-tiles","Product")</f>
        <v/>
      </c>
      <c r="B84" s="1" t="inlineStr">
        <is>
          <t>36814</t>
        </is>
      </c>
      <c r="C84" s="1" t="inlineStr">
        <is>
          <t>Ador Black Nero Marble Tiles</t>
        </is>
      </c>
      <c r="D84" s="1" t="inlineStr">
        <is>
          <t>593x98x10mm</t>
        </is>
      </c>
      <c r="E84" s="1" t="n">
        <v>24.95</v>
      </c>
      <c r="F84" s="1" t="n">
        <v>-9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Satin</t>
        </is>
      </c>
      <c r="J84" t="n">
        <v>1071</v>
      </c>
      <c r="K84" t="inlineStr"/>
      <c r="L84" t="n">
        <v>1062</v>
      </c>
    </row>
    <row r="85">
      <c r="A85" s="1">
        <f>Hyperlink("https://www.wallsandfloors.co.uk/salon-porcelain-tiles-white-structured-600x300-tiles","Product")</f>
        <v/>
      </c>
      <c r="B85" s="1" t="inlineStr">
        <is>
          <t>12648</t>
        </is>
      </c>
      <c r="C85" s="1" t="inlineStr">
        <is>
          <t>Salon Porcelain White Anti Slip Tiles</t>
        </is>
      </c>
      <c r="D85" s="1" t="inlineStr">
        <is>
          <t>600x300x10mm</t>
        </is>
      </c>
      <c r="E85" s="1" t="n">
        <v>29.95</v>
      </c>
      <c r="F85" s="1" t="n">
        <v>-9</v>
      </c>
      <c r="G85" s="1" t="inlineStr">
        <is>
          <t>SQM</t>
        </is>
      </c>
      <c r="H85" s="1" t="inlineStr">
        <is>
          <t>Porcelain</t>
        </is>
      </c>
      <c r="I85" s="1" t="inlineStr">
        <is>
          <t>Matt</t>
        </is>
      </c>
      <c r="J85" t="n">
        <v>109</v>
      </c>
      <c r="K85" t="n">
        <v>109</v>
      </c>
      <c r="L85" t="n">
        <v>100</v>
      </c>
    </row>
    <row r="86">
      <c r="A86" s="1">
        <f>Hyperlink("https://www.wallsandfloors.co.uk/rustic-metro-300x100-eton-gloss-tiles","Product")</f>
        <v/>
      </c>
      <c r="B86" s="1" t="inlineStr">
        <is>
          <t>15084</t>
        </is>
      </c>
      <c r="C86" s="1" t="inlineStr">
        <is>
          <t>Eton Green Rustic Metro Tiles</t>
        </is>
      </c>
      <c r="D86" s="1" t="inlineStr">
        <is>
          <t>300x100x7mm</t>
        </is>
      </c>
      <c r="E86" s="1" t="n">
        <v>20.95</v>
      </c>
      <c r="F86" s="1" t="n">
        <v>-9</v>
      </c>
      <c r="G86" s="1" t="inlineStr">
        <is>
          <t>SQM</t>
        </is>
      </c>
      <c r="H86" s="1" t="inlineStr">
        <is>
          <t>Ceramic</t>
        </is>
      </c>
      <c r="I86" s="1" t="inlineStr">
        <is>
          <t>Gloss</t>
        </is>
      </c>
      <c r="J86" t="n">
        <v>95</v>
      </c>
      <c r="K86" t="n">
        <v>86</v>
      </c>
      <c r="L86" t="n">
        <v>86</v>
      </c>
    </row>
    <row r="87">
      <c r="A87" s="1">
        <f>Hyperlink("https://www.wallsandfloors.co.uk/titanic-wave-polished-alabaster-white-60x30-tiles","Product")</f>
        <v/>
      </c>
      <c r="B87" s="1" t="inlineStr">
        <is>
          <t>39141</t>
        </is>
      </c>
      <c r="C87" s="1" t="inlineStr">
        <is>
          <t>Titanic Wave Polished Alabaster White Tiles</t>
        </is>
      </c>
      <c r="D87" s="1" t="inlineStr">
        <is>
          <t>600x300x9mm</t>
        </is>
      </c>
      <c r="E87" s="1" t="n">
        <v>21.95</v>
      </c>
      <c r="F87" s="1" t="n">
        <v>-9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Polished</t>
        </is>
      </c>
      <c r="J87" t="n">
        <v>464</v>
      </c>
      <c r="K87" t="inlineStr"/>
      <c r="L87" t="n">
        <v>455</v>
      </c>
    </row>
    <row r="88">
      <c r="A88" s="1">
        <f>Hyperlink("https://www.wallsandfloors.co.uk/metro-200x100-tiles-st-pauls-red-tiles","Product")</f>
        <v/>
      </c>
      <c r="B88" s="1" t="inlineStr">
        <is>
          <t>8404</t>
        </is>
      </c>
      <c r="C88" s="1" t="inlineStr">
        <is>
          <t>Metro St Pauls Plum Gloss Tiles</t>
        </is>
      </c>
      <c r="D88" s="1" t="inlineStr">
        <is>
          <t>200x100x7mm</t>
        </is>
      </c>
      <c r="E88" s="1" t="n">
        <v>20.95</v>
      </c>
      <c r="F88" s="1" t="n">
        <v>-9</v>
      </c>
      <c r="G88" s="1" t="inlineStr">
        <is>
          <t>SQM</t>
        </is>
      </c>
      <c r="H88" s="1" t="inlineStr">
        <is>
          <t>Ceramic</t>
        </is>
      </c>
      <c r="I88" s="1" t="inlineStr">
        <is>
          <t>Gloss</t>
        </is>
      </c>
      <c r="J88" t="n">
        <v>82</v>
      </c>
      <c r="K88" t="n">
        <v>82</v>
      </c>
      <c r="L88" t="n">
        <v>73</v>
      </c>
    </row>
    <row r="89">
      <c r="A89" s="1">
        <f>Hyperlink("https://www.wallsandfloors.co.uk/picket-bevelled-carrara-tiles","Product")</f>
        <v/>
      </c>
      <c r="B89" s="1" t="inlineStr">
        <is>
          <t>44236</t>
        </is>
      </c>
      <c r="C89" s="1" t="inlineStr">
        <is>
          <t>Pickett™ Bevelled Carrara Tiles</t>
        </is>
      </c>
      <c r="D89" s="1" t="inlineStr">
        <is>
          <t>300x100x8.2mm</t>
        </is>
      </c>
      <c r="E89" s="1" t="n">
        <v>34.95</v>
      </c>
      <c r="F89" s="1" t="n">
        <v>-9</v>
      </c>
      <c r="G89" s="1" t="inlineStr">
        <is>
          <t>SQM</t>
        </is>
      </c>
      <c r="H89" s="1" t="inlineStr">
        <is>
          <t>Ceramic</t>
        </is>
      </c>
      <c r="I89" s="1" t="inlineStr">
        <is>
          <t>Gloss</t>
        </is>
      </c>
      <c r="J89" t="n">
        <v>102</v>
      </c>
      <c r="K89" t="inlineStr"/>
      <c r="L89" t="n">
        <v>93</v>
      </c>
    </row>
    <row r="90">
      <c r="A90" s="1">
        <f>Hyperlink("https://www.wallsandfloors.co.uk/troverta-muretto-ash-60x30-tiles","Product")</f>
        <v/>
      </c>
      <c r="B90" s="1" t="inlineStr">
        <is>
          <t>43325</t>
        </is>
      </c>
      <c r="C90" s="1" t="inlineStr">
        <is>
          <t>Troverta Muretto Ash Tiles</t>
        </is>
      </c>
      <c r="D90" s="1" t="inlineStr">
        <is>
          <t>600x300x8.5mm</t>
        </is>
      </c>
      <c r="E90" s="1" t="n">
        <v>20.95</v>
      </c>
      <c r="F90" s="1" t="n">
        <v>-8</v>
      </c>
      <c r="G90" s="1" t="inlineStr">
        <is>
          <t>SQM</t>
        </is>
      </c>
      <c r="H90" s="1" t="inlineStr">
        <is>
          <t>Ceramic</t>
        </is>
      </c>
      <c r="I90" s="1" t="inlineStr">
        <is>
          <t>Matt</t>
        </is>
      </c>
      <c r="J90" t="n">
        <v>83</v>
      </c>
      <c r="K90" t="inlineStr"/>
      <c r="L90" t="n">
        <v>75</v>
      </c>
    </row>
    <row r="91">
      <c r="A91" s="1">
        <f>Hyperlink("https://www.wallsandfloors.co.uk/spellbound-tiles-matt-white-200x200-tiles","Product")</f>
        <v/>
      </c>
      <c r="B91" s="1" t="inlineStr">
        <is>
          <t>14918</t>
        </is>
      </c>
      <c r="C91" s="1" t="inlineStr">
        <is>
          <t>Spellbound Matt White Tiles</t>
        </is>
      </c>
      <c r="D91" s="1" t="inlineStr">
        <is>
          <t>197x197x6mm</t>
        </is>
      </c>
      <c r="E91" s="1" t="n">
        <v>25.95</v>
      </c>
      <c r="F91" s="1" t="n">
        <v>-8</v>
      </c>
      <c r="G91" s="1" t="inlineStr">
        <is>
          <t>SQM</t>
        </is>
      </c>
      <c r="H91" s="1" t="inlineStr">
        <is>
          <t>Ceramic</t>
        </is>
      </c>
      <c r="I91" s="1" t="inlineStr">
        <is>
          <t>Matt</t>
        </is>
      </c>
      <c r="J91" t="n">
        <v>106</v>
      </c>
      <c r="K91" t="n">
        <v>98</v>
      </c>
      <c r="L91" t="n">
        <v>98</v>
      </c>
    </row>
    <row r="92">
      <c r="A92" s="1">
        <f>Hyperlink("https://www.wallsandfloors.co.uk/aurora-sage-tiles","Product")</f>
        <v/>
      </c>
      <c r="B92" s="1" t="inlineStr">
        <is>
          <t>44249</t>
        </is>
      </c>
      <c r="C92" s="1" t="inlineStr">
        <is>
          <t>Aurora Sage Tiles</t>
        </is>
      </c>
      <c r="D92" s="1" t="inlineStr">
        <is>
          <t>450x450x10.5mm</t>
        </is>
      </c>
      <c r="E92" s="1" t="n">
        <v>27.95</v>
      </c>
      <c r="F92" s="1" t="n">
        <v>-8</v>
      </c>
      <c r="G92" s="1" t="inlineStr">
        <is>
          <t>SQM</t>
        </is>
      </c>
      <c r="H92" s="1" t="inlineStr">
        <is>
          <t>Ceramic</t>
        </is>
      </c>
      <c r="I92" s="1" t="inlineStr">
        <is>
          <t>Matt</t>
        </is>
      </c>
      <c r="J92" t="n">
        <v>124</v>
      </c>
      <c r="K92" t="n">
        <v>124</v>
      </c>
      <c r="L92" t="n">
        <v>116</v>
      </c>
    </row>
    <row r="93">
      <c r="A93" s="1">
        <f>Hyperlink("https://www.wallsandfloors.co.uk/linear-tiles-light-grey-matt-linear-tiles","Product")</f>
        <v/>
      </c>
      <c r="B93" s="1" t="inlineStr">
        <is>
          <t>13919</t>
        </is>
      </c>
      <c r="C93" s="1" t="inlineStr">
        <is>
          <t>Linear Light Grey Matt Brick Tiles</t>
        </is>
      </c>
      <c r="D93" s="1" t="inlineStr">
        <is>
          <t>300x100x8mm</t>
        </is>
      </c>
      <c r="E93" s="1" t="n">
        <v>19.95</v>
      </c>
      <c r="F93" s="1" t="n">
        <v>-8</v>
      </c>
      <c r="G93" s="1" t="inlineStr">
        <is>
          <t>SQM</t>
        </is>
      </c>
      <c r="H93" s="1" t="inlineStr">
        <is>
          <t>Ceramic</t>
        </is>
      </c>
      <c r="I93" s="1" t="inlineStr">
        <is>
          <t>Matt</t>
        </is>
      </c>
      <c r="J93" t="n">
        <v>545</v>
      </c>
      <c r="K93" t="n">
        <v>537</v>
      </c>
      <c r="L93" t="n">
        <v>537</v>
      </c>
    </row>
    <row r="94">
      <c r="A94" s="1">
        <f>Hyperlink("https://www.wallsandfloors.co.uk/vernice-cloud-tiles","Product")</f>
        <v/>
      </c>
      <c r="B94" s="1" t="inlineStr">
        <is>
          <t>40380</t>
        </is>
      </c>
      <c r="C94" s="1" t="inlineStr">
        <is>
          <t>Vernice Cloud Tiles</t>
        </is>
      </c>
      <c r="D94" s="1" t="inlineStr">
        <is>
          <t>130x130x8mm</t>
        </is>
      </c>
      <c r="E94" s="1" t="n">
        <v>28.95</v>
      </c>
      <c r="F94" s="1" t="n">
        <v>-8</v>
      </c>
      <c r="G94" s="1" t="inlineStr">
        <is>
          <t>SQM</t>
        </is>
      </c>
      <c r="H94" s="1" t="inlineStr">
        <is>
          <t>Ceramic</t>
        </is>
      </c>
      <c r="I94" s="1" t="inlineStr">
        <is>
          <t>Gloss</t>
        </is>
      </c>
      <c r="J94" t="n">
        <v>793</v>
      </c>
      <c r="K94" t="inlineStr"/>
      <c r="L94" t="n">
        <v>785</v>
      </c>
    </row>
    <row r="95">
      <c r="A95" s="1">
        <f>Hyperlink("https://www.wallsandfloors.co.uk/natural-silver-slate-effect-tiles","Product")</f>
        <v/>
      </c>
      <c r="B95" s="1" t="inlineStr">
        <is>
          <t>41501</t>
        </is>
      </c>
      <c r="C95" s="1" t="inlineStr">
        <is>
          <t>Nantlle Valley Natural Silver Slate Effect Tiles</t>
        </is>
      </c>
      <c r="D95" s="1" t="inlineStr">
        <is>
          <t>600x300x10.3mm</t>
        </is>
      </c>
      <c r="E95" s="1" t="n">
        <v>25.95</v>
      </c>
      <c r="F95" s="1" t="n">
        <v>-7</v>
      </c>
      <c r="G95" s="1" t="inlineStr">
        <is>
          <t>SQM</t>
        </is>
      </c>
      <c r="H95" s="1" t="inlineStr">
        <is>
          <t>Porcelain</t>
        </is>
      </c>
      <c r="I95" s="1" t="inlineStr">
        <is>
          <t>Matt</t>
        </is>
      </c>
      <c r="J95" t="n">
        <v>217</v>
      </c>
      <c r="K95" t="n">
        <v>217</v>
      </c>
      <c r="L95" t="n">
        <v>210</v>
      </c>
    </row>
    <row r="96">
      <c r="A96" s="1">
        <f>Hyperlink("https://www.wallsandfloors.co.uk/rhian-lucia-marino-brillo-tile","Product")</f>
        <v/>
      </c>
      <c r="B96" s="1" t="inlineStr">
        <is>
          <t>11946</t>
        </is>
      </c>
      <c r="C96" s="1" t="inlineStr">
        <is>
          <t>Rhian Marino Blue Gloss Tiles</t>
        </is>
      </c>
      <c r="D96" s="1" t="inlineStr">
        <is>
          <t>300x100x7mm</t>
        </is>
      </c>
      <c r="E96" s="1" t="n">
        <v>25.95</v>
      </c>
      <c r="F96" s="1" t="n">
        <v>-7</v>
      </c>
      <c r="G96" s="1" t="inlineStr">
        <is>
          <t>SQM</t>
        </is>
      </c>
      <c r="H96" s="1" t="inlineStr">
        <is>
          <t>Ceramic</t>
        </is>
      </c>
      <c r="I96" s="1" t="inlineStr">
        <is>
          <t>Gloss</t>
        </is>
      </c>
      <c r="J96" t="n">
        <v>353</v>
      </c>
      <c r="K96" t="n">
        <v>353</v>
      </c>
      <c r="L96" t="n">
        <v>346</v>
      </c>
    </row>
    <row r="97">
      <c r="A97" s="1">
        <f>Hyperlink("https://www.wallsandfloors.co.uk/gondolin-sand-hexagon-tiles","Product")</f>
        <v/>
      </c>
      <c r="B97" s="1" t="inlineStr">
        <is>
          <t>41391</t>
        </is>
      </c>
      <c r="C97" s="1" t="inlineStr">
        <is>
          <t>Gondolin Sand Hexagon Tiles</t>
        </is>
      </c>
      <c r="D97" s="1" t="inlineStr">
        <is>
          <t>330x280.5x10mm</t>
        </is>
      </c>
      <c r="E97" s="1" t="n">
        <v>35.95</v>
      </c>
      <c r="F97" s="1" t="n">
        <v>-7</v>
      </c>
      <c r="G97" s="1" t="inlineStr">
        <is>
          <t>SQM</t>
        </is>
      </c>
      <c r="H97" s="1" t="inlineStr">
        <is>
          <t>Porcelain</t>
        </is>
      </c>
      <c r="I97" s="1" t="inlineStr">
        <is>
          <t>Matt</t>
        </is>
      </c>
      <c r="J97" t="n">
        <v>183</v>
      </c>
      <c r="K97" t="n">
        <v>182</v>
      </c>
      <c r="L97" t="n">
        <v>176</v>
      </c>
    </row>
    <row r="98">
      <c r="A98" s="1">
        <f>Hyperlink("https://www.wallsandfloors.co.uk/toolshed-tile-adhesive-standard-flex-white-tile-adhesive","Product")</f>
        <v/>
      </c>
      <c r="B98" s="1" t="inlineStr">
        <is>
          <t>11248</t>
        </is>
      </c>
      <c r="C98" s="1" t="inlineStr">
        <is>
          <t>Standard Flex White Tile Adhesive</t>
        </is>
      </c>
      <c r="D98" s="1" t="inlineStr">
        <is>
          <t>20 Kg</t>
        </is>
      </c>
      <c r="E98" s="1" t="n">
        <v>23.95</v>
      </c>
      <c r="F98" s="1" t="n">
        <v>-7</v>
      </c>
      <c r="G98" s="1" t="inlineStr">
        <is>
          <t>Unit</t>
        </is>
      </c>
      <c r="H98" s="1" t="inlineStr">
        <is>
          <t>Adhesive</t>
        </is>
      </c>
      <c r="I98" s="1" t="inlineStr">
        <is>
          <t>-</t>
        </is>
      </c>
      <c r="J98" t="n">
        <v>511</v>
      </c>
      <c r="K98" t="n">
        <v>509</v>
      </c>
      <c r="L98" t="n">
        <v>504</v>
      </c>
    </row>
    <row r="99">
      <c r="A99" s="1">
        <f>Hyperlink("https://www.wallsandfloors.co.uk/indigo-modello-vecchio-floreale-indigo-tiles","Product")</f>
        <v/>
      </c>
      <c r="B99" s="1" t="inlineStr">
        <is>
          <t>24744</t>
        </is>
      </c>
      <c r="C99" s="1" t="inlineStr">
        <is>
          <t>Vecchio Floreale Indigo Vintage Pattern Tiles</t>
        </is>
      </c>
      <c r="D99" s="1" t="inlineStr">
        <is>
          <t>330x330x9.5mm</t>
        </is>
      </c>
      <c r="E99" s="1" t="n">
        <v>27.95</v>
      </c>
      <c r="F99" s="1" t="n">
        <v>-7</v>
      </c>
      <c r="G99" s="1" t="inlineStr">
        <is>
          <t>SQM</t>
        </is>
      </c>
      <c r="H99" s="1" t="inlineStr">
        <is>
          <t>Ceramic</t>
        </is>
      </c>
      <c r="I99" s="1" t="inlineStr">
        <is>
          <t>Matt</t>
        </is>
      </c>
      <c r="J99" t="n">
        <v>80</v>
      </c>
      <c r="K99" t="n">
        <v>78</v>
      </c>
      <c r="L99" t="n">
        <v>73</v>
      </c>
    </row>
    <row r="100">
      <c r="A100" s="1">
        <f>Hyperlink("https://www.wallsandfloors.co.uk/devine-whites-tiles-gloss-white-wall-25x20-tiles","Product")</f>
        <v/>
      </c>
      <c r="B100" s="1" t="inlineStr">
        <is>
          <t>13352</t>
        </is>
      </c>
      <c r="C100" s="1" t="inlineStr">
        <is>
          <t>Devine Gloss White Wall Tiles</t>
        </is>
      </c>
      <c r="D100" s="1" t="inlineStr">
        <is>
          <t>250x200x6.8mm</t>
        </is>
      </c>
      <c r="E100" s="1" t="n">
        <v>13.95</v>
      </c>
      <c r="F100" s="1" t="n">
        <v>-6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Gloss</t>
        </is>
      </c>
      <c r="J100" t="n">
        <v>269</v>
      </c>
      <c r="K100" t="n">
        <v>269</v>
      </c>
      <c r="L100" t="n">
        <v>263</v>
      </c>
    </row>
    <row r="101">
      <c r="A101" s="1">
        <f>Hyperlink("https://www.wallsandfloors.co.uk/devine-whites-tiles-gloss-white-wall-15x15-tiles","Product")</f>
        <v/>
      </c>
      <c r="B101" s="1" t="inlineStr">
        <is>
          <t>13347</t>
        </is>
      </c>
      <c r="C101" s="1" t="inlineStr">
        <is>
          <t>Marvel Gloss White Wall Tiles</t>
        </is>
      </c>
      <c r="D101" s="1" t="inlineStr">
        <is>
          <t>148x148x6mm</t>
        </is>
      </c>
      <c r="E101" s="1" t="n">
        <v>19.95</v>
      </c>
      <c r="F101" s="1" t="n">
        <v>-6</v>
      </c>
      <c r="G101" s="1" t="inlineStr">
        <is>
          <t>SQM</t>
        </is>
      </c>
      <c r="H101" s="1" t="inlineStr">
        <is>
          <t>Ceramic</t>
        </is>
      </c>
      <c r="I101" s="1" t="inlineStr">
        <is>
          <t>Gloss</t>
        </is>
      </c>
      <c r="J101" t="n">
        <v>2520</v>
      </c>
      <c r="K101" t="n">
        <v>2520</v>
      </c>
      <c r="L101" t="n">
        <v>2514</v>
      </c>
    </row>
    <row r="102">
      <c r="A102" s="1">
        <f>Hyperlink("https://www.wallsandfloors.co.uk/arctic-grey-tiles","Product")</f>
        <v/>
      </c>
      <c r="B102" s="1" t="inlineStr">
        <is>
          <t>37274</t>
        </is>
      </c>
      <c r="C102" s="1" t="inlineStr">
        <is>
          <t>Crystal Arctic Grey Split Face Tiles</t>
        </is>
      </c>
      <c r="D102" s="1" t="inlineStr">
        <is>
          <t>300x150x6-12mm</t>
        </is>
      </c>
      <c r="E102" s="1" t="n">
        <v>54.95</v>
      </c>
      <c r="F102" s="1" t="n">
        <v>-6</v>
      </c>
      <c r="G102" s="1" t="inlineStr">
        <is>
          <t>SQM</t>
        </is>
      </c>
      <c r="H102" s="1" t="inlineStr">
        <is>
          <t>Quartzite</t>
        </is>
      </c>
      <c r="I102" s="1" t="inlineStr">
        <is>
          <t>Matt</t>
        </is>
      </c>
      <c r="J102" t="n">
        <v>414</v>
      </c>
      <c r="K102" t="n">
        <v>409</v>
      </c>
      <c r="L102" t="n">
        <v>408</v>
      </c>
    </row>
    <row r="103">
      <c r="A103" s="1">
        <f>Hyperlink("https://www.wallsandfloors.co.uk/plush-antique-shine-tiles","Product")</f>
        <v/>
      </c>
      <c r="B103" s="1" t="inlineStr">
        <is>
          <t>37866</t>
        </is>
      </c>
      <c r="C103" s="1" t="inlineStr">
        <is>
          <t>Plush Antique Shine Tiles</t>
        </is>
      </c>
      <c r="D103" s="1" t="inlineStr">
        <is>
          <t>225x75x6mm</t>
        </is>
      </c>
      <c r="E103" s="1" t="n">
        <v>40.95</v>
      </c>
      <c r="F103" s="1" t="n">
        <v>-6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Gloss</t>
        </is>
      </c>
      <c r="J103" t="n">
        <v>67</v>
      </c>
      <c r="K103" t="n">
        <v>67</v>
      </c>
      <c r="L103" t="n">
        <v>61</v>
      </c>
    </row>
    <row r="104">
      <c r="A104" s="1">
        <f>Hyperlink("https://www.wallsandfloors.co.uk/spellbound-tiles-matt-white-100x100-tiles","Product")</f>
        <v/>
      </c>
      <c r="B104" s="1" t="inlineStr">
        <is>
          <t>14916</t>
        </is>
      </c>
      <c r="C104" s="1" t="inlineStr">
        <is>
          <t>Spellbound Matt White Tiles</t>
        </is>
      </c>
      <c r="D104" s="1" t="inlineStr">
        <is>
          <t>97x97x6mm</t>
        </is>
      </c>
      <c r="E104" s="1" t="n">
        <v>25.95</v>
      </c>
      <c r="F104" s="1" t="n">
        <v>-6</v>
      </c>
      <c r="G104" s="1" t="inlineStr">
        <is>
          <t>SQM</t>
        </is>
      </c>
      <c r="H104" s="1" t="inlineStr">
        <is>
          <t>Ceramic</t>
        </is>
      </c>
      <c r="I104" s="1" t="inlineStr">
        <is>
          <t>Matt</t>
        </is>
      </c>
      <c r="J104" t="inlineStr"/>
      <c r="K104" t="n">
        <v>1464</v>
      </c>
      <c r="L104" t="n">
        <v>1458</v>
      </c>
    </row>
    <row r="105">
      <c r="A105" s="1">
        <f>Hyperlink("https://www.wallsandfloors.co.uk/linear-tiles-cream-matt-linear-tiles","Product")</f>
        <v/>
      </c>
      <c r="B105" s="1" t="inlineStr">
        <is>
          <t>13923</t>
        </is>
      </c>
      <c r="C105" s="1" t="inlineStr">
        <is>
          <t>Linear Cream Matt Brick Tiles</t>
        </is>
      </c>
      <c r="D105" s="1" t="inlineStr">
        <is>
          <t>300x100x8mm</t>
        </is>
      </c>
      <c r="E105" s="1" t="n">
        <v>19.95</v>
      </c>
      <c r="F105" s="1" t="n">
        <v>-6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Matt</t>
        </is>
      </c>
      <c r="J105" t="n">
        <v>188</v>
      </c>
      <c r="K105" t="n">
        <v>182</v>
      </c>
      <c r="L105" t="n">
        <v>182</v>
      </c>
    </row>
    <row r="106">
      <c r="A106" s="1">
        <f>Hyperlink("https://www.wallsandfloors.co.uk/arcadia-charcoal-luxury-vinyl-tiles","Product")</f>
        <v/>
      </c>
      <c r="B106" s="1" t="inlineStr">
        <is>
          <t>41405</t>
        </is>
      </c>
      <c r="C106" s="1" t="inlineStr">
        <is>
          <t>Arcadia Charcoal Luxury Vinyl Tiles</t>
        </is>
      </c>
      <c r="D106" s="1" t="inlineStr">
        <is>
          <t>1235x178x4mm</t>
        </is>
      </c>
      <c r="E106" s="1" t="n">
        <v>22.95</v>
      </c>
      <c r="F106" s="1" t="n">
        <v>-6</v>
      </c>
      <c r="G106" s="1" t="inlineStr">
        <is>
          <t>SQM</t>
        </is>
      </c>
      <c r="H106" s="1" t="inlineStr">
        <is>
          <t>Vinyl</t>
        </is>
      </c>
      <c r="I106" s="1" t="inlineStr">
        <is>
          <t>Matt</t>
        </is>
      </c>
      <c r="J106" t="n">
        <v>613</v>
      </c>
      <c r="K106" t="inlineStr"/>
      <c r="L106" t="n">
        <v>607</v>
      </c>
    </row>
    <row r="107">
      <c r="A107" s="1">
        <f>Hyperlink("https://www.wallsandfloors.co.uk/largo-tusk-geo-tiles","Product")</f>
        <v/>
      </c>
      <c r="B107" s="1" t="inlineStr">
        <is>
          <t>36974</t>
        </is>
      </c>
      <c r="C107" s="1" t="inlineStr">
        <is>
          <t>Largo Tusk Cream Geo Pattern Tiles</t>
        </is>
      </c>
      <c r="D107" s="1" t="inlineStr">
        <is>
          <t>900x330x10mm</t>
        </is>
      </c>
      <c r="E107" s="1" t="n">
        <v>28.95</v>
      </c>
      <c r="F107" s="1" t="n">
        <v>-5</v>
      </c>
      <c r="G107" s="1" t="inlineStr">
        <is>
          <t>SQM</t>
        </is>
      </c>
      <c r="H107" s="1" t="inlineStr">
        <is>
          <t>Porcelain</t>
        </is>
      </c>
      <c r="I107" s="1" t="inlineStr">
        <is>
          <t>Matt</t>
        </is>
      </c>
      <c r="J107" t="n">
        <v>259</v>
      </c>
      <c r="K107" t="inlineStr"/>
      <c r="L107" t="n">
        <v>254</v>
      </c>
    </row>
    <row r="108">
      <c r="A108" s="1">
        <f>Hyperlink("https://www.wallsandfloors.co.uk/rustic-wood-tiles-barn-tiles","Product")</f>
        <v/>
      </c>
      <c r="B108" s="1" t="inlineStr">
        <is>
          <t>13077</t>
        </is>
      </c>
      <c r="C108" s="1" t="inlineStr">
        <is>
          <t>Rustic Barn Wood Effect Tiles</t>
        </is>
      </c>
      <c r="D108" s="1" t="inlineStr">
        <is>
          <t>615x205x8mm</t>
        </is>
      </c>
      <c r="E108" s="1" t="n">
        <v>16.95</v>
      </c>
      <c r="F108" s="1" t="n">
        <v>-5</v>
      </c>
      <c r="G108" s="1" t="inlineStr">
        <is>
          <t>SQM</t>
        </is>
      </c>
      <c r="H108" s="1" t="inlineStr">
        <is>
          <t>Ceramic</t>
        </is>
      </c>
      <c r="I108" s="1" t="inlineStr">
        <is>
          <t>Matt</t>
        </is>
      </c>
      <c r="J108" t="n">
        <v>112</v>
      </c>
      <c r="K108" t="n">
        <v>112</v>
      </c>
      <c r="L108" t="n">
        <v>107</v>
      </c>
    </row>
    <row r="109">
      <c r="A109" s="1">
        <f>Hyperlink("https://www.wallsandfloors.co.uk/retro-metro-tiles-bevelled-brick-black-gloss-wall-tiles","Product")</f>
        <v/>
      </c>
      <c r="B109" s="1" t="inlineStr">
        <is>
          <t>13303</t>
        </is>
      </c>
      <c r="C109" s="1" t="inlineStr">
        <is>
          <t>Metro Blackfriars Black Gloss Tiles</t>
        </is>
      </c>
      <c r="D109" s="1" t="inlineStr">
        <is>
          <t>200x100x7mm</t>
        </is>
      </c>
      <c r="E109" s="1" t="n">
        <v>18.95</v>
      </c>
      <c r="F109" s="1" t="n">
        <v>-5</v>
      </c>
      <c r="G109" s="1" t="inlineStr">
        <is>
          <t>SQM</t>
        </is>
      </c>
      <c r="H109" s="1" t="inlineStr">
        <is>
          <t>Ceramic</t>
        </is>
      </c>
      <c r="I109" s="1" t="inlineStr">
        <is>
          <t>Gloss</t>
        </is>
      </c>
      <c r="J109" t="inlineStr"/>
      <c r="K109" t="n">
        <v>177</v>
      </c>
      <c r="L109" t="n">
        <v>172</v>
      </c>
    </row>
    <row r="110">
      <c r="A110" s="1">
        <f>Hyperlink("https://www.wallsandfloors.co.uk/bijou-brick-mosaic-tiles-matt-white-brick-mosaic-tiles","Product")</f>
        <v/>
      </c>
      <c r="B110" s="1" t="inlineStr">
        <is>
          <t>14881</t>
        </is>
      </c>
      <c r="C110" s="1" t="inlineStr">
        <is>
          <t>Pixel White Brick Matt 23x48 Mosaic Tiles</t>
        </is>
      </c>
      <c r="D110" s="1" t="inlineStr">
        <is>
          <t>300x300x6mm</t>
        </is>
      </c>
      <c r="E110" s="1" t="n">
        <v>4.95</v>
      </c>
      <c r="F110" s="1" t="n">
        <v>-5</v>
      </c>
      <c r="G110" s="1" t="inlineStr">
        <is>
          <t>Sheet</t>
        </is>
      </c>
      <c r="H110" s="1" t="inlineStr">
        <is>
          <t>Porcelain</t>
        </is>
      </c>
      <c r="I110" s="1" t="inlineStr">
        <is>
          <t>Matt</t>
        </is>
      </c>
      <c r="J110" t="n">
        <v>143</v>
      </c>
      <c r="K110" t="inlineStr"/>
      <c r="L110" t="n">
        <v>138</v>
      </c>
    </row>
    <row r="111">
      <c r="A111" s="1">
        <f>Hyperlink("https://www.wallsandfloors.co.uk/kingsley-grey-tiles","Product")</f>
        <v/>
      </c>
      <c r="B111" s="1" t="inlineStr">
        <is>
          <t>41859</t>
        </is>
      </c>
      <c r="C111" s="1" t="inlineStr">
        <is>
          <t>Kingsley Grey Pattern Tiles</t>
        </is>
      </c>
      <c r="D111" s="1" t="inlineStr">
        <is>
          <t>450x450x8.5mm</t>
        </is>
      </c>
      <c r="E111" s="1" t="n">
        <v>29.95</v>
      </c>
      <c r="F111" s="1" t="n">
        <v>-5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Matt</t>
        </is>
      </c>
      <c r="J111" t="n">
        <v>79</v>
      </c>
      <c r="K111" t="n">
        <v>79</v>
      </c>
      <c r="L111" t="n">
        <v>74</v>
      </c>
    </row>
    <row r="112">
      <c r="A112" s="1">
        <f>Hyperlink("https://www.wallsandfloors.co.uk/hoxley-frost-tiles","Product")</f>
        <v/>
      </c>
      <c r="B112" s="1" t="inlineStr">
        <is>
          <t>39110</t>
        </is>
      </c>
      <c r="C112" s="1" t="inlineStr">
        <is>
          <t>Hoxley Frost Tiles</t>
        </is>
      </c>
      <c r="D112" s="1" t="inlineStr">
        <is>
          <t>200x200x8mm</t>
        </is>
      </c>
      <c r="E112" s="1" t="n">
        <v>35.95</v>
      </c>
      <c r="F112" s="1" t="n">
        <v>-5</v>
      </c>
      <c r="G112" s="1" t="inlineStr">
        <is>
          <t>SQM</t>
        </is>
      </c>
      <c r="H112" s="1" t="inlineStr">
        <is>
          <t>Ceramic</t>
        </is>
      </c>
      <c r="I112" s="1" t="inlineStr">
        <is>
          <t>Matt</t>
        </is>
      </c>
      <c r="J112" t="n">
        <v>61</v>
      </c>
      <c r="K112" t="n">
        <v>56</v>
      </c>
      <c r="L112" t="n">
        <v>56</v>
      </c>
    </row>
    <row r="113">
      <c r="A113" s="1">
        <f>Hyperlink("https://www.wallsandfloors.co.uk/helix-sage-tiles","Product")</f>
        <v/>
      </c>
      <c r="B113" s="1" t="inlineStr">
        <is>
          <t>43047</t>
        </is>
      </c>
      <c r="C113" s="1" t="inlineStr">
        <is>
          <t>Helix Sage Tiles</t>
        </is>
      </c>
      <c r="D113" s="1" t="inlineStr">
        <is>
          <t>450x450x10.5mm</t>
        </is>
      </c>
      <c r="E113" s="1" t="n">
        <v>27.95</v>
      </c>
      <c r="F113" s="1" t="n">
        <v>-5</v>
      </c>
      <c r="G113" s="1" t="inlineStr">
        <is>
          <t>SQM</t>
        </is>
      </c>
      <c r="H113" s="1" t="inlineStr">
        <is>
          <t>Ceramic</t>
        </is>
      </c>
      <c r="I113" s="1" t="inlineStr">
        <is>
          <t>Matt</t>
        </is>
      </c>
      <c r="J113" t="inlineStr"/>
      <c r="K113" t="n">
        <v>173</v>
      </c>
      <c r="L113" t="n">
        <v>168</v>
      </c>
    </row>
    <row r="114">
      <c r="A114" s="1">
        <f>Hyperlink("https://www.wallsandfloors.co.uk/grey-910x153-tiles","Product")</f>
        <v/>
      </c>
      <c r="B114" s="1" t="inlineStr">
        <is>
          <t>36532</t>
        </is>
      </c>
      <c r="C114" s="1" t="inlineStr">
        <is>
          <t>Muniellos Grey Wood Effect Tiles</t>
        </is>
      </c>
      <c r="D114" s="1" t="inlineStr">
        <is>
          <t>900x150x10.5mm</t>
        </is>
      </c>
      <c r="E114" s="1" t="n">
        <v>30.95</v>
      </c>
      <c r="F114" s="1" t="n">
        <v>-4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213</v>
      </c>
      <c r="K114" t="n">
        <v>213</v>
      </c>
      <c r="L114" t="n">
        <v>209</v>
      </c>
    </row>
    <row r="115">
      <c r="A115" s="1">
        <f>Hyperlink("https://www.wallsandfloors.co.uk/oakham-white-scored-tiles","Product")</f>
        <v/>
      </c>
      <c r="B115" s="1" t="inlineStr">
        <is>
          <t>32618</t>
        </is>
      </c>
      <c r="C115" s="1" t="inlineStr">
        <is>
          <t>Oakham White Pattern Tiles</t>
        </is>
      </c>
      <c r="D115" s="1" t="inlineStr">
        <is>
          <t>450x450x10mm</t>
        </is>
      </c>
      <c r="E115" s="1" t="n">
        <v>20.95</v>
      </c>
      <c r="F115" s="1" t="n">
        <v>-4</v>
      </c>
      <c r="G115" s="1" t="inlineStr">
        <is>
          <t>SQM</t>
        </is>
      </c>
      <c r="H115" s="1" t="inlineStr">
        <is>
          <t>Ceramic</t>
        </is>
      </c>
      <c r="I115" s="1" t="inlineStr">
        <is>
          <t>Matt</t>
        </is>
      </c>
      <c r="J115" t="inlineStr"/>
      <c r="K115" t="n">
        <v>143</v>
      </c>
      <c r="L115" t="n">
        <v>139</v>
      </c>
    </row>
    <row r="116">
      <c r="A116" s="1">
        <f>Hyperlink("https://www.wallsandfloors.co.uk/tonality-tiles-oatmeal-600x300-wall-tiles","Product")</f>
        <v/>
      </c>
      <c r="B116" s="1" t="inlineStr">
        <is>
          <t>13363</t>
        </is>
      </c>
      <c r="C116" s="1" t="inlineStr">
        <is>
          <t>Oatmeal Wall Tiles</t>
        </is>
      </c>
      <c r="D116" s="1" t="inlineStr">
        <is>
          <t>600x300x11mm</t>
        </is>
      </c>
      <c r="E116" s="1" t="n">
        <v>33.95</v>
      </c>
      <c r="F116" s="1" t="n">
        <v>-4</v>
      </c>
      <c r="G116" s="1" t="inlineStr">
        <is>
          <t>SQM</t>
        </is>
      </c>
      <c r="H116" s="1" t="inlineStr">
        <is>
          <t>Ceramic</t>
        </is>
      </c>
      <c r="I116" s="1" t="inlineStr">
        <is>
          <t>Matt</t>
        </is>
      </c>
      <c r="J116" t="n">
        <v>108</v>
      </c>
      <c r="K116" t="inlineStr"/>
      <c r="L116" t="n">
        <v>104</v>
      </c>
    </row>
    <row r="117">
      <c r="A117" s="1">
        <f>Hyperlink("https://www.wallsandfloors.co.uk/rubi-tools-2mm-spacers","Product")</f>
        <v/>
      </c>
      <c r="B117" s="1" t="inlineStr">
        <is>
          <t>9113</t>
        </is>
      </c>
      <c r="C117" s="1" t="inlineStr">
        <is>
          <t>2mm Spacers</t>
        </is>
      </c>
      <c r="D117" s="1" t="inlineStr">
        <is>
          <t>2mm - 1000pk</t>
        </is>
      </c>
      <c r="E117" s="1" t="n">
        <v>6.95</v>
      </c>
      <c r="F117" s="1" t="n">
        <v>-4</v>
      </c>
      <c r="G117" s="1" t="inlineStr">
        <is>
          <t>Unit</t>
        </is>
      </c>
      <c r="H117" s="1" t="inlineStr">
        <is>
          <t>Spacers</t>
        </is>
      </c>
      <c r="I117" s="1" t="inlineStr">
        <is>
          <t>-</t>
        </is>
      </c>
      <c r="J117" t="n">
        <v>151</v>
      </c>
      <c r="K117" t="n">
        <v>150</v>
      </c>
      <c r="L117" t="n">
        <v>147</v>
      </c>
    </row>
    <row r="118">
      <c r="A118" s="1">
        <f>Hyperlink("https://www.wallsandfloors.co.uk/ledbury-marina-blue-tiles","Product")</f>
        <v/>
      </c>
      <c r="B118" s="1" t="inlineStr">
        <is>
          <t>37443</t>
        </is>
      </c>
      <c r="C118" s="1" t="inlineStr">
        <is>
          <t>Ledbury Marina Blue Pattern Tiles</t>
        </is>
      </c>
      <c r="D118" s="1" t="inlineStr">
        <is>
          <t>450x450x10mm</t>
        </is>
      </c>
      <c r="E118" s="1" t="n">
        <v>18.95</v>
      </c>
      <c r="F118" s="1" t="n">
        <v>-4</v>
      </c>
      <c r="G118" s="1" t="inlineStr">
        <is>
          <t>SQM</t>
        </is>
      </c>
      <c r="H118" s="1" t="inlineStr">
        <is>
          <t>Ceramic</t>
        </is>
      </c>
      <c r="I118" s="1" t="inlineStr">
        <is>
          <t>Satin</t>
        </is>
      </c>
      <c r="J118" t="n">
        <v>211</v>
      </c>
      <c r="K118" t="n">
        <v>211</v>
      </c>
      <c r="L118" t="n">
        <v>207</v>
      </c>
    </row>
    <row r="119">
      <c r="A119" s="1">
        <f>Hyperlink("https://www.wallsandfloors.co.uk/ivory-500x250-wall-tiles","Product")</f>
        <v/>
      </c>
      <c r="B119" s="1" t="inlineStr">
        <is>
          <t>13747</t>
        </is>
      </c>
      <c r="C119" s="1" t="inlineStr">
        <is>
          <t>Athena Ivory Wall Tiles</t>
        </is>
      </c>
      <c r="D119" s="1" t="inlineStr">
        <is>
          <t>500x250x8mm</t>
        </is>
      </c>
      <c r="E119" s="1" t="n">
        <v>15.95</v>
      </c>
      <c r="F119" s="1" t="n">
        <v>-4</v>
      </c>
      <c r="G119" s="1" t="inlineStr">
        <is>
          <t>SQM</t>
        </is>
      </c>
      <c r="H119" s="1" t="inlineStr">
        <is>
          <t>Ceramic</t>
        </is>
      </c>
      <c r="I119" s="1" t="inlineStr">
        <is>
          <t>Gloss</t>
        </is>
      </c>
      <c r="J119" t="n">
        <v>207</v>
      </c>
      <c r="K119" t="inlineStr"/>
      <c r="L119" t="n">
        <v>203</v>
      </c>
    </row>
    <row r="120">
      <c r="A120" s="1">
        <f>Hyperlink("https://www.wallsandfloors.co.uk/picket-bevelled-light-grey-tiles","Product")</f>
        <v/>
      </c>
      <c r="B120" s="1" t="inlineStr">
        <is>
          <t>44237</t>
        </is>
      </c>
      <c r="C120" s="1" t="inlineStr">
        <is>
          <t>Pickett™ Bevelled Light Grey Tiles</t>
        </is>
      </c>
      <c r="D120" s="1" t="inlineStr">
        <is>
          <t>300x100x8.2mm</t>
        </is>
      </c>
      <c r="E120" s="1" t="n">
        <v>34.95</v>
      </c>
      <c r="F120" s="1" t="n">
        <v>-4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126</v>
      </c>
      <c r="K120" t="n">
        <v>122</v>
      </c>
      <c r="L120" t="n">
        <v>122</v>
      </c>
    </row>
    <row r="121">
      <c r="A121" s="1">
        <f>Hyperlink("https://www.wallsandfloors.co.uk/mapei-ultracolour-plus-grout-ultracolour-plus-120-black-tile-grout","Product")</f>
        <v/>
      </c>
      <c r="B121" s="1" t="inlineStr">
        <is>
          <t>11357</t>
        </is>
      </c>
      <c r="C121" s="1" t="inlineStr">
        <is>
          <t>Ultracolour Plus 120 Black Tile Grout</t>
        </is>
      </c>
      <c r="D121" s="1" t="inlineStr">
        <is>
          <t>5 Kg</t>
        </is>
      </c>
      <c r="E121" s="1" t="n">
        <v>13.95</v>
      </c>
      <c r="F121" s="1" t="n">
        <v>-4</v>
      </c>
      <c r="G121" s="1" t="inlineStr">
        <is>
          <t>Unit</t>
        </is>
      </c>
      <c r="H121" s="1" t="inlineStr">
        <is>
          <t>Floor Grout</t>
        </is>
      </c>
      <c r="I121" s="1" t="inlineStr">
        <is>
          <t>-</t>
        </is>
      </c>
      <c r="J121" t="n">
        <v>157</v>
      </c>
      <c r="K121" t="n">
        <v>157</v>
      </c>
      <c r="L121" t="n">
        <v>153</v>
      </c>
    </row>
    <row r="122">
      <c r="A122" s="1">
        <f>Hyperlink("https://www.wallsandfloors.co.uk/white-sparkle-quartz-tiles","Product")</f>
        <v/>
      </c>
      <c r="B122" s="1" t="inlineStr">
        <is>
          <t>13519</t>
        </is>
      </c>
      <c r="C122" s="1" t="inlineStr">
        <is>
          <t>White Sparkle Quartz Tiles</t>
        </is>
      </c>
      <c r="D122" s="1" t="inlineStr">
        <is>
          <t>600x600x12mm</t>
        </is>
      </c>
      <c r="E122" s="1" t="n">
        <v>54.95</v>
      </c>
      <c r="F122" s="1" t="n">
        <v>-4</v>
      </c>
      <c r="G122" s="1" t="inlineStr">
        <is>
          <t>SQM</t>
        </is>
      </c>
      <c r="H122" s="1" t="inlineStr">
        <is>
          <t>Quartz</t>
        </is>
      </c>
      <c r="I122" s="1" t="inlineStr">
        <is>
          <t>Polished</t>
        </is>
      </c>
      <c r="J122" t="n">
        <v>1036</v>
      </c>
      <c r="K122" t="n">
        <v>1036</v>
      </c>
      <c r="L122" t="n">
        <v>1032</v>
      </c>
    </row>
    <row r="123">
      <c r="A123" s="1">
        <f>Hyperlink("https://www.wallsandfloors.co.uk/antique-smooth-crackle-metro-tiles-hotel-de-ville-green-75x150-metro-tiles","Product")</f>
        <v/>
      </c>
      <c r="B123" s="1" t="inlineStr">
        <is>
          <t>13586</t>
        </is>
      </c>
      <c r="C123" s="1" t="inlineStr">
        <is>
          <t>Hotel De Ville Green Flat Crackle Metro Tiles</t>
        </is>
      </c>
      <c r="D123" s="1" t="inlineStr">
        <is>
          <t>150x75x7mm</t>
        </is>
      </c>
      <c r="E123" s="1" t="n">
        <v>40.95</v>
      </c>
      <c r="F123" s="1" t="n">
        <v>-4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n">
        <v>65</v>
      </c>
      <c r="K123" t="n">
        <v>65</v>
      </c>
      <c r="L123" t="n">
        <v>61</v>
      </c>
    </row>
    <row r="124">
      <c r="A124" s="1">
        <f>Hyperlink("https://www.wallsandfloors.co.uk/mapei-ultracolor-plus-119-london-grey-tile-grout","Product")</f>
        <v/>
      </c>
      <c r="B124" s="1" t="inlineStr">
        <is>
          <t>39134</t>
        </is>
      </c>
      <c r="C124" s="1" t="inlineStr">
        <is>
          <t>Mapei Ultracolour Plus 119 London Grey Tile Grout 5 Kg Per Unit</t>
        </is>
      </c>
      <c r="D124" s="1" t="inlineStr">
        <is>
          <t>5 Kg</t>
        </is>
      </c>
      <c r="E124" s="1" t="n">
        <v>13.95</v>
      </c>
      <c r="F124" s="1" t="n">
        <v>-4</v>
      </c>
      <c r="G124" s="1" t="inlineStr">
        <is>
          <t>Unit</t>
        </is>
      </c>
      <c r="H124" s="1" t="inlineStr">
        <is>
          <t>Floor Grout</t>
        </is>
      </c>
      <c r="I124" s="1" t="inlineStr">
        <is>
          <t>-</t>
        </is>
      </c>
      <c r="J124" t="n">
        <v>65</v>
      </c>
      <c r="K124" t="inlineStr"/>
      <c r="L124" t="n">
        <v>61</v>
      </c>
    </row>
    <row r="125">
      <c r="A125" s="1">
        <f>Hyperlink("https://www.wallsandfloors.co.uk/talasni-tiles-white-gloss-wave-tiles","Product")</f>
        <v/>
      </c>
      <c r="B125" s="1" t="inlineStr">
        <is>
          <t>13931</t>
        </is>
      </c>
      <c r="C125" s="1" t="inlineStr">
        <is>
          <t>White Gloss Wave Tiles</t>
        </is>
      </c>
      <c r="D125" s="1" t="inlineStr">
        <is>
          <t>750x250x8mm</t>
        </is>
      </c>
      <c r="E125" s="1" t="n">
        <v>20.95</v>
      </c>
      <c r="F125" s="1" t="n">
        <v>-4</v>
      </c>
      <c r="G125" s="1" t="inlineStr">
        <is>
          <t>SQM</t>
        </is>
      </c>
      <c r="H125" s="1" t="inlineStr">
        <is>
          <t>Ceramic</t>
        </is>
      </c>
      <c r="I125" s="1" t="inlineStr">
        <is>
          <t>Gloss</t>
        </is>
      </c>
      <c r="J125" t="n">
        <v>113</v>
      </c>
      <c r="K125" t="inlineStr"/>
      <c r="L125" t="n">
        <v>109</v>
      </c>
    </row>
    <row r="126">
      <c r="A126" s="1">
        <f>Hyperlink("https://www.wallsandfloors.co.uk/keystone-tiles-mocha-tiles","Product")</f>
        <v/>
      </c>
      <c r="B126" s="1" t="inlineStr">
        <is>
          <t>12087</t>
        </is>
      </c>
      <c r="C126" s="1" t="inlineStr">
        <is>
          <t>Lockstone Mocha Tiles</t>
        </is>
      </c>
      <c r="D126" s="1" t="inlineStr">
        <is>
          <t>600x400x9mm</t>
        </is>
      </c>
      <c r="E126" s="1" t="n">
        <v>18.95</v>
      </c>
      <c r="F126" s="1" t="n">
        <v>-3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n">
        <v>669</v>
      </c>
      <c r="K126" t="n">
        <v>669</v>
      </c>
      <c r="L126" t="n">
        <v>666</v>
      </c>
    </row>
    <row r="127">
      <c r="A127" s="1">
        <f>Hyperlink("https://www.wallsandfloors.co.uk/country-farmhouse-black-slate-tiles-black-slate-random-tiles","Product")</f>
        <v/>
      </c>
      <c r="B127" s="1" t="inlineStr">
        <is>
          <t>12104</t>
        </is>
      </c>
      <c r="C127" s="1" t="inlineStr">
        <is>
          <t>Black Slate Random Tiles</t>
        </is>
      </c>
      <c r="D127" s="1" t="inlineStr">
        <is>
          <t>Mixed  (1 pack = 0.725 sqm)</t>
        </is>
      </c>
      <c r="E127" s="1" t="n">
        <v>15.95</v>
      </c>
      <c r="F127" s="1" t="n">
        <v>-3</v>
      </c>
      <c r="G127" s="1" t="inlineStr">
        <is>
          <t>SQM</t>
        </is>
      </c>
      <c r="H127" s="1" t="inlineStr">
        <is>
          <t>Slate</t>
        </is>
      </c>
      <c r="I127" s="1" t="inlineStr">
        <is>
          <t>Matt</t>
        </is>
      </c>
      <c r="J127" t="n">
        <v>240</v>
      </c>
      <c r="K127" t="n">
        <v>237</v>
      </c>
      <c r="L127" t="n">
        <v>237</v>
      </c>
    </row>
    <row r="128">
      <c r="A128" s="1">
        <f>Hyperlink("https://www.wallsandfloors.co.uk/salon-porcelain-tiles-white-matt-600x600-tiles","Product")</f>
        <v/>
      </c>
      <c r="B128" s="1" t="inlineStr">
        <is>
          <t>12632</t>
        </is>
      </c>
      <c r="C128" s="1" t="inlineStr">
        <is>
          <t>Salon Porcelain White Matt Tiles</t>
        </is>
      </c>
      <c r="D128" s="1" t="inlineStr">
        <is>
          <t>600x600x10mm</t>
        </is>
      </c>
      <c r="E128" s="1" t="n">
        <v>29.95</v>
      </c>
      <c r="F128" s="1" t="n">
        <v>-3</v>
      </c>
      <c r="G128" s="1" t="inlineStr">
        <is>
          <t>SQM</t>
        </is>
      </c>
      <c r="H128" s="1" t="inlineStr">
        <is>
          <t>Porcelain</t>
        </is>
      </c>
      <c r="I128" s="1" t="inlineStr">
        <is>
          <t>Matt</t>
        </is>
      </c>
      <c r="J128" t="inlineStr"/>
      <c r="K128" t="n">
        <v>157</v>
      </c>
      <c r="L128" t="n">
        <v>154</v>
      </c>
    </row>
    <row r="129">
      <c r="A129" s="1">
        <f>Hyperlink("https://www.wallsandfloors.co.uk/mini-metro-150x75-tiles-bond-street-blue-tiles","Product")</f>
        <v/>
      </c>
      <c r="B129" s="1" t="inlineStr">
        <is>
          <t>11140</t>
        </is>
      </c>
      <c r="C129" s="1" t="inlineStr">
        <is>
          <t>Bond Street Gloss Blue Mini Metro Tiles</t>
        </is>
      </c>
      <c r="D129" s="1" t="inlineStr">
        <is>
          <t>150x75x7mm</t>
        </is>
      </c>
      <c r="E129" s="1" t="n">
        <v>25.95</v>
      </c>
      <c r="F129" s="1" t="n">
        <v>-3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Gloss</t>
        </is>
      </c>
      <c r="J129" t="n">
        <v>86</v>
      </c>
      <c r="K129" t="n">
        <v>86</v>
      </c>
      <c r="L129" t="n">
        <v>83</v>
      </c>
    </row>
    <row r="130">
      <c r="A130" s="1">
        <f>Hyperlink("https://www.wallsandfloors.co.uk/trellis-agadir-tiles","Product")</f>
        <v/>
      </c>
      <c r="B130" s="1" t="inlineStr">
        <is>
          <t>44221</t>
        </is>
      </c>
      <c r="C130" s="1" t="inlineStr">
        <is>
          <t>Trellis Agadir Tiles</t>
        </is>
      </c>
      <c r="D130" s="1" t="inlineStr">
        <is>
          <t>450x450x9mm</t>
        </is>
      </c>
      <c r="E130" s="1" t="n">
        <v>20.95</v>
      </c>
      <c r="F130" s="1" t="n">
        <v>-3</v>
      </c>
      <c r="G130" s="1" t="inlineStr">
        <is>
          <t>SQM</t>
        </is>
      </c>
      <c r="H130" s="1" t="inlineStr">
        <is>
          <t>Ceramic</t>
        </is>
      </c>
      <c r="I130" s="1" t="inlineStr">
        <is>
          <t>Matt</t>
        </is>
      </c>
      <c r="J130" t="n">
        <v>768</v>
      </c>
      <c r="K130" t="n">
        <v>765</v>
      </c>
      <c r="L130" t="n">
        <v>765</v>
      </c>
    </row>
    <row r="131">
      <c r="A131" s="1">
        <f>Hyperlink("https://www.wallsandfloors.co.uk/cream-tiles-cream-gloss-tiles","Product")</f>
        <v/>
      </c>
      <c r="B131" s="1" t="inlineStr">
        <is>
          <t>15092</t>
        </is>
      </c>
      <c r="C131" s="1" t="inlineStr">
        <is>
          <t>Cream Rustic Metro Tiles</t>
        </is>
      </c>
      <c r="D131" s="1" t="inlineStr">
        <is>
          <t>300x100x7mm</t>
        </is>
      </c>
      <c r="E131" s="1" t="n">
        <v>20.95</v>
      </c>
      <c r="F131" s="1" t="n">
        <v>-3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n">
        <v>87</v>
      </c>
      <c r="K131" t="inlineStr"/>
      <c r="L131" t="n">
        <v>84</v>
      </c>
    </row>
    <row r="132">
      <c r="A132" s="1">
        <f>Hyperlink("https://www.wallsandfloors.co.uk/stesso-dove-texture-mix-mosaic-tiles","Product")</f>
        <v/>
      </c>
      <c r="B132" s="1" t="inlineStr">
        <is>
          <t>37257</t>
        </is>
      </c>
      <c r="C132" s="1" t="inlineStr">
        <is>
          <t>Stesso Dove Texture Mix Mosaic Tiles</t>
        </is>
      </c>
      <c r="D132" s="1" t="inlineStr">
        <is>
          <t>262x298x6mm</t>
        </is>
      </c>
      <c r="E132" s="1" t="n">
        <v>6.45</v>
      </c>
      <c r="F132" s="1" t="n">
        <v>-3</v>
      </c>
      <c r="G132" s="1" t="inlineStr">
        <is>
          <t>Sheet</t>
        </is>
      </c>
      <c r="H132" s="1" t="inlineStr">
        <is>
          <t>Glass</t>
        </is>
      </c>
      <c r="I132" s="1" t="inlineStr">
        <is>
          <t>Matt</t>
        </is>
      </c>
      <c r="J132" t="n">
        <v>32</v>
      </c>
      <c r="K132" t="n">
        <v>32</v>
      </c>
      <c r="L132" t="n">
        <v>29</v>
      </c>
    </row>
    <row r="133">
      <c r="A133" s="1">
        <f>Hyperlink("https://www.wallsandfloors.co.uk/decorum-tiles-black-marble-effect-gloss-tiles","Product")</f>
        <v/>
      </c>
      <c r="B133" s="1" t="inlineStr">
        <is>
          <t>13751</t>
        </is>
      </c>
      <c r="C133" s="1" t="inlineStr">
        <is>
          <t>Black Marble Effect Gloss Tiles</t>
        </is>
      </c>
      <c r="D133" s="1" t="inlineStr">
        <is>
          <t>500x250x8mm</t>
        </is>
      </c>
      <c r="E133" s="1" t="n">
        <v>15.95</v>
      </c>
      <c r="F133" s="1" t="n">
        <v>-3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inlineStr"/>
      <c r="K133" t="n">
        <v>173</v>
      </c>
      <c r="L133" t="n">
        <v>170</v>
      </c>
    </row>
    <row r="134">
      <c r="A134" s="1">
        <f>Hyperlink("https://www.wallsandfloors.co.uk/innocence-whites-white-bumpy-gloss-400x250-tile","Product")</f>
        <v/>
      </c>
      <c r="B134" s="1" t="inlineStr">
        <is>
          <t>13337</t>
        </is>
      </c>
      <c r="C134" s="1" t="inlineStr">
        <is>
          <t>Innocence White Bumpy Gloss Tiles</t>
        </is>
      </c>
      <c r="D134" s="1" t="inlineStr">
        <is>
          <t>400x250x7mm</t>
        </is>
      </c>
      <c r="E134" s="1" t="n">
        <v>13.95</v>
      </c>
      <c r="F134" s="1" t="n">
        <v>-3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Gloss</t>
        </is>
      </c>
      <c r="J134" t="inlineStr"/>
      <c r="K134" t="n">
        <v>75</v>
      </c>
      <c r="L134" t="n">
        <v>72</v>
      </c>
    </row>
    <row r="135">
      <c r="A135" s="1">
        <f>Hyperlink("https://www.wallsandfloors.co.uk/natural-oak-1215x195-tiles","Product")</f>
        <v/>
      </c>
      <c r="B135" s="1" t="inlineStr">
        <is>
          <t>36545</t>
        </is>
      </c>
      <c r="C135" s="1" t="inlineStr">
        <is>
          <t>Muniellos Natural Oak Wood Effect Tiles</t>
        </is>
      </c>
      <c r="D135" s="1" t="inlineStr">
        <is>
          <t>1215x195x10.5mm</t>
        </is>
      </c>
      <c r="E135" s="1" t="n">
        <v>35.95</v>
      </c>
      <c r="F135" s="1" t="n">
        <v>-3</v>
      </c>
      <c r="G135" s="1" t="inlineStr">
        <is>
          <t>SQM</t>
        </is>
      </c>
      <c r="H135" s="1" t="inlineStr">
        <is>
          <t>Porcelain</t>
        </is>
      </c>
      <c r="I135" s="1" t="inlineStr">
        <is>
          <t>Matt</t>
        </is>
      </c>
      <c r="J135" t="n">
        <v>627</v>
      </c>
      <c r="K135" t="n">
        <v>627</v>
      </c>
      <c r="L135" t="n">
        <v>624</v>
      </c>
    </row>
    <row r="136">
      <c r="A136" s="1">
        <f>Hyperlink("https://www.wallsandfloors.co.uk/brixton-brule-50x25-tiles","Product")</f>
        <v/>
      </c>
      <c r="B136" s="1" t="inlineStr">
        <is>
          <t>39055</t>
        </is>
      </c>
      <c r="C136" s="1" t="inlineStr">
        <is>
          <t>Brixton Brule 50x25 Tiles</t>
        </is>
      </c>
      <c r="D136" s="1" t="inlineStr">
        <is>
          <t>500x250x7.4mm</t>
        </is>
      </c>
      <c r="E136" s="1" t="n">
        <v>11.95</v>
      </c>
      <c r="F136" s="1" t="n">
        <v>-3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Matt</t>
        </is>
      </c>
      <c r="J136" t="n">
        <v>160</v>
      </c>
      <c r="K136" t="n">
        <v>157</v>
      </c>
      <c r="L136" t="n">
        <v>157</v>
      </c>
    </row>
    <row r="137">
      <c r="A137" s="1">
        <f>Hyperlink("https://www.wallsandfloors.co.uk/craquelure-rose-tiles","Product")</f>
        <v/>
      </c>
      <c r="B137" s="1" t="inlineStr">
        <is>
          <t>41708</t>
        </is>
      </c>
      <c r="C137" s="1" t="inlineStr">
        <is>
          <t>Craquelure Rose Tiles</t>
        </is>
      </c>
      <c r="D137" s="1" t="inlineStr">
        <is>
          <t>200x100x6.8mm</t>
        </is>
      </c>
      <c r="E137" s="1" t="n">
        <v>35.95</v>
      </c>
      <c r="F137" s="1" t="n">
        <v>-3</v>
      </c>
      <c r="G137" s="1" t="inlineStr">
        <is>
          <t>SQM</t>
        </is>
      </c>
      <c r="H137" s="1" t="inlineStr">
        <is>
          <t>Ceramic</t>
        </is>
      </c>
      <c r="I137" s="1" t="inlineStr">
        <is>
          <t>Gloss</t>
        </is>
      </c>
      <c r="J137" t="n">
        <v>69</v>
      </c>
      <c r="K137" t="n">
        <v>69</v>
      </c>
      <c r="L137" t="n">
        <v>66</v>
      </c>
    </row>
    <row r="138">
      <c r="A138" s="1">
        <f>Hyperlink("https://www.wallsandfloors.co.uk/churchill-snow-midnight-border-tiles","Product")</f>
        <v/>
      </c>
      <c r="B138" s="1" t="inlineStr">
        <is>
          <t>41055</t>
        </is>
      </c>
      <c r="C138" s="1" t="inlineStr">
        <is>
          <t>Churchill Snow &amp; Midnight Border Tiles</t>
        </is>
      </c>
      <c r="D138" s="1" t="inlineStr">
        <is>
          <t>264x118x6mm</t>
        </is>
      </c>
      <c r="E138" s="1" t="n">
        <v>9.949999999999999</v>
      </c>
      <c r="F138" s="1" t="n">
        <v>-3</v>
      </c>
      <c r="G138" s="1" t="inlineStr">
        <is>
          <t>SQM</t>
        </is>
      </c>
      <c r="H138" s="1" t="inlineStr">
        <is>
          <t>Porcelain</t>
        </is>
      </c>
      <c r="I138" s="1" t="inlineStr">
        <is>
          <t>Matt</t>
        </is>
      </c>
      <c r="J138" t="inlineStr"/>
      <c r="K138" t="n">
        <v>209</v>
      </c>
      <c r="L138" t="n">
        <v>206</v>
      </c>
    </row>
    <row r="139">
      <c r="A139" s="1">
        <f>Hyperlink("https://www.wallsandfloors.co.uk/salon-porcelain-tiles-black-structured-600x300-tiles","Product")</f>
        <v/>
      </c>
      <c r="B139" s="1" t="inlineStr">
        <is>
          <t>12657</t>
        </is>
      </c>
      <c r="C139" s="1" t="inlineStr">
        <is>
          <t>Salon Porcelain Black Anti Slip Tiles</t>
        </is>
      </c>
      <c r="D139" s="1" t="inlineStr">
        <is>
          <t>600x300x10mm</t>
        </is>
      </c>
      <c r="E139" s="1" t="n">
        <v>29.95</v>
      </c>
      <c r="F139" s="1" t="n">
        <v>-3</v>
      </c>
      <c r="G139" s="1" t="inlineStr">
        <is>
          <t>SQM</t>
        </is>
      </c>
      <c r="H139" s="1" t="inlineStr">
        <is>
          <t>Porcelain</t>
        </is>
      </c>
      <c r="I139" s="1" t="inlineStr">
        <is>
          <t>Matt</t>
        </is>
      </c>
      <c r="J139" t="n">
        <v>434</v>
      </c>
      <c r="K139" t="n">
        <v>434</v>
      </c>
      <c r="L139" t="n">
        <v>431</v>
      </c>
    </row>
    <row r="140">
      <c r="A140" s="1">
        <f>Hyperlink("https://www.wallsandfloors.co.uk/allegory-hexagon-tiles-myth-decor-hexagon-tiles","Product")</f>
        <v/>
      </c>
      <c r="B140" s="1" t="inlineStr">
        <is>
          <t>14409</t>
        </is>
      </c>
      <c r="C140" s="1" t="inlineStr">
        <is>
          <t>Myth Decor Hexagon Tiles</t>
        </is>
      </c>
      <c r="D140" s="1" t="inlineStr">
        <is>
          <t>200x175x8mm</t>
        </is>
      </c>
      <c r="E140" s="1" t="n">
        <v>55.95</v>
      </c>
      <c r="F140" s="1" t="n">
        <v>-3</v>
      </c>
      <c r="G140" s="1" t="inlineStr">
        <is>
          <t>SQM</t>
        </is>
      </c>
      <c r="H140" s="1" t="inlineStr">
        <is>
          <t>Porcelain</t>
        </is>
      </c>
      <c r="I140" s="1" t="inlineStr">
        <is>
          <t>Matt</t>
        </is>
      </c>
      <c r="J140" t="n">
        <v>75</v>
      </c>
      <c r="K140" t="inlineStr"/>
      <c r="L140" t="n">
        <v>72</v>
      </c>
    </row>
    <row r="141">
      <c r="A141" s="1">
        <f>Hyperlink("https://www.wallsandfloors.co.uk/retro-metro-tiles-bevelled-brick-perla-grey-gloss-wall-tiles","Product")</f>
        <v/>
      </c>
      <c r="B141" s="1" t="inlineStr">
        <is>
          <t>44286</t>
        </is>
      </c>
      <c r="C141" s="1" t="inlineStr">
        <is>
          <t>Jubilee Gloss Grey Metro Tiles</t>
        </is>
      </c>
      <c r="D141" s="1" t="inlineStr">
        <is>
          <t>200x100x7mm</t>
        </is>
      </c>
      <c r="E141" s="1" t="n">
        <v>18.95</v>
      </c>
      <c r="F141" s="1" t="n">
        <v>-3</v>
      </c>
      <c r="G141" s="1" t="inlineStr">
        <is>
          <t>SQM</t>
        </is>
      </c>
      <c r="H141" s="1" t="inlineStr">
        <is>
          <t>Ceramic</t>
        </is>
      </c>
      <c r="I141" s="1" t="inlineStr">
        <is>
          <t>Gloss</t>
        </is>
      </c>
      <c r="J141" t="n">
        <v>258</v>
      </c>
      <c r="K141" t="n">
        <v>258</v>
      </c>
      <c r="L141" t="n">
        <v>255</v>
      </c>
    </row>
    <row r="142">
      <c r="A142" s="1">
        <f>Hyperlink("https://www.wallsandfloors.co.uk/mapei-ultracolour-plus-grout-ultracolour-plus-111-silver-tile-grout","Product")</f>
        <v/>
      </c>
      <c r="B142" s="1" t="inlineStr">
        <is>
          <t>12928</t>
        </is>
      </c>
      <c r="C142" s="1" t="inlineStr">
        <is>
          <t>Ultracolour Plus 111 Silver Tile Grout</t>
        </is>
      </c>
      <c r="D142" s="1" t="inlineStr">
        <is>
          <t>5 Kg</t>
        </is>
      </c>
      <c r="E142" s="1" t="n">
        <v>13.95</v>
      </c>
      <c r="F142" s="1" t="n">
        <v>-2</v>
      </c>
      <c r="G142" s="1" t="inlineStr">
        <is>
          <t>Unit</t>
        </is>
      </c>
      <c r="H142" s="1" t="inlineStr">
        <is>
          <t>Floor Grout</t>
        </is>
      </c>
      <c r="I142" s="1" t="inlineStr">
        <is>
          <t>-</t>
        </is>
      </c>
      <c r="J142" t="n">
        <v>109</v>
      </c>
      <c r="K142" t="n">
        <v>108</v>
      </c>
      <c r="L142" t="n">
        <v>107</v>
      </c>
    </row>
    <row r="143">
      <c r="A143" s="1">
        <f>Hyperlink("https://www.wallsandfloors.co.uk/country-farmhouse-black-slate-tiles-black-slate-30x30-tiles","Product")</f>
        <v/>
      </c>
      <c r="B143" s="1" t="inlineStr">
        <is>
          <t>11997</t>
        </is>
      </c>
      <c r="C143" s="1" t="inlineStr">
        <is>
          <t>Country Farmhouse Black Slate Tiles</t>
        </is>
      </c>
      <c r="D143" s="1" t="inlineStr">
        <is>
          <t>300x300x7-12mm</t>
        </is>
      </c>
      <c r="E143" s="1" t="n">
        <v>18.95</v>
      </c>
      <c r="F143" s="1" t="n">
        <v>-2</v>
      </c>
      <c r="G143" s="1" t="inlineStr">
        <is>
          <t>SQM</t>
        </is>
      </c>
      <c r="H143" s="1" t="inlineStr">
        <is>
          <t>Slate</t>
        </is>
      </c>
      <c r="I143" s="1" t="inlineStr">
        <is>
          <t>Matt</t>
        </is>
      </c>
      <c r="J143" t="n">
        <v>444</v>
      </c>
      <c r="K143" t="n">
        <v>442</v>
      </c>
      <c r="L143" t="n">
        <v>442</v>
      </c>
    </row>
    <row r="144">
      <c r="A144" s="1">
        <f>Hyperlink("https://www.wallsandfloors.co.uk/royal-oak-tiles-oak-wood-plank-tiles","Product")</f>
        <v/>
      </c>
      <c r="B144" s="1" t="inlineStr">
        <is>
          <t>14372</t>
        </is>
      </c>
      <c r="C144" s="1" t="inlineStr">
        <is>
          <t>Royal Oak Plank Wood Effect Tiles</t>
        </is>
      </c>
      <c r="D144" s="1" t="inlineStr">
        <is>
          <t>1200x230x10mm</t>
        </is>
      </c>
      <c r="E144" s="1" t="n">
        <v>22.95</v>
      </c>
      <c r="F144" s="1" t="n">
        <v>-2</v>
      </c>
      <c r="G144" s="1" t="inlineStr">
        <is>
          <t>SQM</t>
        </is>
      </c>
      <c r="H144" s="1" t="inlineStr">
        <is>
          <t>Porcelain</t>
        </is>
      </c>
      <c r="I144" s="1" t="inlineStr">
        <is>
          <t>Matt</t>
        </is>
      </c>
      <c r="J144" t="n">
        <v>157</v>
      </c>
      <c r="K144" t="n">
        <v>156</v>
      </c>
      <c r="L144" t="n">
        <v>155</v>
      </c>
    </row>
    <row r="145">
      <c r="A145" s="1">
        <f>Hyperlink("https://www.wallsandfloors.co.uk/titanium-natural-finish-tiles-concrete-20x20-tiles","Product")</f>
        <v/>
      </c>
      <c r="B145" s="1" t="inlineStr">
        <is>
          <t>13499</t>
        </is>
      </c>
      <c r="C145" s="1" t="inlineStr">
        <is>
          <t>Titanium Concrete Tiles</t>
        </is>
      </c>
      <c r="D145" s="1" t="inlineStr">
        <is>
          <t>200x200x9mm</t>
        </is>
      </c>
      <c r="E145" s="1" t="n">
        <v>23.95</v>
      </c>
      <c r="F145" s="1" t="n">
        <v>-2</v>
      </c>
      <c r="G145" s="1" t="inlineStr">
        <is>
          <t>SQM</t>
        </is>
      </c>
      <c r="H145" s="1" t="inlineStr">
        <is>
          <t>Porcelain</t>
        </is>
      </c>
      <c r="I145" s="1" t="inlineStr">
        <is>
          <t>Matt</t>
        </is>
      </c>
      <c r="J145" t="n">
        <v>122</v>
      </c>
      <c r="K145" t="n">
        <v>120</v>
      </c>
      <c r="L145" t="n">
        <v>120</v>
      </c>
    </row>
    <row r="146">
      <c r="A146" s="1">
        <f>Hyperlink("https://www.wallsandfloors.co.uk/anchor-chalk-tiles","Product")</f>
        <v/>
      </c>
      <c r="B146" s="1" t="inlineStr">
        <is>
          <t>44102</t>
        </is>
      </c>
      <c r="C146" s="1" t="inlineStr">
        <is>
          <t>Anchor Chalk Tin Style Tiles</t>
        </is>
      </c>
      <c r="D146" s="1" t="inlineStr">
        <is>
          <t>330x330x9mm</t>
        </is>
      </c>
      <c r="E146" s="1" t="n">
        <v>34.95</v>
      </c>
      <c r="F146" s="1" t="n">
        <v>-2</v>
      </c>
      <c r="G146" s="1" t="inlineStr">
        <is>
          <t>SQM</t>
        </is>
      </c>
      <c r="H146" s="1" t="inlineStr">
        <is>
          <t>Porcelain</t>
        </is>
      </c>
      <c r="I146" s="1" t="inlineStr">
        <is>
          <t>Matt</t>
        </is>
      </c>
      <c r="J146" t="n">
        <v>57</v>
      </c>
      <c r="K146" t="n">
        <v>57</v>
      </c>
      <c r="L146" t="n">
        <v>55</v>
      </c>
    </row>
    <row r="147">
      <c r="A147" s="1">
        <f>Hyperlink("https://www.wallsandfloors.co.uk/metro-smooth-200x100-tiles-greenwich-smooth-gloss-200x100-green-tiles","Product")</f>
        <v/>
      </c>
      <c r="B147" s="1" t="inlineStr">
        <is>
          <t>13658</t>
        </is>
      </c>
      <c r="C147" s="1" t="inlineStr">
        <is>
          <t>Flat Greenwich Green Gloss Tiles</t>
        </is>
      </c>
      <c r="D147" s="1" t="inlineStr">
        <is>
          <t>200x100x7mm</t>
        </is>
      </c>
      <c r="E147" s="1" t="n">
        <v>20.95</v>
      </c>
      <c r="F147" s="1" t="n">
        <v>-2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Gloss</t>
        </is>
      </c>
      <c r="J147" t="n">
        <v>88</v>
      </c>
      <c r="K147" t="inlineStr"/>
      <c r="L147" t="n">
        <v>86</v>
      </c>
    </row>
    <row r="148">
      <c r="A148" s="1">
        <f>Hyperlink("https://www.wallsandfloors.co.uk/starline-natural-finish-tiles-light-grey-tiles","Product")</f>
        <v/>
      </c>
      <c r="B148" s="1" t="inlineStr">
        <is>
          <t>11047</t>
        </is>
      </c>
      <c r="C148" s="1" t="inlineStr">
        <is>
          <t>Starline Natural Finish Light Grey Tiles</t>
        </is>
      </c>
      <c r="D148" s="1" t="inlineStr">
        <is>
          <t>300x300x6mm</t>
        </is>
      </c>
      <c r="E148" s="1" t="n">
        <v>13.95</v>
      </c>
      <c r="F148" s="1" t="n">
        <v>-2</v>
      </c>
      <c r="G148" s="1" t="inlineStr">
        <is>
          <t>SQM</t>
        </is>
      </c>
      <c r="H148" s="1" t="inlineStr">
        <is>
          <t>Porcelain</t>
        </is>
      </c>
      <c r="I148" s="1" t="inlineStr">
        <is>
          <t>Matt</t>
        </is>
      </c>
      <c r="J148" t="n">
        <v>193</v>
      </c>
      <c r="K148" t="n">
        <v>191</v>
      </c>
      <c r="L148" t="n">
        <v>191</v>
      </c>
    </row>
    <row r="149">
      <c r="A149" s="1">
        <f>Hyperlink("https://www.wallsandfloors.co.uk/craquele-cotton-10x20","Product")</f>
        <v/>
      </c>
      <c r="B149" s="1" t="inlineStr">
        <is>
          <t>41389</t>
        </is>
      </c>
      <c r="C149" s="1" t="inlineStr">
        <is>
          <t>Craquelure Cotton Tiles</t>
        </is>
      </c>
      <c r="D149" s="1" t="inlineStr">
        <is>
          <t>200x100x6.8mm</t>
        </is>
      </c>
      <c r="E149" s="1" t="n">
        <v>30.95</v>
      </c>
      <c r="F149" s="1" t="n">
        <v>-2</v>
      </c>
      <c r="G149" s="1" t="inlineStr">
        <is>
          <t>SQM</t>
        </is>
      </c>
      <c r="H149" s="1" t="inlineStr">
        <is>
          <t>Ceramic</t>
        </is>
      </c>
      <c r="I149" s="1" t="inlineStr">
        <is>
          <t>Gloss</t>
        </is>
      </c>
      <c r="J149" t="n">
        <v>172</v>
      </c>
      <c r="K149" t="n">
        <v>172</v>
      </c>
      <c r="L149" t="n">
        <v>170</v>
      </c>
    </row>
    <row r="150">
      <c r="A150" s="1">
        <f>Hyperlink("https://www.wallsandfloors.co.uk/burghal-stone-effect-tiles-burghal-steel-tiles","Product")</f>
        <v/>
      </c>
      <c r="B150" s="1" t="inlineStr">
        <is>
          <t>13070</t>
        </is>
      </c>
      <c r="C150" s="1" t="inlineStr">
        <is>
          <t>Burghal Steel Stone Effect Tiles</t>
        </is>
      </c>
      <c r="D150" s="1" t="inlineStr">
        <is>
          <t>600x300x8mm</t>
        </is>
      </c>
      <c r="E150" s="1" t="n">
        <v>20.95</v>
      </c>
      <c r="F150" s="1" t="n">
        <v>-2</v>
      </c>
      <c r="G150" s="1" t="inlineStr">
        <is>
          <t>SQM</t>
        </is>
      </c>
      <c r="H150" s="1" t="inlineStr">
        <is>
          <t>Porcelain</t>
        </is>
      </c>
      <c r="I150" s="1" t="inlineStr">
        <is>
          <t>Matt</t>
        </is>
      </c>
      <c r="J150" t="n">
        <v>806</v>
      </c>
      <c r="K150" t="n">
        <v>806</v>
      </c>
      <c r="L150" t="n">
        <v>804</v>
      </c>
    </row>
    <row r="151">
      <c r="A151" s="1">
        <f>Hyperlink("https://www.wallsandfloors.co.uk/scintilla-sky-pattern-tiles","Product")</f>
        <v/>
      </c>
      <c r="B151" s="1" t="inlineStr">
        <is>
          <t>44252</t>
        </is>
      </c>
      <c r="C151" s="1" t="inlineStr">
        <is>
          <t>Scintilla Sky Pattern Tiles</t>
        </is>
      </c>
      <c r="D151" s="1" t="inlineStr">
        <is>
          <t>450x450x10.5mm</t>
        </is>
      </c>
      <c r="E151" s="1" t="n">
        <v>19.95</v>
      </c>
      <c r="F151" s="1" t="n">
        <v>-2</v>
      </c>
      <c r="G151" s="1" t="inlineStr">
        <is>
          <t>SQM</t>
        </is>
      </c>
      <c r="H151" s="1" t="inlineStr">
        <is>
          <t>Ceramic</t>
        </is>
      </c>
      <c r="I151" s="1" t="inlineStr">
        <is>
          <t>Matt</t>
        </is>
      </c>
      <c r="J151" t="n">
        <v>644</v>
      </c>
      <c r="K151" t="n">
        <v>642</v>
      </c>
      <c r="L151" t="n">
        <v>642</v>
      </c>
    </row>
    <row r="152">
      <c r="A152" s="1">
        <f>Hyperlink("https://www.wallsandfloors.co.uk/mapei-ultracolour-plus-grout-ultracolour-plus-113-cement-grey-tile-grout","Product")</f>
        <v/>
      </c>
      <c r="B152" s="1" t="inlineStr">
        <is>
          <t>10663</t>
        </is>
      </c>
      <c r="C152" s="1" t="inlineStr">
        <is>
          <t>Ultracolour Plus 113 Cement Grey Tile Grout</t>
        </is>
      </c>
      <c r="D152" s="1" t="inlineStr">
        <is>
          <t>5 Kg</t>
        </is>
      </c>
      <c r="E152" s="1" t="n">
        <v>13.95</v>
      </c>
      <c r="F152" s="1" t="n">
        <v>-2</v>
      </c>
      <c r="G152" s="1" t="inlineStr">
        <is>
          <t>Unit</t>
        </is>
      </c>
      <c r="H152" s="1" t="inlineStr">
        <is>
          <t>Floor Grout</t>
        </is>
      </c>
      <c r="I152" s="1" t="inlineStr">
        <is>
          <t>-</t>
        </is>
      </c>
      <c r="J152" t="n">
        <v>98</v>
      </c>
      <c r="K152" t="inlineStr"/>
      <c r="L152" t="n">
        <v>96</v>
      </c>
    </row>
    <row r="153">
      <c r="A153" s="1">
        <f>Hyperlink("https://www.wallsandfloors.co.uk/salon-porcelain-tiles-grey-matt-600x600-tiles","Product")</f>
        <v/>
      </c>
      <c r="B153" s="1" t="inlineStr">
        <is>
          <t>12638</t>
        </is>
      </c>
      <c r="C153" s="1" t="inlineStr">
        <is>
          <t>Salon Porcelain Grey Matt Tiles</t>
        </is>
      </c>
      <c r="D153" s="1" t="inlineStr">
        <is>
          <t>600x600x10mm</t>
        </is>
      </c>
      <c r="E153" s="1" t="n">
        <v>33.95</v>
      </c>
      <c r="F153" s="1" t="n">
        <v>-2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124</v>
      </c>
      <c r="K153" t="inlineStr"/>
      <c r="L153" t="n">
        <v>122</v>
      </c>
    </row>
    <row r="154">
      <c r="A154" s="1">
        <f>Hyperlink("https://www.wallsandfloors.co.uk/mini-metro-150x75-tiles-green-park-tiles","Product")</f>
        <v/>
      </c>
      <c r="B154" s="1" t="inlineStr">
        <is>
          <t>8391</t>
        </is>
      </c>
      <c r="C154" s="1" t="inlineStr">
        <is>
          <t>Park Gloss Green Mini Metro Tiles</t>
        </is>
      </c>
      <c r="D154" s="1" t="inlineStr">
        <is>
          <t>150x75x7mm</t>
        </is>
      </c>
      <c r="E154" s="1" t="n">
        <v>25.95</v>
      </c>
      <c r="F154" s="1" t="n">
        <v>-2</v>
      </c>
      <c r="G154" s="1" t="inlineStr">
        <is>
          <t>SQM</t>
        </is>
      </c>
      <c r="H154" s="1" t="inlineStr">
        <is>
          <t>Ceramic</t>
        </is>
      </c>
      <c r="I154" s="1" t="inlineStr">
        <is>
          <t>Gloss</t>
        </is>
      </c>
      <c r="J154" t="inlineStr"/>
      <c r="K154" t="n">
        <v>106</v>
      </c>
      <c r="L154" t="n">
        <v>104</v>
      </c>
    </row>
    <row r="155">
      <c r="A155" s="1">
        <f>Hyperlink("https://www.wallsandfloors.co.uk/straight-edge-metal-trim-12-5mm-brushed-effect","Product")</f>
        <v/>
      </c>
      <c r="B155" s="1" t="inlineStr">
        <is>
          <t>41046</t>
        </is>
      </c>
      <c r="C155" s="1" t="inlineStr">
        <is>
          <t>12.5mm Aluminium Straight Edge Brushed Effect Trim</t>
        </is>
      </c>
      <c r="D155" s="1" t="inlineStr">
        <is>
          <t>2500mm Length x 12.5mm Depth</t>
        </is>
      </c>
      <c r="E155" s="1" t="n">
        <v>9.949999999999999</v>
      </c>
      <c r="F155" s="1" t="n">
        <v>-2</v>
      </c>
      <c r="G155" s="1" t="inlineStr">
        <is>
          <t>Unit</t>
        </is>
      </c>
      <c r="H155" s="1" t="inlineStr">
        <is>
          <t>Metal</t>
        </is>
      </c>
      <c r="I155" s="1" t="inlineStr">
        <is>
          <t>Matt</t>
        </is>
      </c>
      <c r="J155" t="n">
        <v>2552</v>
      </c>
      <c r="K155" t="n">
        <v>2550</v>
      </c>
      <c r="L155" t="n">
        <v>2550</v>
      </c>
    </row>
    <row r="156">
      <c r="A156" s="1">
        <f>Hyperlink("https://www.wallsandfloors.co.uk/toolshed-tile-adhesive-uniflex-white-wall-floor-tile-adhesive-20kg","Product")</f>
        <v/>
      </c>
      <c r="B156" s="1" t="inlineStr">
        <is>
          <t>15557</t>
        </is>
      </c>
      <c r="C156" s="1" t="inlineStr">
        <is>
          <t>Uniflex White Wall &amp; Floor Tile Adhesive 20kg</t>
        </is>
      </c>
      <c r="D156" s="1" t="inlineStr">
        <is>
          <t>20 Kg</t>
        </is>
      </c>
      <c r="E156" s="1" t="n">
        <v>17.95</v>
      </c>
      <c r="F156" s="1" t="n">
        <v>-2</v>
      </c>
      <c r="G156" s="1" t="inlineStr">
        <is>
          <t>Unit</t>
        </is>
      </c>
      <c r="H156" s="1" t="inlineStr">
        <is>
          <t>Adhesive</t>
        </is>
      </c>
      <c r="I156" s="1" t="inlineStr">
        <is>
          <t>-</t>
        </is>
      </c>
      <c r="J156" t="n">
        <v>131</v>
      </c>
      <c r="K156" t="inlineStr"/>
      <c r="L156" t="n">
        <v>129</v>
      </c>
    </row>
    <row r="157">
      <c r="A157" s="1">
        <f>Hyperlink("https://www.wallsandfloors.co.uk/metro-200x100-tiles-manor-house-blue-tiles","Product")</f>
        <v/>
      </c>
      <c r="B157" s="1" t="inlineStr">
        <is>
          <t>14040</t>
        </is>
      </c>
      <c r="C157" s="1" t="inlineStr">
        <is>
          <t>Metro Manor House Blue Gloss Tiles</t>
        </is>
      </c>
      <c r="D157" s="1" t="inlineStr">
        <is>
          <t>200x100x7mm</t>
        </is>
      </c>
      <c r="E157" s="1" t="n">
        <v>20.95</v>
      </c>
      <c r="F157" s="1" t="n">
        <v>-2</v>
      </c>
      <c r="G157" s="1" t="inlineStr">
        <is>
          <t>SQM</t>
        </is>
      </c>
      <c r="H157" s="1" t="inlineStr">
        <is>
          <t>Ceramic</t>
        </is>
      </c>
      <c r="I157" s="1" t="inlineStr">
        <is>
          <t>Gloss</t>
        </is>
      </c>
      <c r="J157" t="n">
        <v>385</v>
      </c>
      <c r="K157" t="n">
        <v>385</v>
      </c>
      <c r="L157" t="n">
        <v>383</v>
      </c>
    </row>
    <row r="158">
      <c r="A158" s="1">
        <f>Hyperlink("https://www.wallsandfloors.co.uk/bijou-hexagonal-mosaic-tiles-white-hexagon-gloss-tiles","Product")</f>
        <v/>
      </c>
      <c r="B158" s="1" t="inlineStr">
        <is>
          <t>13829</t>
        </is>
      </c>
      <c r="C158" s="1" t="inlineStr">
        <is>
          <t>Pixel White Hexagon Gloss Mosaic Tiles</t>
        </is>
      </c>
      <c r="D158" s="1" t="inlineStr">
        <is>
          <t>300x260x6mm</t>
        </is>
      </c>
      <c r="E158" s="1" t="n">
        <v>4.95</v>
      </c>
      <c r="F158" s="1" t="n">
        <v>-1</v>
      </c>
      <c r="G158" s="1" t="inlineStr">
        <is>
          <t>Sheet</t>
        </is>
      </c>
      <c r="H158" s="1" t="inlineStr">
        <is>
          <t>Porcelain</t>
        </is>
      </c>
      <c r="I158" s="1" t="inlineStr">
        <is>
          <t>Gloss</t>
        </is>
      </c>
      <c r="J158" t="n">
        <v>283</v>
      </c>
      <c r="K158" t="n">
        <v>282</v>
      </c>
      <c r="L158" t="n">
        <v>282</v>
      </c>
    </row>
    <row r="159">
      <c r="A159" s="1">
        <f>Hyperlink("https://www.wallsandfloors.co.uk/chalkstone-honeycomb-bone-tiles","Product")</f>
        <v/>
      </c>
      <c r="B159" s="1" t="inlineStr">
        <is>
          <t>44096</t>
        </is>
      </c>
      <c r="C159" s="1" t="inlineStr">
        <is>
          <t>Chalkstone Honeycomb Bone Tiles</t>
        </is>
      </c>
      <c r="D159" s="1" t="inlineStr">
        <is>
          <t>510x265x10mm</t>
        </is>
      </c>
      <c r="E159" s="1" t="n">
        <v>28.95</v>
      </c>
      <c r="F159" s="1" t="n">
        <v>-1</v>
      </c>
      <c r="G159" s="1" t="inlineStr">
        <is>
          <t>SQM</t>
        </is>
      </c>
      <c r="H159" s="1" t="inlineStr">
        <is>
          <t>Porcelain</t>
        </is>
      </c>
      <c r="I159" s="1" t="inlineStr">
        <is>
          <t>Matt</t>
        </is>
      </c>
      <c r="J159" t="n">
        <v>103</v>
      </c>
      <c r="K159" t="n">
        <v>103</v>
      </c>
      <c r="L159" t="n">
        <v>102</v>
      </c>
    </row>
    <row r="160">
      <c r="A160" s="1">
        <f>Hyperlink("https://www.wallsandfloors.co.uk/ritz-tiles-dew-gloss-20x10-tiles","Product")</f>
        <v/>
      </c>
      <c r="B160" s="1" t="inlineStr">
        <is>
          <t>13020</t>
        </is>
      </c>
      <c r="C160" s="1" t="inlineStr">
        <is>
          <t>Ritz Dew Gloss Tiles</t>
        </is>
      </c>
      <c r="D160" s="1" t="inlineStr">
        <is>
          <t>200x100x6.50mm</t>
        </is>
      </c>
      <c r="E160" s="1" t="n">
        <v>38.95</v>
      </c>
      <c r="F160" s="1" t="n">
        <v>-1</v>
      </c>
      <c r="G160" s="1" t="inlineStr">
        <is>
          <t>SQM</t>
        </is>
      </c>
      <c r="H160" s="1" t="inlineStr">
        <is>
          <t>Ceramic</t>
        </is>
      </c>
      <c r="I160" s="1" t="inlineStr">
        <is>
          <t>Gloss</t>
        </is>
      </c>
      <c r="J160" t="n">
        <v>65</v>
      </c>
      <c r="K160" t="n">
        <v>65</v>
      </c>
      <c r="L160" t="n">
        <v>64</v>
      </c>
    </row>
    <row r="161">
      <c r="A161" s="1">
        <f>Hyperlink("https://www.wallsandfloors.co.uk/honey-oak-1225x200-tiles","Product")</f>
        <v/>
      </c>
      <c r="B161" s="1" t="inlineStr">
        <is>
          <t>36537</t>
        </is>
      </c>
      <c r="C161" s="1" t="inlineStr">
        <is>
          <t>Muniellos Honey Oak Wood Effect Tiles</t>
        </is>
      </c>
      <c r="D161" s="1" t="inlineStr">
        <is>
          <t>1215x195x10.5mm</t>
        </is>
      </c>
      <c r="E161" s="1" t="n">
        <v>29.95</v>
      </c>
      <c r="F161" s="1" t="n">
        <v>-1</v>
      </c>
      <c r="G161" s="1" t="inlineStr">
        <is>
          <t>SQM</t>
        </is>
      </c>
      <c r="H161" s="1" t="inlineStr">
        <is>
          <t>Porcelain</t>
        </is>
      </c>
      <c r="I161" s="1" t="inlineStr">
        <is>
          <t>Matt</t>
        </is>
      </c>
      <c r="J161" t="n">
        <v>656</v>
      </c>
      <c r="K161" t="n">
        <v>656</v>
      </c>
      <c r="L161" t="n">
        <v>655</v>
      </c>
    </row>
    <row r="162">
      <c r="A162" s="1">
        <f>Hyperlink("https://www.wallsandfloors.co.uk/pro-50-levelling-compound-20kg","Product")</f>
        <v/>
      </c>
      <c r="B162" s="1" t="inlineStr">
        <is>
          <t>33497</t>
        </is>
      </c>
      <c r="C162" s="1" t="inlineStr">
        <is>
          <t>Norcros Pro 50 Levelling Compound 20kg</t>
        </is>
      </c>
      <c r="D162" s="1" t="inlineStr">
        <is>
          <t>20kg</t>
        </is>
      </c>
      <c r="E162" s="1" t="n">
        <v>17.95</v>
      </c>
      <c r="F162" s="1" t="n">
        <v>-1</v>
      </c>
      <c r="G162" s="1" t="inlineStr">
        <is>
          <t>Unit</t>
        </is>
      </c>
      <c r="H162" s="1" t="inlineStr">
        <is>
          <t>Accessories</t>
        </is>
      </c>
      <c r="I162" s="1" t="inlineStr">
        <is>
          <t>-</t>
        </is>
      </c>
      <c r="J162" t="n">
        <v>88</v>
      </c>
      <c r="K162" t="n">
        <v>88</v>
      </c>
      <c r="L162" t="n">
        <v>87</v>
      </c>
    </row>
    <row r="163">
      <c r="A163" s="1">
        <f>Hyperlink("https://www.wallsandfloors.co.uk/rosebery-statement-bishops-avenue-tiles","Product")</f>
        <v/>
      </c>
      <c r="B163" s="1" t="inlineStr">
        <is>
          <t>36621</t>
        </is>
      </c>
      <c r="C163" s="1" t="inlineStr">
        <is>
          <t>Bishops Avenue Tiles</t>
        </is>
      </c>
      <c r="D163" s="1" t="inlineStr">
        <is>
          <t>200x200x6mm</t>
        </is>
      </c>
      <c r="E163" s="1" t="n">
        <v>29.95</v>
      </c>
      <c r="F163" s="1" t="n">
        <v>-1</v>
      </c>
      <c r="G163" s="1" t="inlineStr">
        <is>
          <t>SQM</t>
        </is>
      </c>
      <c r="H163" s="1" t="inlineStr">
        <is>
          <t>Porcelain</t>
        </is>
      </c>
      <c r="I163" s="1" t="inlineStr">
        <is>
          <t>Matt</t>
        </is>
      </c>
      <c r="J163" t="inlineStr"/>
      <c r="K163" t="n">
        <v>4516</v>
      </c>
      <c r="L163" t="n">
        <v>4515</v>
      </c>
    </row>
    <row r="164">
      <c r="A164" s="1">
        <f>Hyperlink("https://www.wallsandfloors.co.uk/lounge-tiles-matt-black-60x60-tiles","Product")</f>
        <v/>
      </c>
      <c r="B164" s="1" t="inlineStr">
        <is>
          <t>11192</t>
        </is>
      </c>
      <c r="C164" s="1" t="inlineStr">
        <is>
          <t>Lounge Matt Black Tiles</t>
        </is>
      </c>
      <c r="D164" s="1" t="inlineStr">
        <is>
          <t>600x600x9mm</t>
        </is>
      </c>
      <c r="E164" s="1" t="n">
        <v>28.95</v>
      </c>
      <c r="F164" s="1" t="n">
        <v>-1</v>
      </c>
      <c r="G164" s="1" t="inlineStr">
        <is>
          <t>SQM</t>
        </is>
      </c>
      <c r="H164" s="1" t="inlineStr">
        <is>
          <t>Porcelain</t>
        </is>
      </c>
      <c r="I164" s="1" t="inlineStr">
        <is>
          <t>Matt</t>
        </is>
      </c>
      <c r="J164" t="n">
        <v>260</v>
      </c>
      <c r="K164" t="n">
        <v>260</v>
      </c>
      <c r="L164" t="n">
        <v>259</v>
      </c>
    </row>
    <row r="165">
      <c r="A165" s="1">
        <f>Hyperlink("https://www.wallsandfloors.co.uk/octagon-olive-tiles","Product")</f>
        <v/>
      </c>
      <c r="B165" s="1" t="inlineStr">
        <is>
          <t>43094</t>
        </is>
      </c>
      <c r="C165" s="1" t="inlineStr">
        <is>
          <t>Octagon Olive Tiles</t>
        </is>
      </c>
      <c r="D165" s="1" t="inlineStr">
        <is>
          <t>450x450x10.5mm</t>
        </is>
      </c>
      <c r="E165" s="1" t="n">
        <v>26.95</v>
      </c>
      <c r="F165" s="1" t="n">
        <v>-1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Matt</t>
        </is>
      </c>
      <c r="J165" t="n">
        <v>525</v>
      </c>
      <c r="K165" t="n">
        <v>525</v>
      </c>
      <c r="L165" t="n">
        <v>524</v>
      </c>
    </row>
    <row r="166">
      <c r="A166" s="1">
        <f>Hyperlink("https://www.wallsandfloors.co.uk/rhian-30x10-tiles-naranja-gloss-tiles","Product")</f>
        <v/>
      </c>
      <c r="B166" s="1" t="inlineStr">
        <is>
          <t>8370</t>
        </is>
      </c>
      <c r="C166" s="1" t="inlineStr">
        <is>
          <t>Rhian Naranja Orange Gloss Tiles</t>
        </is>
      </c>
      <c r="D166" s="1" t="inlineStr">
        <is>
          <t>300x100x7mm</t>
        </is>
      </c>
      <c r="E166" s="1" t="n">
        <v>30.95</v>
      </c>
      <c r="F166" s="1" t="n">
        <v>-1</v>
      </c>
      <c r="G166" s="1" t="inlineStr">
        <is>
          <t>SQM</t>
        </is>
      </c>
      <c r="H166" s="1" t="inlineStr">
        <is>
          <t>Ceramic</t>
        </is>
      </c>
      <c r="I166" s="1" t="inlineStr">
        <is>
          <t>Gloss</t>
        </is>
      </c>
      <c r="J166" t="n">
        <v>102</v>
      </c>
      <c r="K166" t="inlineStr"/>
      <c r="L166" t="n">
        <v>101</v>
      </c>
    </row>
    <row r="167">
      <c r="A167" s="1">
        <f>Hyperlink("https://www.wallsandfloors.co.uk/country-farmhouse-black-slate-tiles-black-slate-60x40-tiles","Product")</f>
        <v/>
      </c>
      <c r="B167" s="1" t="inlineStr">
        <is>
          <t>12103</t>
        </is>
      </c>
      <c r="C167" s="1" t="inlineStr">
        <is>
          <t>Country Farmhouse Black Slate Tiles</t>
        </is>
      </c>
      <c r="D167" s="1" t="inlineStr">
        <is>
          <t>600x400x7-12mm</t>
        </is>
      </c>
      <c r="E167" s="1" t="n">
        <v>24.95</v>
      </c>
      <c r="F167" s="1" t="n">
        <v>-1</v>
      </c>
      <c r="G167" s="1" t="inlineStr">
        <is>
          <t>SQM</t>
        </is>
      </c>
      <c r="H167" s="1" t="inlineStr">
        <is>
          <t>Slate</t>
        </is>
      </c>
      <c r="I167" s="1" t="inlineStr">
        <is>
          <t>Matt</t>
        </is>
      </c>
      <c r="J167" t="inlineStr"/>
      <c r="K167" t="n">
        <v>409</v>
      </c>
      <c r="L167" t="n">
        <v>408</v>
      </c>
    </row>
    <row r="168">
      <c r="A168" s="1">
        <f>Hyperlink("https://www.wallsandfloors.co.uk/parlor-wood-effect-tiles-linen-ash-tiles","Product")</f>
        <v/>
      </c>
      <c r="B168" s="1" t="inlineStr">
        <is>
          <t>14697</t>
        </is>
      </c>
      <c r="C168" s="1" t="inlineStr">
        <is>
          <t>Parlor Linen Ash Wood Effect Tiles</t>
        </is>
      </c>
      <c r="D168" s="1" t="inlineStr">
        <is>
          <t>1200x233x8.5mm</t>
        </is>
      </c>
      <c r="E168" s="1" t="n">
        <v>25.95</v>
      </c>
      <c r="F168" s="1" t="n">
        <v>-1</v>
      </c>
      <c r="G168" s="1" t="inlineStr">
        <is>
          <t>SQM</t>
        </is>
      </c>
      <c r="H168" s="1" t="inlineStr">
        <is>
          <t>Porcelain</t>
        </is>
      </c>
      <c r="I168" s="1" t="inlineStr">
        <is>
          <t>Matt</t>
        </is>
      </c>
      <c r="J168" t="n">
        <v>439</v>
      </c>
      <c r="K168" t="n">
        <v>438</v>
      </c>
      <c r="L168" t="n">
        <v>438</v>
      </c>
    </row>
    <row r="169">
      <c r="A169" s="1">
        <f>Hyperlink("https://www.wallsandfloors.co.uk/pinoso-marble-effect-seashell-60x30-tiles","Product")</f>
        <v/>
      </c>
      <c r="B169" s="1" t="inlineStr">
        <is>
          <t>44466</t>
        </is>
      </c>
      <c r="C169" s="1" t="inlineStr">
        <is>
          <t>Pinoso Marble Effect Seashell Tiles</t>
        </is>
      </c>
      <c r="D169" s="1" t="inlineStr">
        <is>
          <t>600x300x9mm</t>
        </is>
      </c>
      <c r="E169" s="1" t="n">
        <v>12.95</v>
      </c>
      <c r="F169" s="1" t="n">
        <v>-1</v>
      </c>
      <c r="G169" s="1" t="inlineStr">
        <is>
          <t>SQM</t>
        </is>
      </c>
      <c r="H169" s="1" t="inlineStr">
        <is>
          <t>Porcelain</t>
        </is>
      </c>
      <c r="I169" s="1" t="inlineStr">
        <is>
          <t>Gloss</t>
        </is>
      </c>
      <c r="J169" t="n">
        <v>1090</v>
      </c>
      <c r="K169" t="n">
        <v>1090</v>
      </c>
      <c r="L169" t="n">
        <v>1089</v>
      </c>
    </row>
    <row r="170">
      <c r="A170" s="1">
        <f>Hyperlink("https://www.wallsandfloors.co.uk/parlor-wood-effect-tiles-sunkissed-birch-tiles-14696","Product")</f>
        <v/>
      </c>
      <c r="B170" s="1" t="inlineStr">
        <is>
          <t>14696</t>
        </is>
      </c>
      <c r="C170" s="1" t="inlineStr">
        <is>
          <t>Parlor Sunkissed Birch Wood Effect Tiles</t>
        </is>
      </c>
      <c r="D170" s="1" t="inlineStr">
        <is>
          <t>1200x233x8.5mm</t>
        </is>
      </c>
      <c r="E170" s="1" t="n">
        <v>17.95</v>
      </c>
      <c r="F170" s="1" t="n">
        <v>-1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Matt</t>
        </is>
      </c>
      <c r="J170" t="n">
        <v>1328</v>
      </c>
      <c r="K170" t="n">
        <v>1328</v>
      </c>
      <c r="L170" t="n">
        <v>1327</v>
      </c>
    </row>
    <row r="171">
      <c r="A171" s="1">
        <f>Hyperlink("https://www.wallsandfloors.co.uk/grain-tiles-driftwood-tiles","Product")</f>
        <v/>
      </c>
      <c r="B171" s="1" t="inlineStr">
        <is>
          <t>7394</t>
        </is>
      </c>
      <c r="C171" s="1" t="inlineStr">
        <is>
          <t>Grain Driftwood Linear Wall Tiles</t>
        </is>
      </c>
      <c r="D171" s="1" t="inlineStr">
        <is>
          <t>300x200x9mm</t>
        </is>
      </c>
      <c r="E171" s="1" t="n">
        <v>23.95</v>
      </c>
      <c r="F171" s="1" t="n">
        <v>-1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Matt</t>
        </is>
      </c>
      <c r="J171" t="n">
        <v>58</v>
      </c>
      <c r="K171" t="n">
        <v>58</v>
      </c>
      <c r="L171" t="n">
        <v>57</v>
      </c>
    </row>
    <row r="172">
      <c r="A172" s="1">
        <f>Hyperlink("https://www.wallsandfloors.co.uk/tangier-floor-tiles-blue-matt-antiqua-floor-tiles","Product")</f>
        <v/>
      </c>
      <c r="B172" s="1" t="inlineStr">
        <is>
          <t>13610</t>
        </is>
      </c>
      <c r="C172" s="1" t="inlineStr">
        <is>
          <t>Tangier Blue Matt Antiqua Tiles</t>
        </is>
      </c>
      <c r="D172" s="1" t="inlineStr">
        <is>
          <t>200x200x9mm</t>
        </is>
      </c>
      <c r="E172" s="1" t="n">
        <v>30.95</v>
      </c>
      <c r="F172" s="1" t="n">
        <v>-1</v>
      </c>
      <c r="G172" s="1" t="inlineStr">
        <is>
          <t>SQM</t>
        </is>
      </c>
      <c r="H172" s="1" t="inlineStr">
        <is>
          <t>Ceramic</t>
        </is>
      </c>
      <c r="I172" s="1" t="inlineStr">
        <is>
          <t>Matt</t>
        </is>
      </c>
      <c r="J172" t="n">
        <v>138</v>
      </c>
      <c r="K172" t="inlineStr"/>
      <c r="L172" t="n">
        <v>137</v>
      </c>
    </row>
    <row r="173">
      <c r="A173" s="1">
        <f>Hyperlink("https://www.wallsandfloors.co.uk/casa-brick-slip-effect-tiles-traditional-red-brick-slip-effect-tiles","Product")</f>
        <v/>
      </c>
      <c r="B173" s="1" t="inlineStr">
        <is>
          <t>14057</t>
        </is>
      </c>
      <c r="C173" s="1" t="inlineStr">
        <is>
          <t>Traditional Red Brick Slip Effect Tiles</t>
        </is>
      </c>
      <c r="D173" s="1" t="inlineStr">
        <is>
          <t>560x310x10mm</t>
        </is>
      </c>
      <c r="E173" s="1" t="n">
        <v>33.95</v>
      </c>
      <c r="F173" s="1" t="n">
        <v>-1</v>
      </c>
      <c r="G173" s="1" t="inlineStr">
        <is>
          <t>SQM</t>
        </is>
      </c>
      <c r="H173" s="1" t="inlineStr">
        <is>
          <t>Porcelain</t>
        </is>
      </c>
      <c r="I173" s="1" t="inlineStr">
        <is>
          <t>Matt</t>
        </is>
      </c>
      <c r="J173" t="n">
        <v>93</v>
      </c>
      <c r="K173" t="inlineStr"/>
      <c r="L173" t="n">
        <v>92</v>
      </c>
    </row>
    <row r="174">
      <c r="A174" s="1">
        <f>Hyperlink("https://www.wallsandfloors.co.uk/courtyard-slate-moonlight-orchid-slate-effect-tiles","Product")</f>
        <v/>
      </c>
      <c r="B174" s="1" t="inlineStr">
        <is>
          <t>24749</t>
        </is>
      </c>
      <c r="C174" s="1" t="inlineStr">
        <is>
          <t>Courtyard Moonlight Orchid Slate Effect Tiles</t>
        </is>
      </c>
      <c r="D174" s="1" t="inlineStr">
        <is>
          <t>598x297x7.5mm</t>
        </is>
      </c>
      <c r="E174" s="1" t="n">
        <v>14.95</v>
      </c>
      <c r="F174" s="1" t="n">
        <v>-1</v>
      </c>
      <c r="G174" s="1" t="inlineStr">
        <is>
          <t>SQM</t>
        </is>
      </c>
      <c r="H174" s="1" t="inlineStr">
        <is>
          <t>Porcelain</t>
        </is>
      </c>
      <c r="I174" s="1" t="inlineStr">
        <is>
          <t>Matt</t>
        </is>
      </c>
      <c r="J174" t="n">
        <v>580</v>
      </c>
      <c r="K174" t="n">
        <v>579</v>
      </c>
      <c r="L174" t="n">
        <v>579</v>
      </c>
    </row>
    <row r="175">
      <c r="A175" s="1">
        <f>Hyperlink("https://www.wallsandfloors.co.uk/stone-age-tiles-creamy-stone-45x45-floor-tiles","Product")</f>
        <v/>
      </c>
      <c r="B175" s="1" t="inlineStr">
        <is>
          <t>14307</t>
        </is>
      </c>
      <c r="C175" s="1" t="inlineStr">
        <is>
          <t>Stone Age Creamy Floor Tiles</t>
        </is>
      </c>
      <c r="D175" s="1" t="inlineStr">
        <is>
          <t>450x450x7mm</t>
        </is>
      </c>
      <c r="E175" s="1" t="n">
        <v>14.95</v>
      </c>
      <c r="F175" s="1" t="n">
        <v>-1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Matt</t>
        </is>
      </c>
      <c r="J175" t="n">
        <v>82</v>
      </c>
      <c r="K175" t="n">
        <v>81</v>
      </c>
      <c r="L175" t="n">
        <v>81</v>
      </c>
    </row>
    <row r="176">
      <c r="A176" s="1">
        <f>Hyperlink("https://www.wallsandfloors.co.uk/krokda-tiles-antracita-tiles","Product")</f>
        <v/>
      </c>
      <c r="B176" s="1" t="inlineStr">
        <is>
          <t>12380</t>
        </is>
      </c>
      <c r="C176" s="1" t="inlineStr">
        <is>
          <t>Krokda Antracita Slate Effect Tiles</t>
        </is>
      </c>
      <c r="D176" s="1" t="inlineStr">
        <is>
          <t>560x310x9mm</t>
        </is>
      </c>
      <c r="E176" s="1" t="n">
        <v>29.95</v>
      </c>
      <c r="F176" s="1" t="n">
        <v>-1</v>
      </c>
      <c r="G176" s="1" t="inlineStr">
        <is>
          <t>SQM</t>
        </is>
      </c>
      <c r="H176" s="1" t="inlineStr">
        <is>
          <t>Porcelain</t>
        </is>
      </c>
      <c r="I176" s="1" t="inlineStr">
        <is>
          <t>Matt</t>
        </is>
      </c>
      <c r="J176" t="n">
        <v>65</v>
      </c>
      <c r="K176" t="inlineStr"/>
      <c r="L176" t="n">
        <v>64</v>
      </c>
    </row>
    <row r="177">
      <c r="A177" s="1">
        <f>Hyperlink("https://www.wallsandfloors.co.uk/largo-dusk-geo-tiles","Product")</f>
        <v/>
      </c>
      <c r="B177" s="1" t="inlineStr">
        <is>
          <t>36972</t>
        </is>
      </c>
      <c r="C177" s="1" t="inlineStr">
        <is>
          <t>Largo Dusk Grey Geo Pattern Tiles</t>
        </is>
      </c>
      <c r="D177" s="1" t="inlineStr">
        <is>
          <t>900x330x10mm</t>
        </is>
      </c>
      <c r="E177" s="1" t="n">
        <v>28.95</v>
      </c>
      <c r="F177" s="1" t="n">
        <v>-1</v>
      </c>
      <c r="G177" s="1" t="inlineStr">
        <is>
          <t>SQM</t>
        </is>
      </c>
      <c r="H177" s="1" t="inlineStr">
        <is>
          <t>Porcelain</t>
        </is>
      </c>
      <c r="I177" s="1" t="inlineStr">
        <is>
          <t>Matt</t>
        </is>
      </c>
      <c r="J177" t="n">
        <v>70</v>
      </c>
      <c r="K177" t="n">
        <v>69</v>
      </c>
      <c r="L177" t="n">
        <v>69</v>
      </c>
    </row>
    <row r="178">
      <c r="A178" s="1">
        <f>Hyperlink("https://www.wallsandfloors.co.uk/churchill-snow-midnight-corner-tiles","Product")</f>
        <v/>
      </c>
      <c r="B178" s="1" t="inlineStr">
        <is>
          <t>41057</t>
        </is>
      </c>
      <c r="C178" s="1" t="inlineStr">
        <is>
          <t>Churchill Snow &amp; Midnight Corner Tiles</t>
        </is>
      </c>
      <c r="D178" s="1" t="inlineStr">
        <is>
          <t>280x168x6mm</t>
        </is>
      </c>
      <c r="E178" s="1" t="n">
        <v>11.95</v>
      </c>
      <c r="F178" s="1" t="n">
        <v>-1</v>
      </c>
      <c r="G178" s="1" t="inlineStr">
        <is>
          <t>SQM</t>
        </is>
      </c>
      <c r="H178" s="1" t="inlineStr">
        <is>
          <t>Porcelain</t>
        </is>
      </c>
      <c r="I178" s="1" t="inlineStr">
        <is>
          <t>Matt</t>
        </is>
      </c>
      <c r="J178" t="n">
        <v>179</v>
      </c>
      <c r="K178" t="inlineStr"/>
      <c r="L178" t="n">
        <v>178</v>
      </c>
    </row>
    <row r="179">
      <c r="A179" s="1">
        <f>Hyperlink("https://www.wallsandfloors.co.uk/harbour-rust-tiles","Product")</f>
        <v/>
      </c>
      <c r="B179" s="1" t="inlineStr">
        <is>
          <t>44207</t>
        </is>
      </c>
      <c r="C179" s="1" t="inlineStr">
        <is>
          <t>Harbour Russet Tiles</t>
        </is>
      </c>
      <c r="D179" s="1" t="inlineStr">
        <is>
          <t>330x330x9mm</t>
        </is>
      </c>
      <c r="E179" s="1" t="n">
        <v>25.95</v>
      </c>
      <c r="F179" s="1" t="n">
        <v>-1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Matt</t>
        </is>
      </c>
      <c r="J179" t="n">
        <v>119</v>
      </c>
      <c r="K179" t="inlineStr"/>
      <c r="L179" t="n">
        <v>118</v>
      </c>
    </row>
    <row r="180">
      <c r="A180" s="1">
        <f>Hyperlink("https://www.wallsandfloors.co.uk/rhian-30x10-tiles-coco-gloss-tiles","Product")</f>
        <v/>
      </c>
      <c r="B180" s="1" t="inlineStr">
        <is>
          <t>8367</t>
        </is>
      </c>
      <c r="C180" s="1" t="inlineStr">
        <is>
          <t>Rhian Coco Taupe Gloss Tiles</t>
        </is>
      </c>
      <c r="D180" s="1" t="inlineStr">
        <is>
          <t>300x100x7mm</t>
        </is>
      </c>
      <c r="E180" s="1" t="n">
        <v>25.95</v>
      </c>
      <c r="F180" s="1" t="n">
        <v>-1</v>
      </c>
      <c r="G180" s="1" t="inlineStr">
        <is>
          <t>SQM</t>
        </is>
      </c>
      <c r="H180" s="1" t="inlineStr">
        <is>
          <t>Ceramic</t>
        </is>
      </c>
      <c r="I180" s="1" t="inlineStr">
        <is>
          <t>Gloss</t>
        </is>
      </c>
      <c r="J180" t="n">
        <v>75</v>
      </c>
      <c r="K180" t="n">
        <v>75</v>
      </c>
      <c r="L180" t="n">
        <v>74</v>
      </c>
    </row>
    <row r="181">
      <c r="A181" s="1">
        <f>Hyperlink("https://www.wallsandfloors.co.uk/rustic-metro-300x100-cedar-gloss-tiles","Product")</f>
        <v/>
      </c>
      <c r="B181" s="1" t="inlineStr">
        <is>
          <t>15086</t>
        </is>
      </c>
      <c r="C181" s="1" t="inlineStr">
        <is>
          <t>Cedar Blue Rustic Metro Tiles</t>
        </is>
      </c>
      <c r="D181" s="1" t="inlineStr">
        <is>
          <t>300x100x7mm</t>
        </is>
      </c>
      <c r="E181" s="1" t="n">
        <v>20.95</v>
      </c>
      <c r="F181" s="1" t="n">
        <v>-1</v>
      </c>
      <c r="G181" s="1" t="inlineStr">
        <is>
          <t>SQM</t>
        </is>
      </c>
      <c r="H181" s="1" t="inlineStr">
        <is>
          <t>Ceramic</t>
        </is>
      </c>
      <c r="I181" s="1" t="inlineStr">
        <is>
          <t>Gloss</t>
        </is>
      </c>
      <c r="J181" t="n">
        <v>130</v>
      </c>
      <c r="K181" t="inlineStr"/>
      <c r="L181" t="n">
        <v>129</v>
      </c>
    </row>
    <row r="182">
      <c r="A182" s="1">
        <f>Hyperlink("https://www.wallsandfloors.co.uk/honey-oak-910x153-anti-slip-tiles","Product")</f>
        <v/>
      </c>
      <c r="B182" s="1" t="inlineStr">
        <is>
          <t>36539</t>
        </is>
      </c>
      <c r="C182" s="1" t="inlineStr">
        <is>
          <t>Muniellos Honey Oak Anti-Slip Wood Effect Tiles</t>
        </is>
      </c>
      <c r="D182" s="1" t="inlineStr">
        <is>
          <t>900x150x10.5mm</t>
        </is>
      </c>
      <c r="E182" s="1" t="n">
        <v>33.95</v>
      </c>
      <c r="F182" s="1" t="n">
        <v>-1</v>
      </c>
      <c r="G182" s="1" t="inlineStr">
        <is>
          <t>SQM</t>
        </is>
      </c>
      <c r="H182" s="1" t="inlineStr">
        <is>
          <t>Porcelain</t>
        </is>
      </c>
      <c r="I182" s="1" t="inlineStr">
        <is>
          <t>Matt</t>
        </is>
      </c>
      <c r="J182" t="n">
        <v>218</v>
      </c>
      <c r="K182" t="n">
        <v>218</v>
      </c>
      <c r="L182" t="n">
        <v>217</v>
      </c>
    </row>
    <row r="183">
      <c r="A183" s="1">
        <f>Hyperlink("https://www.wallsandfloors.co.uk/boutique-brick-slip-chalk-white-brick-tiles","Product")</f>
        <v/>
      </c>
      <c r="B183" s="1" t="inlineStr">
        <is>
          <t>34252</t>
        </is>
      </c>
      <c r="C183" s="1" t="inlineStr">
        <is>
          <t>Boutique Chalk White Brick Slip Tiles</t>
        </is>
      </c>
      <c r="D183" s="1" t="inlineStr">
        <is>
          <t>250x50x7mm</t>
        </is>
      </c>
      <c r="E183" s="1" t="n">
        <v>35.95</v>
      </c>
      <c r="F183" s="1" t="n">
        <v>-1</v>
      </c>
      <c r="G183" s="1" t="inlineStr">
        <is>
          <t>SQM</t>
        </is>
      </c>
      <c r="H183" s="1" t="inlineStr">
        <is>
          <t>Ceramic</t>
        </is>
      </c>
      <c r="I183" s="1" t="inlineStr">
        <is>
          <t>Matt</t>
        </is>
      </c>
      <c r="J183" t="inlineStr"/>
      <c r="K183" t="n">
        <v>97</v>
      </c>
      <c r="L183" t="n">
        <v>96</v>
      </c>
    </row>
    <row r="184">
      <c r="A184" s="1">
        <f>Hyperlink("https://www.wallsandfloors.co.uk/mapei-adhesive-keraquick-grey-tile-adhesive","Product")</f>
        <v/>
      </c>
      <c r="B184" s="1" t="inlineStr">
        <is>
          <t>10650</t>
        </is>
      </c>
      <c r="C184" s="1" t="inlineStr">
        <is>
          <t>Keraquick Grey Tile Adhesive</t>
        </is>
      </c>
      <c r="D184" s="1" t="inlineStr">
        <is>
          <t>20 Kg</t>
        </is>
      </c>
      <c r="E184" s="1" t="n">
        <v>19.95</v>
      </c>
      <c r="F184" s="1" t="n">
        <v>-1</v>
      </c>
      <c r="G184" s="1" t="inlineStr">
        <is>
          <t>Unit</t>
        </is>
      </c>
      <c r="H184" s="1" t="inlineStr">
        <is>
          <t>Adhesive</t>
        </is>
      </c>
      <c r="I184" s="1" t="inlineStr">
        <is>
          <t>-</t>
        </is>
      </c>
      <c r="J184" t="inlineStr"/>
      <c r="K184" t="n">
        <v>81</v>
      </c>
      <c r="L184" t="n">
        <v>80</v>
      </c>
    </row>
    <row r="185">
      <c r="A185" s="1">
        <f>Hyperlink("https://www.wallsandfloors.co.uk/mapei-ultracolour-plus-grout-ultracolour-plus-100-white-tile-grout-12926","Product")</f>
        <v/>
      </c>
      <c r="B185" s="1" t="inlineStr">
        <is>
          <t>12926</t>
        </is>
      </c>
      <c r="C185" s="1" t="inlineStr">
        <is>
          <t>Mapei Ultracolour Plus 100 White Tile Grout 2 Kg Per Unit</t>
        </is>
      </c>
      <c r="D185" s="1" t="inlineStr">
        <is>
          <t>2 Kg</t>
        </is>
      </c>
      <c r="E185" s="1" t="n">
        <v>8.949999999999999</v>
      </c>
      <c r="F185" s="1" t="n">
        <v>-1</v>
      </c>
      <c r="G185" s="1" t="inlineStr">
        <is>
          <t>Unit</t>
        </is>
      </c>
      <c r="H185" s="1" t="inlineStr">
        <is>
          <t>Floor Grout</t>
        </is>
      </c>
      <c r="I185" s="1" t="inlineStr">
        <is>
          <t>-</t>
        </is>
      </c>
      <c r="J185" t="n">
        <v>61</v>
      </c>
      <c r="K185" t="n">
        <v>60</v>
      </c>
      <c r="L185" t="n">
        <v>60</v>
      </c>
    </row>
    <row r="186">
      <c r="A186" s="1">
        <f>Hyperlink("https://www.wallsandfloors.co.uk/anti-mould-flexible-tile-grout-black-charcoal-anti-mould-tile-grout-3kg","Product")</f>
        <v/>
      </c>
      <c r="B186" s="1" t="inlineStr">
        <is>
          <t>13814</t>
        </is>
      </c>
      <c r="C186" s="1" t="inlineStr">
        <is>
          <t>Charcoal Anti-Mould Tile Grout 3kg</t>
        </is>
      </c>
      <c r="D186" s="1" t="inlineStr">
        <is>
          <t>3 kg</t>
        </is>
      </c>
      <c r="E186" s="1" t="n">
        <v>10.95</v>
      </c>
      <c r="F186" s="1" t="n">
        <v>-1</v>
      </c>
      <c r="G186" s="1" t="inlineStr">
        <is>
          <t>Unit</t>
        </is>
      </c>
      <c r="H186" s="1" t="inlineStr">
        <is>
          <t>Grout</t>
        </is>
      </c>
      <c r="I186" s="1" t="inlineStr">
        <is>
          <t>-</t>
        </is>
      </c>
      <c r="J186" t="inlineStr"/>
      <c r="K186" t="n">
        <v>76</v>
      </c>
      <c r="L186" t="n">
        <v>75</v>
      </c>
    </row>
    <row r="187">
      <c r="A187" s="1">
        <f>Hyperlink("https://www.wallsandfloors.co.uk/vena-biana-natural-rustic-gloss-15x7-5-tiles","Product")</f>
        <v/>
      </c>
      <c r="B187" s="1" t="inlineStr">
        <is>
          <t>37885</t>
        </is>
      </c>
      <c r="C187" s="1" t="inlineStr">
        <is>
          <t>Vena Biana Natural/Rustic Gloss 15X7.5 Tiles</t>
        </is>
      </c>
      <c r="D187" s="1" t="inlineStr">
        <is>
          <t>150x75x7.5mm</t>
        </is>
      </c>
      <c r="E187" s="1" t="n">
        <v>26.15</v>
      </c>
      <c r="F187" s="1" t="n">
        <v>-1</v>
      </c>
      <c r="G187" s="1" t="inlineStr">
        <is>
          <t>SQM</t>
        </is>
      </c>
      <c r="H187" s="1" t="inlineStr">
        <is>
          <t>Ceramic</t>
        </is>
      </c>
      <c r="I187" s="1" t="inlineStr">
        <is>
          <t>Gloss</t>
        </is>
      </c>
      <c r="J187" t="n">
        <v>147</v>
      </c>
      <c r="K187" t="n">
        <v>146</v>
      </c>
      <c r="L187" t="n">
        <v>146</v>
      </c>
    </row>
    <row r="188">
      <c r="A188" s="1">
        <f>Hyperlink("https://www.wallsandfloors.co.uk/white-tiles-white-bumpy-gloss-tiles","Product")</f>
        <v/>
      </c>
      <c r="B188" s="1" t="inlineStr">
        <is>
          <t>8201</t>
        </is>
      </c>
      <c r="C188" s="1" t="inlineStr">
        <is>
          <t>White Bumpy Gloss Tiles</t>
        </is>
      </c>
      <c r="D188" s="1" t="inlineStr">
        <is>
          <t>150x150x4mm</t>
        </is>
      </c>
      <c r="E188" s="1" t="n">
        <v>7.99</v>
      </c>
      <c r="F188" s="1" t="n">
        <v>-1</v>
      </c>
      <c r="G188" s="1" t="inlineStr">
        <is>
          <t>SQM</t>
        </is>
      </c>
      <c r="H188" s="1" t="inlineStr">
        <is>
          <t>Ceramic</t>
        </is>
      </c>
      <c r="I188" s="1" t="inlineStr">
        <is>
          <t>Gloss</t>
        </is>
      </c>
      <c r="J188" t="n">
        <v>2099</v>
      </c>
      <c r="K188" t="n">
        <v>2099</v>
      </c>
      <c r="L188" t="n">
        <v>2098</v>
      </c>
    </row>
    <row r="189">
      <c r="A189" s="1">
        <f>Hyperlink("https://www.wallsandfloors.co.uk/waterfall-tiles-antracita-tiles","Product")</f>
        <v/>
      </c>
      <c r="B189" s="1" t="inlineStr">
        <is>
          <t>13247</t>
        </is>
      </c>
      <c r="C189" s="1" t="inlineStr">
        <is>
          <t>Waterfall Textured Grey Split Face Tiles</t>
        </is>
      </c>
      <c r="D189" s="1" t="inlineStr">
        <is>
          <t>560x310x10mm</t>
        </is>
      </c>
      <c r="E189" s="1" t="n">
        <v>29.95</v>
      </c>
      <c r="F189" s="1" t="n">
        <v>-1</v>
      </c>
      <c r="G189" s="1" t="inlineStr">
        <is>
          <t>SQM</t>
        </is>
      </c>
      <c r="H189" s="1" t="inlineStr">
        <is>
          <t>Porcelain</t>
        </is>
      </c>
      <c r="I189" s="1" t="inlineStr">
        <is>
          <t>Matt</t>
        </is>
      </c>
      <c r="J189" t="n">
        <v>227</v>
      </c>
      <c r="K189" t="n">
        <v>227</v>
      </c>
      <c r="L189" t="n">
        <v>226</v>
      </c>
    </row>
    <row r="190">
      <c r="A190" s="1">
        <f>Hyperlink("https://www.wallsandfloors.co.uk/mumble-h-a-natural-oak-anti-slip-15x90","Product")</f>
        <v/>
      </c>
      <c r="B190" s="1" t="inlineStr">
        <is>
          <t>43387</t>
        </is>
      </c>
      <c r="C190" s="1" t="inlineStr">
        <is>
          <t>Muniellos Oak Anti-Slip Wood Effect Tiles</t>
        </is>
      </c>
      <c r="D190" s="1" t="inlineStr">
        <is>
          <t>900x150x10mm</t>
        </is>
      </c>
      <c r="E190" s="1" t="n">
        <v>33.95</v>
      </c>
      <c r="F190" s="1" t="n">
        <v>-1</v>
      </c>
      <c r="G190" s="1" t="inlineStr">
        <is>
          <t>SQM</t>
        </is>
      </c>
      <c r="H190" s="1" t="inlineStr">
        <is>
          <t>Porcelain</t>
        </is>
      </c>
      <c r="I190" s="1" t="inlineStr">
        <is>
          <t>Matt</t>
        </is>
      </c>
      <c r="J190" t="inlineStr"/>
      <c r="K190" t="n">
        <v>125</v>
      </c>
      <c r="L190" t="n">
        <v>124</v>
      </c>
    </row>
    <row r="191">
      <c r="A191" s="1">
        <f>Hyperlink("https://www.wallsandfloors.co.uk/mini-metro-150x75-tiles-victorian-blue-tiles","Product")</f>
        <v/>
      </c>
      <c r="B191" s="1" t="inlineStr">
        <is>
          <t>11341</t>
        </is>
      </c>
      <c r="C191" s="1" t="inlineStr">
        <is>
          <t>Victorian Gloss Blue Mini Metro Tiles</t>
        </is>
      </c>
      <c r="D191" s="1" t="inlineStr">
        <is>
          <t>150x75x7mm</t>
        </is>
      </c>
      <c r="E191" s="1" t="n">
        <v>35.95</v>
      </c>
      <c r="F191" s="1" t="n">
        <v>-1</v>
      </c>
      <c r="G191" s="1" t="inlineStr">
        <is>
          <t>SQM</t>
        </is>
      </c>
      <c r="H191" s="1" t="inlineStr">
        <is>
          <t>Ceramic</t>
        </is>
      </c>
      <c r="I191" s="1" t="inlineStr">
        <is>
          <t>Gloss</t>
        </is>
      </c>
      <c r="J191" t="n">
        <v>153</v>
      </c>
      <c r="K191" t="n">
        <v>153</v>
      </c>
      <c r="L191" t="n">
        <v>152</v>
      </c>
    </row>
    <row r="192">
      <c r="A192" s="1">
        <f>Hyperlink("https://www.wallsandfloors.co.uk/mini-metro-150x75-tiles-victorian-green-tiles","Product")</f>
        <v/>
      </c>
      <c r="B192" s="1" t="inlineStr">
        <is>
          <t>11342</t>
        </is>
      </c>
      <c r="C192" s="1" t="inlineStr">
        <is>
          <t>Victorian Gloss Green Mini Metro Tiles</t>
        </is>
      </c>
      <c r="D192" s="1" t="inlineStr">
        <is>
          <t>150x75x7mm</t>
        </is>
      </c>
      <c r="E192" s="1" t="n">
        <v>35.95</v>
      </c>
      <c r="F192" s="1" t="n">
        <v>-1</v>
      </c>
      <c r="G192" s="1" t="inlineStr">
        <is>
          <t>SQM</t>
        </is>
      </c>
      <c r="H192" s="1" t="inlineStr">
        <is>
          <t>Ceramic</t>
        </is>
      </c>
      <c r="I192" s="1" t="inlineStr">
        <is>
          <t>Gloss</t>
        </is>
      </c>
      <c r="J192" t="n">
        <v>853</v>
      </c>
      <c r="K192" t="n">
        <v>853</v>
      </c>
      <c r="L192" t="n">
        <v>852</v>
      </c>
    </row>
    <row r="193">
      <c r="A193" s="1">
        <f>Hyperlink("https://www.wallsandfloors.co.uk/trellis-marrakesh-tiles","Product")</f>
        <v/>
      </c>
      <c r="B193" s="1" t="inlineStr">
        <is>
          <t>44219</t>
        </is>
      </c>
      <c r="C193" s="1" t="inlineStr">
        <is>
          <t>Trellis Marrakesh Tiles</t>
        </is>
      </c>
      <c r="D193" s="1" t="inlineStr">
        <is>
          <t>450x450x9mm</t>
        </is>
      </c>
      <c r="E193" s="1" t="n">
        <v>16.95</v>
      </c>
      <c r="F193" s="1" t="n">
        <v>-1</v>
      </c>
      <c r="G193" s="1" t="inlineStr">
        <is>
          <t>SQM</t>
        </is>
      </c>
      <c r="H193" s="1" t="inlineStr">
        <is>
          <t>Ceramic</t>
        </is>
      </c>
      <c r="I193" s="1" t="inlineStr">
        <is>
          <t>Matt</t>
        </is>
      </c>
      <c r="J193" t="n">
        <v>1037</v>
      </c>
      <c r="K193" t="inlineStr"/>
      <c r="L193" t="n">
        <v>1036</v>
      </c>
    </row>
    <row r="194">
      <c r="A194" s="1">
        <f>Hyperlink("https://www.wallsandfloors.co.uk/antoinette-parquet-cherry-jewel-wood-tiles","Product")</f>
        <v/>
      </c>
      <c r="B194" s="1" t="inlineStr">
        <is>
          <t>38480</t>
        </is>
      </c>
      <c r="C194" s="1" t="inlineStr">
        <is>
          <t>Antoinette Parquet Cherry Jewel Wood Tiles</t>
        </is>
      </c>
      <c r="D194" s="1" t="inlineStr">
        <is>
          <t>800x800x10mm</t>
        </is>
      </c>
      <c r="E194" s="1" t="n">
        <v>43.95</v>
      </c>
      <c r="F194" s="1" t="n">
        <v>-1</v>
      </c>
      <c r="G194" s="1" t="inlineStr">
        <is>
          <t>SQM</t>
        </is>
      </c>
      <c r="H194" s="1" t="inlineStr">
        <is>
          <t>Porcelain</t>
        </is>
      </c>
      <c r="I194" s="1" t="inlineStr">
        <is>
          <t>Matt</t>
        </is>
      </c>
      <c r="J194" t="n">
        <v>272</v>
      </c>
      <c r="K194" t="inlineStr"/>
      <c r="L194" t="n">
        <v>271</v>
      </c>
    </row>
    <row r="195">
      <c r="A195" s="1">
        <f>Hyperlink("https://www.wallsandfloors.co.uk/white-mate-smooth-2366","Product")</f>
        <v/>
      </c>
      <c r="B195" s="1" t="inlineStr">
        <is>
          <t>2366</t>
        </is>
      </c>
      <c r="C195" s="1" t="inlineStr">
        <is>
          <t>Catalonia Smooth Matt White Wall Tiles</t>
        </is>
      </c>
      <c r="D195" s="1" t="inlineStr">
        <is>
          <t>300x200x7mm</t>
        </is>
      </c>
      <c r="E195" s="1" t="n">
        <v>17.95</v>
      </c>
      <c r="F195" s="1" t="n">
        <v>-1</v>
      </c>
      <c r="G195" s="1" t="inlineStr">
        <is>
          <t>SQM</t>
        </is>
      </c>
      <c r="H195" s="1" t="inlineStr">
        <is>
          <t>Ceramic</t>
        </is>
      </c>
      <c r="I195" s="1" t="inlineStr">
        <is>
          <t>Matt</t>
        </is>
      </c>
      <c r="J195" t="n">
        <v>89</v>
      </c>
      <c r="K195" t="n">
        <v>89</v>
      </c>
      <c r="L195" t="n">
        <v>88</v>
      </c>
    </row>
    <row r="196">
      <c r="A196" s="1">
        <f>Hyperlink("https://www.wallsandfloors.co.uk/mapei-adhesive-mapestik-ready-mix-d1-tile-adhesive","Product")</f>
        <v/>
      </c>
      <c r="B196" s="1" t="inlineStr">
        <is>
          <t>10654</t>
        </is>
      </c>
      <c r="C196" s="1" t="inlineStr">
        <is>
          <t>Mapestik Ready Mix D1 Tile Adhesive</t>
        </is>
      </c>
      <c r="D196" s="1" t="inlineStr">
        <is>
          <t>15 Kg</t>
        </is>
      </c>
      <c r="E196" s="1" t="n">
        <v>8.949999999999999</v>
      </c>
      <c r="F196" s="1" t="n">
        <v>-1</v>
      </c>
      <c r="G196" s="1" t="inlineStr">
        <is>
          <t>Unit</t>
        </is>
      </c>
      <c r="H196" s="1" t="inlineStr">
        <is>
          <t>Adhesive</t>
        </is>
      </c>
      <c r="I196" s="1" t="inlineStr">
        <is>
          <t>-</t>
        </is>
      </c>
      <c r="J196" t="inlineStr"/>
      <c r="K196" t="n">
        <v>68</v>
      </c>
      <c r="L196" t="n">
        <v>67</v>
      </c>
    </row>
    <row r="197">
      <c r="A197" s="1">
        <f>Hyperlink("https://www.wallsandfloors.co.uk/metro-smooth-200x100-tiles-st-james-smooth-gloss-200x100-yellow-tiles","Product")</f>
        <v/>
      </c>
      <c r="B197" s="1" t="inlineStr">
        <is>
          <t>13659</t>
        </is>
      </c>
      <c r="C197" s="1" t="inlineStr">
        <is>
          <t>Aldgate Gloss Yellow Flat Metro Tiles</t>
        </is>
      </c>
      <c r="D197" s="1" t="inlineStr">
        <is>
          <t>200x100x7mm</t>
        </is>
      </c>
      <c r="E197" s="1" t="n">
        <v>23.95</v>
      </c>
      <c r="F197" s="1" t="n">
        <v>0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Gloss</t>
        </is>
      </c>
      <c r="J197" t="n">
        <v>400</v>
      </c>
      <c r="K197" t="inlineStr"/>
      <c r="L197" t="n">
        <v>400</v>
      </c>
    </row>
    <row r="198">
      <c r="A198" s="1">
        <f>Hyperlink("https://www.wallsandfloors.co.uk/red-quarry-tiles","Product")</f>
        <v/>
      </c>
      <c r="B198" s="1" t="inlineStr">
        <is>
          <t>13073</t>
        </is>
      </c>
      <c r="C198" s="1" t="inlineStr">
        <is>
          <t>Cava Victorian Red Quarry Tiles</t>
        </is>
      </c>
      <c r="D198" s="1" t="inlineStr">
        <is>
          <t>150x150x8mm</t>
        </is>
      </c>
      <c r="E198" s="1" t="n">
        <v>39.95</v>
      </c>
      <c r="F198" s="1" t="n">
        <v>0</v>
      </c>
      <c r="G198" s="1" t="inlineStr"/>
      <c r="H198" s="1" t="inlineStr">
        <is>
          <t>Porcelain</t>
        </is>
      </c>
      <c r="I198" s="1" t="inlineStr">
        <is>
          <t>Matt</t>
        </is>
      </c>
      <c r="J198" t="inlineStr">
        <is>
          <t>In Stock</t>
        </is>
      </c>
      <c r="K198" t="inlineStr">
        <is>
          <t>In Stock</t>
        </is>
      </c>
      <c r="L198" t="inlineStr">
        <is>
          <t>In Stock</t>
        </is>
      </c>
    </row>
    <row r="199">
      <c r="A199" s="1">
        <f>Hyperlink("https://www.wallsandfloors.co.uk/metropolitan-stone-effect-tiles-grey-stone-effect-tiles","Product")</f>
        <v/>
      </c>
      <c r="B199" s="1" t="inlineStr">
        <is>
          <t>12819</t>
        </is>
      </c>
      <c r="C199" s="1" t="inlineStr">
        <is>
          <t>Grey Stone Effect Tiles</t>
        </is>
      </c>
      <c r="D199" s="1" t="inlineStr">
        <is>
          <t>600x300x10mm</t>
        </is>
      </c>
      <c r="E199" s="1" t="n">
        <v>22.45</v>
      </c>
      <c r="F199" s="1" t="n">
        <v>0</v>
      </c>
      <c r="G199" s="1" t="inlineStr">
        <is>
          <t>SQM</t>
        </is>
      </c>
      <c r="H199" s="1" t="inlineStr">
        <is>
          <t>Porcelain</t>
        </is>
      </c>
      <c r="I199" s="1" t="inlineStr">
        <is>
          <t>Matt</t>
        </is>
      </c>
      <c r="J199" t="inlineStr"/>
      <c r="K199" t="n">
        <v>57</v>
      </c>
      <c r="L199" t="n">
        <v>57</v>
      </c>
    </row>
    <row r="200">
      <c r="A200" s="1">
        <f>Hyperlink("https://www.wallsandfloors.co.uk/midnight-charcoal-slate-effect-tiles","Product")</f>
        <v/>
      </c>
      <c r="B200" s="1" t="inlineStr">
        <is>
          <t>40287</t>
        </is>
      </c>
      <c r="C200" s="1" t="inlineStr">
        <is>
          <t>Nantlle Valley Midnight Charcoal Slate Effect Tiles</t>
        </is>
      </c>
      <c r="D200" s="1" t="inlineStr">
        <is>
          <t>600x300x10.3mm</t>
        </is>
      </c>
      <c r="E200" s="1" t="n">
        <v>25.95</v>
      </c>
      <c r="F200" s="1" t="n">
        <v>0</v>
      </c>
      <c r="G200" s="1" t="inlineStr">
        <is>
          <t>SQM</t>
        </is>
      </c>
      <c r="H200" s="1" t="inlineStr">
        <is>
          <t>Porcelain</t>
        </is>
      </c>
      <c r="I200" s="1" t="inlineStr">
        <is>
          <t>Matt</t>
        </is>
      </c>
      <c r="J200" t="n">
        <v>276</v>
      </c>
      <c r="K200" t="n">
        <v>276</v>
      </c>
      <c r="L200" t="n">
        <v>276</v>
      </c>
    </row>
    <row r="201">
      <c r="A201" s="1">
        <f>Hyperlink("https://www.wallsandfloors.co.uk/red-octagon-100mm-tiles","Product")</f>
        <v/>
      </c>
      <c r="B201" s="1" t="inlineStr">
        <is>
          <t>990306</t>
        </is>
      </c>
      <c r="C201" s="1" t="inlineStr">
        <is>
          <t>Red Octagon 100mm Tiles</t>
        </is>
      </c>
      <c r="D201" s="1" t="inlineStr">
        <is>
          <t>100x100x9-10mm</t>
        </is>
      </c>
      <c r="E201" s="1" t="n">
        <v>2.37</v>
      </c>
      <c r="F201" s="1" t="n">
        <v>0</v>
      </c>
      <c r="G201" s="1" t="inlineStr">
        <is>
          <t>SQM</t>
        </is>
      </c>
      <c r="H201" s="1" t="inlineStr">
        <is>
          <t>Porcelain</t>
        </is>
      </c>
      <c r="I201" s="1" t="inlineStr">
        <is>
          <t>Matt</t>
        </is>
      </c>
      <c r="J201" t="n">
        <v>2179</v>
      </c>
      <c r="K201" t="n">
        <v>2179</v>
      </c>
      <c r="L201" t="n">
        <v>2179</v>
      </c>
    </row>
    <row r="202">
      <c r="A202" s="1">
        <f>Hyperlink("https://www.wallsandfloors.co.uk/metro-smooth-200x100-tiles-sloane-square-smooth-gloss-200x100-grey-tiles","Product")</f>
        <v/>
      </c>
      <c r="B202" s="1" t="inlineStr">
        <is>
          <t>13655</t>
        </is>
      </c>
      <c r="C202" s="1" t="inlineStr">
        <is>
          <t>Sloane Square Gloss Grey Flat Metro Tiles</t>
        </is>
      </c>
      <c r="D202" s="1" t="inlineStr">
        <is>
          <t>200x100x7mm</t>
        </is>
      </c>
      <c r="E202" s="1" t="n">
        <v>20.95</v>
      </c>
      <c r="F202" s="1" t="n">
        <v>0</v>
      </c>
      <c r="G202" s="1" t="inlineStr">
        <is>
          <t>SQM</t>
        </is>
      </c>
      <c r="H202" s="1" t="inlineStr">
        <is>
          <t>Ceramic</t>
        </is>
      </c>
      <c r="I202" s="1" t="inlineStr">
        <is>
          <t>Gloss</t>
        </is>
      </c>
      <c r="J202" t="n">
        <v>226</v>
      </c>
      <c r="K202" t="n">
        <v>226</v>
      </c>
      <c r="L202" t="n">
        <v>226</v>
      </c>
    </row>
    <row r="203">
      <c r="A203" s="1">
        <f>Hyperlink("https://www.wallsandfloors.co.uk/reef-mosaic-tiles-seamount-tiles","Product")</f>
        <v/>
      </c>
      <c r="B203" s="1" t="inlineStr">
        <is>
          <t>13331</t>
        </is>
      </c>
      <c r="C203" s="1" t="inlineStr">
        <is>
          <t>Reef Seamount Anti-Slip Mosaic Tiles</t>
        </is>
      </c>
      <c r="D203" s="1" t="inlineStr">
        <is>
          <t>305x305x6mm</t>
        </is>
      </c>
      <c r="E203" s="1" t="n">
        <v>7.95</v>
      </c>
      <c r="F203" s="1" t="n">
        <v>0</v>
      </c>
      <c r="G203" s="1" t="inlineStr">
        <is>
          <t>Sheet</t>
        </is>
      </c>
      <c r="H203" s="1" t="inlineStr">
        <is>
          <t>Porcelain</t>
        </is>
      </c>
      <c r="I203" s="1" t="inlineStr">
        <is>
          <t>Matt</t>
        </is>
      </c>
      <c r="J203" t="inlineStr">
        <is>
          <t>Out of Stock</t>
        </is>
      </c>
      <c r="K203" t="inlineStr">
        <is>
          <t>Out of Stock</t>
        </is>
      </c>
      <c r="L203" t="inlineStr">
        <is>
          <t>Out of Stock</t>
        </is>
      </c>
    </row>
    <row r="204">
      <c r="A204" s="1">
        <f>Hyperlink("https://www.wallsandfloors.co.uk/rebus-living-grey-kinder-decor-tiles","Product")</f>
        <v/>
      </c>
      <c r="B204" s="1" t="inlineStr">
        <is>
          <t>34695</t>
        </is>
      </c>
      <c r="C204" s="1" t="inlineStr">
        <is>
          <t>Grey Kinder Decor Tiles</t>
        </is>
      </c>
      <c r="D204" s="1" t="inlineStr">
        <is>
          <t>400x250x7.5mm</t>
        </is>
      </c>
      <c r="E204" s="1" t="n">
        <v>12.45</v>
      </c>
      <c r="F204" s="1" t="n">
        <v>0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Matt</t>
        </is>
      </c>
      <c r="J204" t="n">
        <v>57</v>
      </c>
      <c r="K204" t="n">
        <v>57</v>
      </c>
      <c r="L204" t="n">
        <v>57</v>
      </c>
    </row>
    <row r="205">
      <c r="A205" s="1">
        <f>Hyperlink("https://www.wallsandfloors.co.uk/raku-white-tiles","Product")</f>
        <v/>
      </c>
      <c r="B205" s="1" t="inlineStr">
        <is>
          <t>44477</t>
        </is>
      </c>
      <c r="C205" s="1" t="inlineStr">
        <is>
          <t>Raku White Tiles</t>
        </is>
      </c>
      <c r="D205" s="1" t="inlineStr">
        <is>
          <t>400x200x10.3mm</t>
        </is>
      </c>
      <c r="E205" s="1" t="n">
        <v>33.95</v>
      </c>
      <c r="F205" s="1" t="n">
        <v>0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Matt</t>
        </is>
      </c>
      <c r="J205" t="n">
        <v>230</v>
      </c>
      <c r="K205" t="n">
        <v>230</v>
      </c>
      <c r="L205" t="n">
        <v>230</v>
      </c>
    </row>
    <row r="206">
      <c r="A206" s="1">
        <f>Hyperlink("https://www.wallsandfloors.co.uk/raku-silver-tiles","Product")</f>
        <v/>
      </c>
      <c r="B206" s="1" t="inlineStr">
        <is>
          <t>44476</t>
        </is>
      </c>
      <c r="C206" s="1" t="inlineStr">
        <is>
          <t>Raku Silver Tiles</t>
        </is>
      </c>
      <c r="D206" s="1" t="inlineStr">
        <is>
          <t>400x200x10.3mm</t>
        </is>
      </c>
      <c r="E206" s="1" t="n">
        <v>33.95</v>
      </c>
      <c r="F206" s="1" t="n">
        <v>0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Matt</t>
        </is>
      </c>
      <c r="J206" t="inlineStr">
        <is>
          <t>In Stock</t>
        </is>
      </c>
      <c r="K206" t="inlineStr"/>
      <c r="L206" t="inlineStr">
        <is>
          <t>In Stock</t>
        </is>
      </c>
    </row>
    <row r="207">
      <c r="A207" s="1">
        <f>Hyperlink("https://www.wallsandfloors.co.uk/raku-sage-tiles","Product")</f>
        <v/>
      </c>
      <c r="B207" s="1" t="inlineStr">
        <is>
          <t>44475</t>
        </is>
      </c>
      <c r="C207" s="1" t="inlineStr">
        <is>
          <t>Raku Sage Tiles</t>
        </is>
      </c>
      <c r="D207" s="1" t="inlineStr">
        <is>
          <t>400x200x10.3mm</t>
        </is>
      </c>
      <c r="E207" s="1" t="n">
        <v>33.95</v>
      </c>
      <c r="F207" s="1" t="n">
        <v>0</v>
      </c>
      <c r="G207" s="1" t="inlineStr">
        <is>
          <t>SQM</t>
        </is>
      </c>
      <c r="H207" s="1" t="inlineStr">
        <is>
          <t>Ceramic</t>
        </is>
      </c>
      <c r="I207" s="1" t="inlineStr">
        <is>
          <t>Matt</t>
        </is>
      </c>
      <c r="J207" t="n">
        <v>54</v>
      </c>
      <c r="K207" t="n">
        <v>54</v>
      </c>
      <c r="L207" t="n">
        <v>54</v>
      </c>
    </row>
    <row r="208">
      <c r="A208" s="1">
        <f>Hyperlink("https://www.wallsandfloors.co.uk/retro-metro-tiles-bevelled-brick-black-matt-wall-tiles-44327","Product")</f>
        <v/>
      </c>
      <c r="B208" s="1" t="inlineStr">
        <is>
          <t>44280</t>
        </is>
      </c>
      <c r="C208" s="1" t="inlineStr">
        <is>
          <t>Blackheath Matt Black Metro Tiles</t>
        </is>
      </c>
      <c r="D208" s="1" t="inlineStr">
        <is>
          <t>200x100x7mm</t>
        </is>
      </c>
      <c r="E208" s="1" t="n">
        <v>18.95</v>
      </c>
      <c r="F208" s="1" t="n">
        <v>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Matt</t>
        </is>
      </c>
      <c r="J208" t="inlineStr"/>
      <c r="K208" t="n">
        <v>279</v>
      </c>
      <c r="L208" t="n">
        <v>279</v>
      </c>
    </row>
    <row r="209">
      <c r="A209" s="1">
        <f>Hyperlink("https://www.wallsandfloors.co.uk/raku-cream-tiles","Product")</f>
        <v/>
      </c>
      <c r="B209" s="1" t="inlineStr">
        <is>
          <t>44474</t>
        </is>
      </c>
      <c r="C209" s="1" t="inlineStr">
        <is>
          <t>Raku Cream Tiles</t>
        </is>
      </c>
      <c r="D209" s="1" t="inlineStr">
        <is>
          <t>400x200x10.3mm</t>
        </is>
      </c>
      <c r="E209" s="1" t="n">
        <v>33.95</v>
      </c>
      <c r="F209" s="1" t="n">
        <v>0</v>
      </c>
      <c r="G209" s="1" t="inlineStr">
        <is>
          <t>SQM</t>
        </is>
      </c>
      <c r="H209" s="1" t="inlineStr">
        <is>
          <t>Ceramic</t>
        </is>
      </c>
      <c r="I209" s="1" t="inlineStr">
        <is>
          <t>Matt</t>
        </is>
      </c>
      <c r="J209" t="inlineStr"/>
      <c r="K209" t="n">
        <v>105</v>
      </c>
      <c r="L209" t="n">
        <v>105</v>
      </c>
    </row>
    <row r="210">
      <c r="A210" s="1">
        <f>Hyperlink("https://www.wallsandfloors.co.uk/raku-colours-tiles","Product")</f>
        <v/>
      </c>
      <c r="B210" s="1" t="inlineStr">
        <is>
          <t>44473</t>
        </is>
      </c>
      <c r="C210" s="1" t="inlineStr">
        <is>
          <t>Raku Colours Tiles</t>
        </is>
      </c>
      <c r="D210" s="1" t="inlineStr">
        <is>
          <t>400x200x10.3mm</t>
        </is>
      </c>
      <c r="E210" s="1" t="n">
        <v>33.95</v>
      </c>
      <c r="F210" s="1" t="n">
        <v>0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Matt</t>
        </is>
      </c>
      <c r="J210" t="inlineStr"/>
      <c r="K210" t="n">
        <v>113</v>
      </c>
      <c r="L210" t="n">
        <v>113</v>
      </c>
    </row>
    <row r="211">
      <c r="A211" s="1">
        <f>Hyperlink("https://www.wallsandfloors.co.uk/metro-smooth-200x100-tiles-chalk-farm-smooth-matt-200x100-white-tiles","Product")</f>
        <v/>
      </c>
      <c r="B211" s="1" t="inlineStr">
        <is>
          <t>13637</t>
        </is>
      </c>
      <c r="C211" s="1" t="inlineStr">
        <is>
          <t>Flat Chalk Farm White Matt Tiles</t>
        </is>
      </c>
      <c r="D211" s="1" t="inlineStr">
        <is>
          <t>200x100x7mm</t>
        </is>
      </c>
      <c r="E211" s="1" t="n">
        <v>20.95</v>
      </c>
      <c r="F211" s="1" t="n">
        <v>0</v>
      </c>
      <c r="G211" s="1" t="inlineStr"/>
      <c r="H211" s="1" t="inlineStr">
        <is>
          <t>Ceramic</t>
        </is>
      </c>
      <c r="I211" s="1" t="inlineStr">
        <is>
          <t>Matt</t>
        </is>
      </c>
      <c r="J211" t="inlineStr">
        <is>
          <t>In Stock</t>
        </is>
      </c>
      <c r="K211" t="inlineStr">
        <is>
          <t>Out of Stock</t>
        </is>
      </c>
      <c r="L211" t="inlineStr">
        <is>
          <t>Out of Stock</t>
        </is>
      </c>
    </row>
    <row r="212">
      <c r="A212" s="1">
        <f>Hyperlink("https://www.wallsandfloors.co.uk/red-squares-35mm-tiles","Product")</f>
        <v/>
      </c>
      <c r="B212" s="1" t="inlineStr">
        <is>
          <t>990121</t>
        </is>
      </c>
      <c r="C212" s="1" t="inlineStr">
        <is>
          <t>Red Squares 35mm Tiles</t>
        </is>
      </c>
      <c r="D212" s="1" t="inlineStr">
        <is>
          <t>35x35x9-10mm</t>
        </is>
      </c>
      <c r="E212" s="1" t="n">
        <v>1.3</v>
      </c>
      <c r="F212" s="1" t="n">
        <v>0</v>
      </c>
      <c r="G212" s="1" t="inlineStr">
        <is>
          <t>SQM</t>
        </is>
      </c>
      <c r="H212" s="1" t="inlineStr">
        <is>
          <t>Porcelain</t>
        </is>
      </c>
      <c r="I212" s="1" t="inlineStr">
        <is>
          <t>Matt</t>
        </is>
      </c>
      <c r="J212" t="inlineStr"/>
      <c r="K212" t="inlineStr"/>
      <c r="L212" t="n">
        <v>579</v>
      </c>
    </row>
    <row r="213">
      <c r="A213" s="1">
        <f>Hyperlink("https://www.wallsandfloors.co.uk/red-strip-150x50mm-tiles","Product")</f>
        <v/>
      </c>
      <c r="B213" s="1" t="inlineStr">
        <is>
          <t>990281</t>
        </is>
      </c>
      <c r="C213" s="1" t="inlineStr">
        <is>
          <t>Red Strip Tiles</t>
        </is>
      </c>
      <c r="D213" s="1" t="inlineStr">
        <is>
          <t>150x50x9-10mm</t>
        </is>
      </c>
      <c r="E213" s="1" t="n">
        <v>3.2</v>
      </c>
      <c r="F213" s="1" t="n">
        <v>0</v>
      </c>
      <c r="G213" s="1" t="inlineStr">
        <is>
          <t>SQM</t>
        </is>
      </c>
      <c r="H213" s="1" t="inlineStr">
        <is>
          <t>Porcelain</t>
        </is>
      </c>
      <c r="I213" s="1" t="inlineStr">
        <is>
          <t>Matt</t>
        </is>
      </c>
      <c r="J213" t="n">
        <v>38</v>
      </c>
      <c r="K213" t="n">
        <v>38</v>
      </c>
      <c r="L213" t="n">
        <v>38</v>
      </c>
    </row>
    <row r="214">
      <c r="A214" s="1">
        <f>Hyperlink("https://www.wallsandfloors.co.uk/regalio-glass-mosaic-tiles-argent-day-square-mosaic-tiles","Product")</f>
        <v/>
      </c>
      <c r="B214" s="1" t="inlineStr">
        <is>
          <t>14826</t>
        </is>
      </c>
      <c r="C214" s="1" t="inlineStr">
        <is>
          <t>Regalio Argent Day Square Glass Mosaic Tiles</t>
        </is>
      </c>
      <c r="D214" s="1" t="inlineStr">
        <is>
          <t>295x289x8mm</t>
        </is>
      </c>
      <c r="E214" s="1" t="n">
        <v>4.55</v>
      </c>
      <c r="F214" s="1" t="n">
        <v>0</v>
      </c>
      <c r="G214" s="1" t="inlineStr">
        <is>
          <t>Sheet</t>
        </is>
      </c>
      <c r="H214" s="1" t="inlineStr">
        <is>
          <t>Glass</t>
        </is>
      </c>
      <c r="I214" s="1" t="inlineStr">
        <is>
          <t>Gloss</t>
        </is>
      </c>
      <c r="J214" t="n">
        <v>10</v>
      </c>
      <c r="K214" t="n">
        <v>10</v>
      </c>
      <c r="L214" t="n">
        <v>10</v>
      </c>
    </row>
    <row r="215">
      <c r="A215" s="1">
        <f>Hyperlink("https://www.wallsandfloors.co.uk/red-triangle-100x100x140mm-tiles","Product")</f>
        <v/>
      </c>
      <c r="B215" s="1" t="inlineStr">
        <is>
          <t>990231</t>
        </is>
      </c>
      <c r="C215" s="1" t="inlineStr">
        <is>
          <t>Red Triangle Tiles</t>
        </is>
      </c>
      <c r="D215" s="1" t="inlineStr">
        <is>
          <t>100x100x140mm</t>
        </is>
      </c>
      <c r="E215" s="1" t="n">
        <v>3.38</v>
      </c>
      <c r="F215" s="1" t="n">
        <v>0</v>
      </c>
      <c r="G215" s="1" t="inlineStr">
        <is>
          <t>SQM</t>
        </is>
      </c>
      <c r="H215" s="1" t="inlineStr">
        <is>
          <t>Porcelain</t>
        </is>
      </c>
      <c r="I215" s="1" t="inlineStr">
        <is>
          <t>Matt</t>
        </is>
      </c>
      <c r="J215" t="n">
        <v>106</v>
      </c>
      <c r="K215" t="n">
        <v>106</v>
      </c>
      <c r="L215" t="n">
        <v>106</v>
      </c>
    </row>
    <row r="216">
      <c r="A216" s="1">
        <f>Hyperlink("https://www.wallsandfloors.co.uk/red-triangle-35x35x50mm-tiles","Product")</f>
        <v/>
      </c>
      <c r="B216" s="1" t="inlineStr">
        <is>
          <t>990156</t>
        </is>
      </c>
      <c r="C216" s="1" t="inlineStr">
        <is>
          <t>Red Triangle 35x35x50mm Tiles</t>
        </is>
      </c>
      <c r="D216" s="1" t="inlineStr">
        <is>
          <t>35x35x50mm</t>
        </is>
      </c>
      <c r="E216" s="1" t="n">
        <v>1.13</v>
      </c>
      <c r="F216" s="1" t="n">
        <v>0</v>
      </c>
      <c r="G216" s="1" t="inlineStr">
        <is>
          <t>SQM</t>
        </is>
      </c>
      <c r="H216" s="1" t="inlineStr">
        <is>
          <t>Porcelain</t>
        </is>
      </c>
      <c r="I216" s="1" t="inlineStr">
        <is>
          <t>Matt</t>
        </is>
      </c>
      <c r="J216" t="n">
        <v>612</v>
      </c>
      <c r="K216" t="n">
        <v>612</v>
      </c>
      <c r="L216" t="n">
        <v>612</v>
      </c>
    </row>
    <row r="217">
      <c r="A217" s="1">
        <f>Hyperlink("https://www.wallsandfloors.co.uk/red-triangle-50x50x70mm-tiles","Product")</f>
        <v/>
      </c>
      <c r="B217" s="1" t="inlineStr">
        <is>
          <t>990181</t>
        </is>
      </c>
      <c r="C217" s="1" t="inlineStr">
        <is>
          <t>Red Triangle Tiles</t>
        </is>
      </c>
      <c r="D217" s="1" t="inlineStr">
        <is>
          <t>50x50x70mm</t>
        </is>
      </c>
      <c r="E217" s="1" t="n">
        <v>0.97</v>
      </c>
      <c r="F217" s="1" t="n">
        <v>0</v>
      </c>
      <c r="G217" s="1" t="inlineStr">
        <is>
          <t>SQM</t>
        </is>
      </c>
      <c r="H217" s="1" t="inlineStr">
        <is>
          <t>Porcelain</t>
        </is>
      </c>
      <c r="I217" s="1" t="inlineStr">
        <is>
          <t>Matt</t>
        </is>
      </c>
      <c r="J217" t="n">
        <v>1095</v>
      </c>
      <c r="K217" t="n">
        <v>1095</v>
      </c>
      <c r="L217" t="n">
        <v>1095</v>
      </c>
    </row>
    <row r="218">
      <c r="A218" s="1">
        <f>Hyperlink("https://www.wallsandfloors.co.uk/red-triangle-70x70x100mm","Product")</f>
        <v/>
      </c>
      <c r="B218" s="1" t="inlineStr">
        <is>
          <t>990206</t>
        </is>
      </c>
      <c r="C218" s="1" t="inlineStr">
        <is>
          <t>Red Triangle 70x70x100mm Tiles</t>
        </is>
      </c>
      <c r="D218" s="1" t="inlineStr">
        <is>
          <t>70x70x100mm</t>
        </is>
      </c>
      <c r="E218" s="1" t="n">
        <v>2.21</v>
      </c>
      <c r="F218" s="1" t="n">
        <v>0</v>
      </c>
      <c r="G218" s="1" t="inlineStr">
        <is>
          <t>SQM</t>
        </is>
      </c>
      <c r="H218" s="1" t="inlineStr">
        <is>
          <t>Porcelain</t>
        </is>
      </c>
      <c r="I218" s="1" t="inlineStr">
        <is>
          <t>Matt</t>
        </is>
      </c>
      <c r="J218" t="n">
        <v>424</v>
      </c>
      <c r="K218" t="n">
        <v>424</v>
      </c>
      <c r="L218" t="n">
        <v>424</v>
      </c>
    </row>
    <row r="219">
      <c r="A219" s="1">
        <f>Hyperlink("https://www.wallsandfloors.co.uk/reef-mosaic-tiles-atoll-tiles","Product")</f>
        <v/>
      </c>
      <c r="B219" s="1" t="inlineStr">
        <is>
          <t>13330</t>
        </is>
      </c>
      <c r="C219" s="1" t="inlineStr">
        <is>
          <t>Reef Atoll Anti-Slip Mosaic Tiles</t>
        </is>
      </c>
      <c r="D219" s="1" t="inlineStr">
        <is>
          <t>305x305x6mm</t>
        </is>
      </c>
      <c r="E219" s="1" t="n">
        <v>7.95</v>
      </c>
      <c r="F219" s="1" t="n">
        <v>0</v>
      </c>
      <c r="G219" s="1" t="inlineStr"/>
      <c r="H219" s="1" t="inlineStr">
        <is>
          <t>Porcelain</t>
        </is>
      </c>
      <c r="I219" s="1" t="inlineStr">
        <is>
          <t>Matt</t>
        </is>
      </c>
      <c r="J219" t="inlineStr">
        <is>
          <t>In Stock</t>
        </is>
      </c>
      <c r="K219" t="inlineStr"/>
      <c r="L219" t="inlineStr">
        <is>
          <t>In Stock</t>
        </is>
      </c>
    </row>
    <row r="220">
      <c r="A220" s="1">
        <f>Hyperlink("https://www.wallsandfloors.co.uk/reef-mosaic-tiles-cays-tiles","Product")</f>
        <v/>
      </c>
      <c r="B220" s="1" t="inlineStr">
        <is>
          <t>13332</t>
        </is>
      </c>
      <c r="C220" s="1" t="inlineStr">
        <is>
          <t>Reef Cays Anti-Slip Mosaic Tiles</t>
        </is>
      </c>
      <c r="D220" s="1" t="inlineStr">
        <is>
          <t>305x305x6mm</t>
        </is>
      </c>
      <c r="E220" s="1" t="n">
        <v>7.95</v>
      </c>
      <c r="F220" s="1" t="n">
        <v>0</v>
      </c>
      <c r="G220" s="1" t="inlineStr">
        <is>
          <t>Sheet</t>
        </is>
      </c>
      <c r="H220" s="1" t="inlineStr">
        <is>
          <t>Porcelain</t>
        </is>
      </c>
      <c r="I220" s="1" t="inlineStr">
        <is>
          <t>Matt</t>
        </is>
      </c>
      <c r="J220" t="inlineStr">
        <is>
          <t>In Stock</t>
        </is>
      </c>
      <c r="K220" t="inlineStr">
        <is>
          <t>In Stock</t>
        </is>
      </c>
      <c r="L220" t="inlineStr">
        <is>
          <t>In Stock</t>
        </is>
      </c>
    </row>
    <row r="221">
      <c r="A221" s="1">
        <f>Hyperlink("https://www.wallsandfloors.co.uk/metro-smooth-200x100-tiles-marble-arch-smooth-gloss-200x100-grey-tiles","Product")</f>
        <v/>
      </c>
      <c r="B221" s="1" t="inlineStr">
        <is>
          <t>13647</t>
        </is>
      </c>
      <c r="C221" s="1" t="inlineStr">
        <is>
          <t>Flat Marble Arch Grey Gloss Tiles</t>
        </is>
      </c>
      <c r="D221" s="1" t="inlineStr">
        <is>
          <t>200x100x7mm</t>
        </is>
      </c>
      <c r="E221" s="1" t="n">
        <v>20.95</v>
      </c>
      <c r="F221" s="1" t="n">
        <v>0</v>
      </c>
      <c r="G221" s="1" t="inlineStr">
        <is>
          <t>SQM</t>
        </is>
      </c>
      <c r="H221" s="1" t="inlineStr">
        <is>
          <t>Ceramic</t>
        </is>
      </c>
      <c r="I221" s="1" t="inlineStr">
        <is>
          <t>Gloss</t>
        </is>
      </c>
      <c r="J221" t="n">
        <v>114</v>
      </c>
      <c r="K221" t="n">
        <v>114</v>
      </c>
      <c r="L221" t="n">
        <v>114</v>
      </c>
    </row>
    <row r="222">
      <c r="A222" s="1">
        <f>Hyperlink("https://www.wallsandfloors.co.uk/regalio-glass-mosaic-tiles-argent-night-square-mix-tiles","Product")</f>
        <v/>
      </c>
      <c r="B222" s="1" t="inlineStr">
        <is>
          <t>14825</t>
        </is>
      </c>
      <c r="C222" s="1" t="inlineStr">
        <is>
          <t>Regalio Argent Night Square Mix Mosaic Tiles</t>
        </is>
      </c>
      <c r="D222" s="1" t="inlineStr">
        <is>
          <t>295x289x8mm</t>
        </is>
      </c>
      <c r="E222" s="1" t="n">
        <v>5.65</v>
      </c>
      <c r="F222" s="1" t="n">
        <v>0</v>
      </c>
      <c r="G222" s="1" t="inlineStr">
        <is>
          <t>Sheet</t>
        </is>
      </c>
      <c r="H222" s="1" t="inlineStr">
        <is>
          <t>Glass</t>
        </is>
      </c>
      <c r="I222" s="1" t="inlineStr">
        <is>
          <t>Gloss</t>
        </is>
      </c>
      <c r="J222" t="n">
        <v>41</v>
      </c>
      <c r="K222" t="n">
        <v>41</v>
      </c>
      <c r="L222" t="n">
        <v>41</v>
      </c>
    </row>
    <row r="223">
      <c r="A223" s="1">
        <f>Hyperlink("https://www.wallsandfloors.co.uk/reef-mosaic-tiles-patch-tiles","Product")</f>
        <v/>
      </c>
      <c r="B223" s="1" t="inlineStr">
        <is>
          <t>13333</t>
        </is>
      </c>
      <c r="C223" s="1" t="inlineStr">
        <is>
          <t>Reef Patch Anti-Slip Mosaic Tiles</t>
        </is>
      </c>
      <c r="D223" s="1" t="inlineStr">
        <is>
          <t>305x305x6mm</t>
        </is>
      </c>
      <c r="E223" s="1" t="n">
        <v>7.95</v>
      </c>
      <c r="F223" s="1" t="n">
        <v>0</v>
      </c>
      <c r="G223" s="1" t="inlineStr">
        <is>
          <t>Sheet</t>
        </is>
      </c>
      <c r="H223" s="1" t="inlineStr">
        <is>
          <t>Porcelain</t>
        </is>
      </c>
      <c r="I223" s="1" t="inlineStr">
        <is>
          <t>Matt</t>
        </is>
      </c>
      <c r="J223" t="inlineStr">
        <is>
          <t>In Stock</t>
        </is>
      </c>
      <c r="K223" t="inlineStr">
        <is>
          <t>In Stock</t>
        </is>
      </c>
      <c r="L223" t="inlineStr">
        <is>
          <t>In Stock</t>
        </is>
      </c>
    </row>
    <row r="224">
      <c r="A224" s="1">
        <f>Hyperlink("https://www.wallsandfloors.co.uk/metro-smooth-200x100-tiles-kentish-town-smooth-gloss-200x100-grey-tiles","Product")</f>
        <v/>
      </c>
      <c r="B224" s="1" t="inlineStr">
        <is>
          <t>13641</t>
        </is>
      </c>
      <c r="C224" s="1" t="inlineStr">
        <is>
          <t>Flat Kentish Town Grey Gloss Tiles</t>
        </is>
      </c>
      <c r="D224" s="1" t="inlineStr">
        <is>
          <t>200x100x7mm</t>
        </is>
      </c>
      <c r="E224" s="1" t="n">
        <v>23.95</v>
      </c>
      <c r="F224" s="1" t="n">
        <v>0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Gloss</t>
        </is>
      </c>
      <c r="J224" t="n">
        <v>386</v>
      </c>
      <c r="K224" t="n">
        <v>386</v>
      </c>
      <c r="L224" t="n">
        <v>386</v>
      </c>
    </row>
    <row r="225">
      <c r="A225" s="1">
        <f>Hyperlink("https://www.wallsandfloors.co.uk/regalio-glass-mosaic-tiles-argent-night-brick-mix-tiles","Product")</f>
        <v/>
      </c>
      <c r="B225" s="1" t="inlineStr">
        <is>
          <t>14823</t>
        </is>
      </c>
      <c r="C225" s="1" t="inlineStr">
        <is>
          <t>Regalio Argent Night Brick Mix Mosaic Tiles</t>
        </is>
      </c>
      <c r="D225" s="1" t="inlineStr">
        <is>
          <t>300x306x8mm</t>
        </is>
      </c>
      <c r="E225" s="1" t="n">
        <v>4.95</v>
      </c>
      <c r="F225" s="1" t="n">
        <v>0</v>
      </c>
      <c r="G225" s="1" t="inlineStr">
        <is>
          <t>Sheet</t>
        </is>
      </c>
      <c r="H225" s="1" t="inlineStr">
        <is>
          <t>Glass</t>
        </is>
      </c>
      <c r="I225" s="1" t="inlineStr">
        <is>
          <t>Gloss</t>
        </is>
      </c>
      <c r="J225" t="n">
        <v>45</v>
      </c>
      <c r="K225" t="n">
        <v>45</v>
      </c>
      <c r="L225" t="n">
        <v>45</v>
      </c>
    </row>
    <row r="226">
      <c r="A226" s="1">
        <f>Hyperlink("https://www.wallsandfloors.co.uk/metro-smooth-200x100-tiles-covent-garden-smooth-gloss-pink-tiles","Product")</f>
        <v/>
      </c>
      <c r="B226" s="1" t="inlineStr">
        <is>
          <t>44298</t>
        </is>
      </c>
      <c r="C226" s="1" t="inlineStr">
        <is>
          <t>Covent Garden Gloss Pink Flat Metro Tiles</t>
        </is>
      </c>
      <c r="D226" s="1" t="inlineStr">
        <is>
          <t>200x100x7mm</t>
        </is>
      </c>
      <c r="E226" s="1" t="n">
        <v>23.95</v>
      </c>
      <c r="F226" s="1" t="n">
        <v>0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inlineStr"/>
      <c r="K226" t="inlineStr"/>
      <c r="L226" t="n">
        <v>65</v>
      </c>
    </row>
    <row r="227">
      <c r="A227" s="1">
        <f>Hyperlink("https://www.wallsandfloors.co.uk/metro-smooth-200x100-tiles-hatton-cross-smooth-gloss-200x100-grey-tiles","Product")</f>
        <v/>
      </c>
      <c r="B227" s="1" t="inlineStr">
        <is>
          <t>13638</t>
        </is>
      </c>
      <c r="C227" s="1" t="inlineStr">
        <is>
          <t>Flat Hatton Cross Grey Gloss Tiles</t>
        </is>
      </c>
      <c r="D227" s="1" t="inlineStr">
        <is>
          <t>200x100x7mm</t>
        </is>
      </c>
      <c r="E227" s="1" t="n">
        <v>23.95</v>
      </c>
      <c r="F227" s="1" t="n">
        <v>0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178</v>
      </c>
      <c r="K227" t="n">
        <v>178</v>
      </c>
      <c r="L227" t="n">
        <v>178</v>
      </c>
    </row>
    <row r="228">
      <c r="A228" s="1">
        <f>Hyperlink("https://www.wallsandfloors.co.uk/red-squares-50mm-tiles","Product")</f>
        <v/>
      </c>
      <c r="B228" s="1" t="inlineStr">
        <is>
          <t>990096</t>
        </is>
      </c>
      <c r="C228" s="1" t="inlineStr">
        <is>
          <t>Red Squares 50mm Tiles</t>
        </is>
      </c>
      <c r="D228" s="1" t="inlineStr">
        <is>
          <t>50x50x9-10mm</t>
        </is>
      </c>
      <c r="E228" s="1" t="n">
        <v>2.95</v>
      </c>
      <c r="F228" s="1" t="n">
        <v>0</v>
      </c>
      <c r="G228" s="1" t="inlineStr">
        <is>
          <t>Tile</t>
        </is>
      </c>
      <c r="H228" s="1" t="inlineStr">
        <is>
          <t>Porcelain</t>
        </is>
      </c>
      <c r="I228" s="1" t="inlineStr">
        <is>
          <t>Matt</t>
        </is>
      </c>
      <c r="J228" t="inlineStr">
        <is>
          <t>In Stock</t>
        </is>
      </c>
      <c r="K228" t="inlineStr"/>
      <c r="L228" t="inlineStr">
        <is>
          <t>In Stock</t>
        </is>
      </c>
    </row>
    <row r="229">
      <c r="A229" s="1">
        <f>Hyperlink("https://www.wallsandfloors.co.uk/mimosa-marble-calacatta-white-gold-120x60-tiles","Product")</f>
        <v/>
      </c>
      <c r="B229" s="1" t="inlineStr">
        <is>
          <t>38474</t>
        </is>
      </c>
      <c r="C229" s="1" t="inlineStr">
        <is>
          <t>Mimosa White Gold Calacatta Marble Effect Tiles</t>
        </is>
      </c>
      <c r="D229" s="1" t="inlineStr">
        <is>
          <t>1200x600x10mm</t>
        </is>
      </c>
      <c r="E229" s="1" t="n">
        <v>64.95</v>
      </c>
      <c r="F229" s="1" t="n">
        <v>0</v>
      </c>
      <c r="G229" s="1" t="inlineStr">
        <is>
          <t>SQM</t>
        </is>
      </c>
      <c r="H229" s="1" t="inlineStr">
        <is>
          <t>Porcelain</t>
        </is>
      </c>
      <c r="I229" s="1" t="inlineStr">
        <is>
          <t>Polished</t>
        </is>
      </c>
      <c r="J229" t="n">
        <v>527</v>
      </c>
      <c r="K229" t="inlineStr"/>
      <c r="L229" t="n">
        <v>527</v>
      </c>
    </row>
    <row r="230">
      <c r="A230" s="1">
        <f>Hyperlink("https://www.wallsandfloors.co.uk/raffinato-lilla-marble-effect-tiles-white-carrara-marble-effect-stripe-tiles","Product")</f>
        <v/>
      </c>
      <c r="B230" s="1" t="inlineStr">
        <is>
          <t>15232</t>
        </is>
      </c>
      <c r="C230" s="1" t="inlineStr">
        <is>
          <t>White Carrara Marble Effect Stripe Ceramic Wall  Tiles</t>
        </is>
      </c>
      <c r="D230" s="1" t="inlineStr">
        <is>
          <t>600x200x8.3mm</t>
        </is>
      </c>
      <c r="E230" s="1" t="n">
        <v>14.95</v>
      </c>
      <c r="F230" s="1" t="n">
        <v>0</v>
      </c>
      <c r="G230" s="1" t="inlineStr">
        <is>
          <t>SQM</t>
        </is>
      </c>
      <c r="H230" s="1" t="inlineStr">
        <is>
          <t>Ceramic</t>
        </is>
      </c>
      <c r="I230" s="1" t="inlineStr">
        <is>
          <t>Gloss</t>
        </is>
      </c>
      <c r="J230" t="inlineStr">
        <is>
          <t>Out of Stock</t>
        </is>
      </c>
      <c r="K230" t="inlineStr">
        <is>
          <t>Out of Stock</t>
        </is>
      </c>
      <c r="L230" t="inlineStr">
        <is>
          <t>Out of Stock</t>
        </is>
      </c>
    </row>
    <row r="231">
      <c r="A231" s="1">
        <f>Hyperlink("https://www.wallsandfloors.co.uk/raffinato-lilla-marble-effect-tiles-white-carrara-marble-effect-wall-tiles","Product")</f>
        <v/>
      </c>
      <c r="B231" s="1" t="inlineStr">
        <is>
          <t>15231</t>
        </is>
      </c>
      <c r="C231" s="1" t="inlineStr">
        <is>
          <t>White Gloss Carrara Marble Effect Ceramic Wall Tiles</t>
        </is>
      </c>
      <c r="D231" s="1" t="inlineStr">
        <is>
          <t>600x200x8.3mm</t>
        </is>
      </c>
      <c r="E231" s="1" t="n">
        <v>12.95</v>
      </c>
      <c r="F231" s="1" t="n">
        <v>0</v>
      </c>
      <c r="G231" s="1" t="inlineStr">
        <is>
          <t>SQM</t>
        </is>
      </c>
      <c r="H231" s="1" t="inlineStr">
        <is>
          <t>Ceramic</t>
        </is>
      </c>
      <c r="I231" s="1" t="inlineStr">
        <is>
          <t>Gloss</t>
        </is>
      </c>
      <c r="J231" t="n">
        <v>80</v>
      </c>
      <c r="K231" t="n">
        <v>80</v>
      </c>
      <c r="L231" t="n">
        <v>80</v>
      </c>
    </row>
    <row r="232">
      <c r="A232" s="1">
        <f>Hyperlink("https://www.wallsandfloors.co.uk/prismatics-satin-natural-black-white-tiles-white-satin-oblong-prs12-tiles","Product")</f>
        <v/>
      </c>
      <c r="B232" s="1" t="inlineStr">
        <is>
          <t>4595</t>
        </is>
      </c>
      <c r="C232" s="1" t="inlineStr">
        <is>
          <t>Prismatics Satin PRS12 White Wall Tiles</t>
        </is>
      </c>
      <c r="D232" s="1" t="inlineStr">
        <is>
          <t>200x100x6.5mm</t>
        </is>
      </c>
      <c r="E232" s="1" t="n">
        <v>30.95</v>
      </c>
      <c r="F232" s="1" t="n">
        <v>0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Matt</t>
        </is>
      </c>
      <c r="J232" t="inlineStr">
        <is>
          <t>Out of Stock</t>
        </is>
      </c>
      <c r="K232" t="inlineStr">
        <is>
          <t>Out of Stock</t>
        </is>
      </c>
      <c r="L232" t="inlineStr">
        <is>
          <t>In Stock</t>
        </is>
      </c>
    </row>
    <row r="233">
      <c r="A233" s="1">
        <f>Hyperlink("https://www.wallsandfloors.co.uk/mini-metro-150x75-tiles-manor-house-tiles","Product")</f>
        <v/>
      </c>
      <c r="B233" s="1" t="inlineStr">
        <is>
          <t>14131</t>
        </is>
      </c>
      <c r="C233" s="1" t="inlineStr">
        <is>
          <t>Manor House Gloss Blue Mini Metro Tiles</t>
        </is>
      </c>
      <c r="D233" s="1" t="inlineStr">
        <is>
          <t>150x75x7mm</t>
        </is>
      </c>
      <c r="E233" s="1" t="n">
        <v>25.95</v>
      </c>
      <c r="F233" s="1" t="n">
        <v>0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Gloss</t>
        </is>
      </c>
      <c r="J233" t="inlineStr">
        <is>
          <t>In Stock</t>
        </is>
      </c>
      <c r="K233" t="inlineStr">
        <is>
          <t>In Stock</t>
        </is>
      </c>
      <c r="L233" t="inlineStr">
        <is>
          <t>In Stock</t>
        </is>
      </c>
    </row>
    <row r="234">
      <c r="A234" s="1">
        <f>Hyperlink("https://www.wallsandfloors.co.uk/mini-metro-150x75-tiles-oxford-circus-cream-tiles","Product")</f>
        <v/>
      </c>
      <c r="B234" s="1" t="inlineStr">
        <is>
          <t>11287</t>
        </is>
      </c>
      <c r="C234" s="1" t="inlineStr">
        <is>
          <t>Oxford Circus Matt Cream Mini Metro Tiles</t>
        </is>
      </c>
      <c r="D234" s="1" t="inlineStr">
        <is>
          <t>150x75x7mm</t>
        </is>
      </c>
      <c r="E234" s="1" t="n">
        <v>25.95</v>
      </c>
      <c r="F234" s="1" t="n">
        <v>0</v>
      </c>
      <c r="G234" s="1" t="inlineStr">
        <is>
          <t>SQM</t>
        </is>
      </c>
      <c r="H234" s="1" t="inlineStr">
        <is>
          <t>Ceramic</t>
        </is>
      </c>
      <c r="I234" s="1" t="inlineStr">
        <is>
          <t>Matt</t>
        </is>
      </c>
      <c r="J234" t="n">
        <v>164</v>
      </c>
      <c r="K234" t="n">
        <v>164</v>
      </c>
      <c r="L234" t="n">
        <v>164</v>
      </c>
    </row>
    <row r="235">
      <c r="A235" s="1">
        <f>Hyperlink("https://www.wallsandfloors.co.uk/mini-metro-150x75-tiles-paddington-purple-tiles-8381","Product")</f>
        <v/>
      </c>
      <c r="B235" s="1" t="inlineStr">
        <is>
          <t>8381</t>
        </is>
      </c>
      <c r="C235" s="1" t="inlineStr">
        <is>
          <t>Paddington Gloss Purple Mini Metro Tiles</t>
        </is>
      </c>
      <c r="D235" s="1" t="inlineStr">
        <is>
          <t>150x75x7mm</t>
        </is>
      </c>
      <c r="E235" s="1" t="n">
        <v>25.95</v>
      </c>
      <c r="F235" s="1" t="n">
        <v>0</v>
      </c>
      <c r="G235" s="1" t="inlineStr">
        <is>
          <t>SQM</t>
        </is>
      </c>
      <c r="H235" s="1" t="inlineStr">
        <is>
          <t>Ceramic</t>
        </is>
      </c>
      <c r="I235" s="1" t="inlineStr">
        <is>
          <t>Gloss</t>
        </is>
      </c>
      <c r="J235" t="n">
        <v>61</v>
      </c>
      <c r="K235" t="n">
        <v>61</v>
      </c>
      <c r="L235" t="n">
        <v>61</v>
      </c>
    </row>
    <row r="236">
      <c r="A236" s="1">
        <f>Hyperlink("https://www.wallsandfloors.co.uk/mini-metro-150x75-tiles-sloane-square-grey-tiles","Product")</f>
        <v/>
      </c>
      <c r="B236" s="1" t="inlineStr">
        <is>
          <t>11143</t>
        </is>
      </c>
      <c r="C236" s="1" t="inlineStr">
        <is>
          <t>Sloane Square Gloss Grey Mini Metro Tiles</t>
        </is>
      </c>
      <c r="D236" s="1" t="inlineStr">
        <is>
          <t>150x75x7mm</t>
        </is>
      </c>
      <c r="E236" s="1" t="n">
        <v>25.95</v>
      </c>
      <c r="F236" s="1" t="n">
        <v>0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inlineStr">
        <is>
          <t>In Stock</t>
        </is>
      </c>
      <c r="K236" t="inlineStr">
        <is>
          <t>In Stock</t>
        </is>
      </c>
      <c r="L236" t="inlineStr">
        <is>
          <t>In Stock</t>
        </is>
      </c>
    </row>
    <row r="237">
      <c r="A237" s="1">
        <f>Hyperlink("https://www.wallsandfloors.co.uk/mini-metro-150x75-tiles-st-pauls-red-tiles","Product")</f>
        <v/>
      </c>
      <c r="B237" s="1" t="inlineStr">
        <is>
          <t>8379</t>
        </is>
      </c>
      <c r="C237" s="1" t="inlineStr">
        <is>
          <t>St Pauls Gloss Red Mini Metro Tiles</t>
        </is>
      </c>
      <c r="D237" s="1" t="inlineStr">
        <is>
          <t>150x75x7mm</t>
        </is>
      </c>
      <c r="E237" s="1" t="n">
        <v>25.95</v>
      </c>
      <c r="F237" s="1" t="n">
        <v>0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52</v>
      </c>
      <c r="K237" t="n">
        <v>52</v>
      </c>
      <c r="L237" t="n">
        <v>52</v>
      </c>
    </row>
    <row r="238">
      <c r="A238" s="1">
        <f>Hyperlink("https://www.wallsandfloors.co.uk/mini-metro-150x75-tiles-victoria-cream-tiles","Product")</f>
        <v/>
      </c>
      <c r="B238" s="1" t="inlineStr">
        <is>
          <t>8389</t>
        </is>
      </c>
      <c r="C238" s="1" t="inlineStr">
        <is>
          <t>Victoria Gloss Cream Mini Metro Tiles</t>
        </is>
      </c>
      <c r="D238" s="1" t="inlineStr">
        <is>
          <t>150x75x7mm</t>
        </is>
      </c>
      <c r="E238" s="1" t="n">
        <v>25.95</v>
      </c>
      <c r="F238" s="1" t="n">
        <v>0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111</v>
      </c>
      <c r="K238" t="n">
        <v>111</v>
      </c>
      <c r="L238" t="n">
        <v>111</v>
      </c>
    </row>
    <row r="239">
      <c r="A239" s="1">
        <f>Hyperlink("https://www.wallsandfloors.co.uk/minster-rustic-20mm-tiles","Product")</f>
        <v/>
      </c>
      <c r="B239" s="1" t="inlineStr">
        <is>
          <t>44428</t>
        </is>
      </c>
      <c r="C239" s="1" t="inlineStr">
        <is>
          <t>Minster Rustic Slate Effect Porcelain Paving Slabs</t>
        </is>
      </c>
      <c r="D239" s="1" t="inlineStr">
        <is>
          <t>895x595x20mm</t>
        </is>
      </c>
      <c r="E239" s="1" t="n">
        <v>47.95</v>
      </c>
      <c r="F239" s="1" t="n">
        <v>0</v>
      </c>
      <c r="G239" s="1" t="inlineStr">
        <is>
          <t>SQM</t>
        </is>
      </c>
      <c r="H239" s="1" t="inlineStr">
        <is>
          <t>Porcelain</t>
        </is>
      </c>
      <c r="I239" s="1" t="inlineStr">
        <is>
          <t>Matt</t>
        </is>
      </c>
      <c r="J239" t="inlineStr">
        <is>
          <t>Out of Stock</t>
        </is>
      </c>
      <c r="K239" t="inlineStr">
        <is>
          <t>Out of Stock</t>
        </is>
      </c>
      <c r="L239" t="inlineStr">
        <is>
          <t>Out of Stock</t>
        </is>
      </c>
    </row>
    <row r="240">
      <c r="A240" s="1">
        <f>Hyperlink("https://www.wallsandfloors.co.uk/prismatics-satin-natural-black-white-tiles-white-satin-medium-prs12-tiles","Product")</f>
        <v/>
      </c>
      <c r="B240" s="1" t="inlineStr">
        <is>
          <t>4596</t>
        </is>
      </c>
      <c r="C240" s="1" t="inlineStr">
        <is>
          <t>Prismatics Satin PRS12 White Wall Tiles</t>
        </is>
      </c>
      <c r="D240" s="1" t="inlineStr">
        <is>
          <t>150x150x6.5mm</t>
        </is>
      </c>
      <c r="E240" s="1" t="n">
        <v>22.95</v>
      </c>
      <c r="F240" s="1" t="n">
        <v>0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Matt</t>
        </is>
      </c>
      <c r="J240" t="n">
        <v>132</v>
      </c>
      <c r="K240" t="n">
        <v>132</v>
      </c>
      <c r="L240" t="n">
        <v>132</v>
      </c>
    </row>
    <row r="241">
      <c r="A241" s="1">
        <f>Hyperlink("https://www.wallsandfloors.co.uk/mixx-concrete-oak-wood-tiles","Product")</f>
        <v/>
      </c>
      <c r="B241" s="1" t="inlineStr">
        <is>
          <t>38603</t>
        </is>
      </c>
      <c r="C241" s="1" t="inlineStr">
        <is>
          <t>Mixx Concrete Oak Wood Tiles</t>
        </is>
      </c>
      <c r="D241" s="1" t="inlineStr">
        <is>
          <t>200x100x7mm</t>
        </is>
      </c>
      <c r="E241" s="1" t="n">
        <v>23.99</v>
      </c>
      <c r="F241" s="1" t="n">
        <v>0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Matt</t>
        </is>
      </c>
      <c r="J241" t="n">
        <v>98</v>
      </c>
      <c r="K241" t="n">
        <v>98</v>
      </c>
      <c r="L241" t="n">
        <v>98</v>
      </c>
    </row>
    <row r="242">
      <c r="A242" s="1">
        <f>Hyperlink("https://www.wallsandfloors.co.uk/prismatics-satin-natural-black-white-tiles-shark-satin-small-prs15-tiles","Product")</f>
        <v/>
      </c>
      <c r="B242" s="1" t="inlineStr">
        <is>
          <t>1441</t>
        </is>
      </c>
      <c r="C242" s="1" t="inlineStr">
        <is>
          <t>Shark Satin Small (PRS15) Tiles</t>
        </is>
      </c>
      <c r="D242" s="1" t="inlineStr">
        <is>
          <t>100x100x6.5mm</t>
        </is>
      </c>
      <c r="E242" s="1" t="n">
        <v>44.95</v>
      </c>
      <c r="F242" s="1" t="n">
        <v>0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Matt</t>
        </is>
      </c>
      <c r="J242" t="n">
        <v>77</v>
      </c>
      <c r="K242" t="n">
        <v>77</v>
      </c>
      <c r="L242" t="n">
        <v>77</v>
      </c>
    </row>
    <row r="243">
      <c r="A243" s="1">
        <f>Hyperlink("https://www.wallsandfloors.co.uk/modish-tiles-eggshell-white-matt-tiles","Product")</f>
        <v/>
      </c>
      <c r="B243" s="1" t="inlineStr">
        <is>
          <t>13758</t>
        </is>
      </c>
      <c r="C243" s="1" t="inlineStr">
        <is>
          <t>EggShell White Matt Tiles</t>
        </is>
      </c>
      <c r="D243" s="1" t="inlineStr">
        <is>
          <t>500x250x8mm</t>
        </is>
      </c>
      <c r="E243" s="1" t="n">
        <v>15.95</v>
      </c>
      <c r="F243" s="1" t="n">
        <v>0</v>
      </c>
      <c r="G243" s="1" t="inlineStr">
        <is>
          <t>SQM</t>
        </is>
      </c>
      <c r="H243" s="1" t="inlineStr">
        <is>
          <t>Ceramic</t>
        </is>
      </c>
      <c r="I243" s="1" t="inlineStr">
        <is>
          <t>Matt</t>
        </is>
      </c>
      <c r="J243" t="n">
        <v>199</v>
      </c>
      <c r="K243" t="n">
        <v>199</v>
      </c>
      <c r="L243" t="n">
        <v>199</v>
      </c>
    </row>
    <row r="244">
      <c r="A244" s="1">
        <f>Hyperlink("https://www.wallsandfloors.co.uk/prismatics-satin-natural-black-white-tiles-black-satin-medium-prs13-tiles","Product")</f>
        <v/>
      </c>
      <c r="B244" s="1" t="inlineStr">
        <is>
          <t>4593</t>
        </is>
      </c>
      <c r="C244" s="1" t="inlineStr">
        <is>
          <t>Prismatics Satin PRS13 Black Wall Tiles</t>
        </is>
      </c>
      <c r="D244" s="1" t="inlineStr">
        <is>
          <t>150x150x6.5mm</t>
        </is>
      </c>
      <c r="E244" s="1" t="n">
        <v>41.12</v>
      </c>
      <c r="F244" s="1" t="n">
        <v>0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Matt</t>
        </is>
      </c>
      <c r="J244" t="inlineStr">
        <is>
          <t>Out of Stock</t>
        </is>
      </c>
      <c r="K244" t="inlineStr">
        <is>
          <t>Out of Stock</t>
        </is>
      </c>
      <c r="L244" t="inlineStr">
        <is>
          <t>Out of Stock</t>
        </is>
      </c>
    </row>
    <row r="245">
      <c r="A245" s="1">
        <f>Hyperlink("https://www.wallsandfloors.co.uk/prismatics-micros-tiles-white-shark-medium-prm57-tiles","Product")</f>
        <v/>
      </c>
      <c r="B245" s="1" t="inlineStr">
        <is>
          <t>1447</t>
        </is>
      </c>
      <c r="C245" s="1" t="inlineStr">
        <is>
          <t>Prismatics Gloss PRM57 Speckled Shark White Wall Tiles</t>
        </is>
      </c>
      <c r="D245" s="1" t="inlineStr">
        <is>
          <t>150x150x6.5mm</t>
        </is>
      </c>
      <c r="E245" s="1" t="n">
        <v>26.25</v>
      </c>
      <c r="F245" s="1" t="n">
        <v>0</v>
      </c>
      <c r="G245" s="1" t="inlineStr">
        <is>
          <t>SQM</t>
        </is>
      </c>
      <c r="H245" s="1" t="inlineStr">
        <is>
          <t>Ceramic</t>
        </is>
      </c>
      <c r="I245" s="1" t="inlineStr">
        <is>
          <t>-</t>
        </is>
      </c>
      <c r="J245" t="inlineStr">
        <is>
          <t>In Stock</t>
        </is>
      </c>
      <c r="K245" t="inlineStr"/>
      <c r="L245" t="inlineStr">
        <is>
          <t>In Stock</t>
        </is>
      </c>
    </row>
    <row r="246">
      <c r="A246" s="1">
        <f>Hyperlink("https://www.wallsandfloors.co.uk/modish-tiles-steel-grey-matt-tiles","Product")</f>
        <v/>
      </c>
      <c r="B246" s="1" t="inlineStr">
        <is>
          <t>13753</t>
        </is>
      </c>
      <c r="C246" s="1" t="inlineStr">
        <is>
          <t>Steel Grey Matt Tiles</t>
        </is>
      </c>
      <c r="D246" s="1" t="inlineStr">
        <is>
          <t>500x250x8mm</t>
        </is>
      </c>
      <c r="E246" s="1" t="n">
        <v>10.95</v>
      </c>
      <c r="F246" s="1" t="n">
        <v>0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Matt</t>
        </is>
      </c>
      <c r="J246" t="n">
        <v>128</v>
      </c>
      <c r="K246" t="inlineStr"/>
      <c r="L246" t="n">
        <v>128</v>
      </c>
    </row>
    <row r="247">
      <c r="A247" s="1">
        <f>Hyperlink("https://www.wallsandfloors.co.uk/prismatics-gloss-red-mauve-tiles-victorian-maroon-medium-prv4-tiles","Product")</f>
        <v/>
      </c>
      <c r="B247" s="1" t="inlineStr">
        <is>
          <t>5322</t>
        </is>
      </c>
      <c r="C247" s="1" t="inlineStr">
        <is>
          <t>Prismatics Gloss PRV4 Victorian Maroon Wall Tiles</t>
        </is>
      </c>
      <c r="D247" s="1" t="inlineStr">
        <is>
          <t>150x150x6.5mm</t>
        </is>
      </c>
      <c r="E247" s="1" t="n">
        <v>44.95</v>
      </c>
      <c r="F247" s="1" t="n">
        <v>0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Gloss</t>
        </is>
      </c>
      <c r="J247" t="inlineStr">
        <is>
          <t>In Stock</t>
        </is>
      </c>
      <c r="K247" t="inlineStr">
        <is>
          <t>In Stock</t>
        </is>
      </c>
      <c r="L247" t="inlineStr">
        <is>
          <t>In Stock</t>
        </is>
      </c>
    </row>
    <row r="248">
      <c r="A248" s="1">
        <f>Hyperlink("https://www.wallsandfloors.co.uk/moon-shimmer-white-tiles","Product")</f>
        <v/>
      </c>
      <c r="B248" s="1" t="inlineStr">
        <is>
          <t>37276</t>
        </is>
      </c>
      <c r="C248" s="1" t="inlineStr">
        <is>
          <t>Crystal Moon White Split Face Tiles</t>
        </is>
      </c>
      <c r="D248" s="1" t="inlineStr">
        <is>
          <t>300x150x6-12mm</t>
        </is>
      </c>
      <c r="E248" s="1" t="n">
        <v>54.95</v>
      </c>
      <c r="F248" s="1" t="n">
        <v>0</v>
      </c>
      <c r="G248" s="1" t="inlineStr">
        <is>
          <t>SQM</t>
        </is>
      </c>
      <c r="H248" s="1" t="inlineStr">
        <is>
          <t>Quartzite</t>
        </is>
      </c>
      <c r="I248" s="1" t="inlineStr">
        <is>
          <t>Matt</t>
        </is>
      </c>
      <c r="J248" t="n">
        <v>168</v>
      </c>
      <c r="K248" t="n">
        <v>168</v>
      </c>
      <c r="L248" t="n">
        <v>171</v>
      </c>
    </row>
    <row r="249">
      <c r="A249" s="1">
        <f>Hyperlink("https://www.wallsandfloors.co.uk/mini-metro-150x75-tiles-knightsbridge-blue-tiles","Product")</f>
        <v/>
      </c>
      <c r="B249" s="1" t="inlineStr">
        <is>
          <t>8393</t>
        </is>
      </c>
      <c r="C249" s="1" t="inlineStr">
        <is>
          <t>Knightsbridge Gloss Blue Gloss Mini Metro Tiles</t>
        </is>
      </c>
      <c r="D249" s="1" t="inlineStr">
        <is>
          <t>150x75x7mm</t>
        </is>
      </c>
      <c r="E249" s="1" t="n">
        <v>25.95</v>
      </c>
      <c r="F249" s="1" t="n">
        <v>0</v>
      </c>
      <c r="G249" s="1" t="inlineStr">
        <is>
          <t>SQM</t>
        </is>
      </c>
      <c r="H249" s="1" t="inlineStr">
        <is>
          <t>Ceramic</t>
        </is>
      </c>
      <c r="I249" s="1" t="inlineStr">
        <is>
          <t>Gloss</t>
        </is>
      </c>
      <c r="J249" t="n">
        <v>77</v>
      </c>
      <c r="K249" t="inlineStr"/>
      <c r="L249" t="n">
        <v>77</v>
      </c>
    </row>
    <row r="250">
      <c r="A250" s="1">
        <f>Hyperlink("https://www.wallsandfloors.co.uk/pvc-eco-trim-13mmx12mm-white-trim","Product")</f>
        <v/>
      </c>
      <c r="B250" s="1" t="inlineStr">
        <is>
          <t>40206</t>
        </is>
      </c>
      <c r="C250" s="1" t="inlineStr">
        <is>
          <t>12mm PVC Eco 2.5m White Trim</t>
        </is>
      </c>
      <c r="D250" s="1" t="inlineStr">
        <is>
          <t>2.5mx12mm</t>
        </is>
      </c>
      <c r="E250" s="1" t="n">
        <v>3.99</v>
      </c>
      <c r="F250" s="1" t="n">
        <v>0</v>
      </c>
      <c r="G250" s="1" t="inlineStr">
        <is>
          <t>Unit</t>
        </is>
      </c>
      <c r="H250" s="1" t="inlineStr">
        <is>
          <t>Accessories</t>
        </is>
      </c>
      <c r="I250" s="1" t="inlineStr">
        <is>
          <t>-</t>
        </is>
      </c>
      <c r="J250" t="inlineStr"/>
      <c r="K250" t="inlineStr"/>
      <c r="L250" t="n">
        <v>682</v>
      </c>
    </row>
    <row r="251">
      <c r="A251" s="1">
        <f>Hyperlink("https://www.wallsandfloors.co.uk/mini-metro-150x75-tiles-hatton-cross-blue-tile","Product")</f>
        <v/>
      </c>
      <c r="B251" s="1" t="inlineStr">
        <is>
          <t>12231</t>
        </is>
      </c>
      <c r="C251" s="1" t="inlineStr">
        <is>
          <t>Hatton Cross Gloss Blue Mini Metro Tiles</t>
        </is>
      </c>
      <c r="D251" s="1" t="inlineStr">
        <is>
          <t>150x75x7mm</t>
        </is>
      </c>
      <c r="E251" s="1" t="n">
        <v>25.95</v>
      </c>
      <c r="F251" s="1" t="n">
        <v>0</v>
      </c>
      <c r="G251" s="1" t="inlineStr">
        <is>
          <t>SQM</t>
        </is>
      </c>
      <c r="H251" s="1" t="inlineStr">
        <is>
          <t>Ceramic</t>
        </is>
      </c>
      <c r="I251" s="1" t="inlineStr">
        <is>
          <t>Gloss</t>
        </is>
      </c>
      <c r="J251" t="n">
        <v>73</v>
      </c>
      <c r="K251" t="n">
        <v>73</v>
      </c>
      <c r="L251" t="n">
        <v>73</v>
      </c>
    </row>
    <row r="252">
      <c r="A252" s="1">
        <f>Hyperlink("https://www.wallsandfloors.co.uk/mini-metro-150x75-tiles-greenwich-park-sage-tiles","Product")</f>
        <v/>
      </c>
      <c r="B252" s="1" t="inlineStr">
        <is>
          <t>12230</t>
        </is>
      </c>
      <c r="C252" s="1" t="inlineStr">
        <is>
          <t>Greenwich Park Gloss Green Mini Metro Tiles</t>
        </is>
      </c>
      <c r="D252" s="1" t="inlineStr">
        <is>
          <t>150x75x7mm</t>
        </is>
      </c>
      <c r="E252" s="1" t="n">
        <v>25.95</v>
      </c>
      <c r="F252" s="1" t="n">
        <v>0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Gloss</t>
        </is>
      </c>
      <c r="J252" t="inlineStr"/>
      <c r="K252" t="n">
        <v>134</v>
      </c>
      <c r="L252" t="n">
        <v>134</v>
      </c>
    </row>
    <row r="253">
      <c r="A253" s="1">
        <f>Hyperlink("https://www.wallsandfloors.co.uk/raffinato-lilla-marble-effect-tiles-white-carrara-marble-effect-floor-tiles","Product")</f>
        <v/>
      </c>
      <c r="B253" s="1" t="inlineStr">
        <is>
          <t>15228</t>
        </is>
      </c>
      <c r="C253" s="1" t="inlineStr">
        <is>
          <t>White Carrara Marble Effect Ceramic Floor Tiles</t>
        </is>
      </c>
      <c r="D253" s="1" t="inlineStr">
        <is>
          <t>450x450x9mm</t>
        </is>
      </c>
      <c r="E253" s="1" t="n">
        <v>13.95</v>
      </c>
      <c r="F253" s="1" t="n">
        <v>0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n">
        <v>333</v>
      </c>
      <c r="K253" t="inlineStr"/>
      <c r="L253" t="n">
        <v>333</v>
      </c>
    </row>
    <row r="254">
      <c r="A254" s="1">
        <f>Hyperlink("https://www.wallsandfloors.co.uk/quartzite-mosaic-tiles-green-brick-tiles","Product")</f>
        <v/>
      </c>
      <c r="B254" s="1" t="inlineStr">
        <is>
          <t>8566</t>
        </is>
      </c>
      <c r="C254" s="1" t="inlineStr">
        <is>
          <t>Quartzite Green Brick Mosaic Tiles</t>
        </is>
      </c>
      <c r="D254" s="1" t="inlineStr">
        <is>
          <t>300x300x5mm</t>
        </is>
      </c>
      <c r="E254" s="1" t="n">
        <v>2.7</v>
      </c>
      <c r="F254" s="1" t="n">
        <v>0</v>
      </c>
      <c r="G254" s="1" t="inlineStr">
        <is>
          <t>Sheet</t>
        </is>
      </c>
      <c r="H254" s="1" t="inlineStr">
        <is>
          <t>Quartzite</t>
        </is>
      </c>
      <c r="I254" s="1" t="inlineStr">
        <is>
          <t>Matt</t>
        </is>
      </c>
      <c r="J254" t="n">
        <v>3</v>
      </c>
      <c r="K254" t="n">
        <v>3</v>
      </c>
      <c r="L254" t="n">
        <v>3</v>
      </c>
    </row>
    <row r="255">
      <c r="A255" s="1">
        <f>Hyperlink("https://www.wallsandfloors.co.uk/mimosa-marble-calacatta-white-gold-60x60-tiles","Product")</f>
        <v/>
      </c>
      <c r="B255" s="1" t="inlineStr">
        <is>
          <t>38475</t>
        </is>
      </c>
      <c r="C255" s="1" t="inlineStr">
        <is>
          <t>Mimosa Marble Calacatta White Gold Tiles</t>
        </is>
      </c>
      <c r="D255" s="1" t="inlineStr">
        <is>
          <t>600x600x10mm</t>
        </is>
      </c>
      <c r="E255" s="1" t="n">
        <v>59.95</v>
      </c>
      <c r="F255" s="1" t="n">
        <v>0</v>
      </c>
      <c r="G255" s="1" t="inlineStr">
        <is>
          <t>SQM</t>
        </is>
      </c>
      <c r="H255" s="1" t="inlineStr">
        <is>
          <t>Porcelain</t>
        </is>
      </c>
      <c r="I255" s="1" t="inlineStr">
        <is>
          <t>Polished</t>
        </is>
      </c>
      <c r="J255" t="n">
        <v>174</v>
      </c>
      <c r="K255" t="n">
        <v>174</v>
      </c>
      <c r="L255" t="n">
        <v>174</v>
      </c>
    </row>
    <row r="256">
      <c r="A256" s="1">
        <f>Hyperlink("https://www.wallsandfloors.co.uk/mimosa-marble-valley-white-gold-120x60-tiles","Product")</f>
        <v/>
      </c>
      <c r="B256" s="1" t="inlineStr">
        <is>
          <t>38476</t>
        </is>
      </c>
      <c r="C256" s="1" t="inlineStr">
        <is>
          <t>Mimosa Marble Valley White Gold Tiles</t>
        </is>
      </c>
      <c r="D256" s="1" t="inlineStr">
        <is>
          <t>1200x600x10mm</t>
        </is>
      </c>
      <c r="E256" s="1" t="n">
        <v>64.95</v>
      </c>
      <c r="F256" s="1" t="n">
        <v>0</v>
      </c>
      <c r="G256" s="1" t="inlineStr">
        <is>
          <t>SQM</t>
        </is>
      </c>
      <c r="H256" s="1" t="inlineStr">
        <is>
          <t>Porcelain</t>
        </is>
      </c>
      <c r="I256" s="1" t="inlineStr">
        <is>
          <t>Polished</t>
        </is>
      </c>
      <c r="J256" t="inlineStr"/>
      <c r="K256" t="inlineStr">
        <is>
          <t>In Stock</t>
        </is>
      </c>
      <c r="L256" t="inlineStr">
        <is>
          <t>In Stock</t>
        </is>
      </c>
    </row>
    <row r="257">
      <c r="A257" s="1">
        <f>Hyperlink("https://www.wallsandfloors.co.uk/quarry-red-tiles-round-edge-smooth-quarry-tiles","Product")</f>
        <v/>
      </c>
      <c r="B257" s="1" t="inlineStr">
        <is>
          <t>11490</t>
        </is>
      </c>
      <c r="C257" s="1" t="inlineStr">
        <is>
          <t>Round Edge Smooth Quarry Tiles</t>
        </is>
      </c>
      <c r="D257" s="1" t="inlineStr">
        <is>
          <t>150x150x6mm</t>
        </is>
      </c>
      <c r="E257" s="1" t="n">
        <v>3.95</v>
      </c>
      <c r="F257" s="1" t="n">
        <v>0</v>
      </c>
      <c r="G257" s="1" t="inlineStr">
        <is>
          <t>Tile</t>
        </is>
      </c>
      <c r="H257" s="1" t="inlineStr">
        <is>
          <t>Clay</t>
        </is>
      </c>
      <c r="I257" s="1" t="inlineStr">
        <is>
          <t>Matt</t>
        </is>
      </c>
      <c r="J257" t="inlineStr">
        <is>
          <t>In Stock</t>
        </is>
      </c>
      <c r="K257" t="inlineStr">
        <is>
          <t>In Stock</t>
        </is>
      </c>
      <c r="L257" t="inlineStr">
        <is>
          <t>In Stock</t>
        </is>
      </c>
    </row>
    <row r="258">
      <c r="A258" s="1">
        <f>Hyperlink("https://www.wallsandfloors.co.uk/quarry-red-tiles-rex-corner-smooth-quarry-tiles","Product")</f>
        <v/>
      </c>
      <c r="B258" s="1" t="inlineStr">
        <is>
          <t>11491</t>
        </is>
      </c>
      <c r="C258" s="1" t="inlineStr">
        <is>
          <t>REX Corner Smooth Quarry Tiles</t>
        </is>
      </c>
      <c r="D258" s="1" t="inlineStr">
        <is>
          <t>150x150x6mm</t>
        </is>
      </c>
      <c r="E258" s="1" t="n">
        <v>4.95</v>
      </c>
      <c r="F258" s="1" t="n">
        <v>0</v>
      </c>
      <c r="G258" s="1" t="inlineStr">
        <is>
          <t>Tile</t>
        </is>
      </c>
      <c r="H258" s="1" t="inlineStr">
        <is>
          <t>Clay</t>
        </is>
      </c>
      <c r="I258" s="1" t="inlineStr">
        <is>
          <t>Matt</t>
        </is>
      </c>
      <c r="J258" t="inlineStr">
        <is>
          <t>In Stock</t>
        </is>
      </c>
      <c r="K258" t="inlineStr">
        <is>
          <t>In Stock</t>
        </is>
      </c>
      <c r="L258" t="inlineStr">
        <is>
          <t>In Stock</t>
        </is>
      </c>
    </row>
    <row r="259">
      <c r="A259" s="1">
        <f>Hyperlink("https://www.wallsandfloors.co.uk/mimosa-marble-valley-white-gold-60x60-tiles","Product")</f>
        <v/>
      </c>
      <c r="B259" s="1" t="inlineStr">
        <is>
          <t>38477</t>
        </is>
      </c>
      <c r="C259" s="1" t="inlineStr">
        <is>
          <t>Mimosa Marble Valley White Gold Tiles</t>
        </is>
      </c>
      <c r="D259" s="1" t="inlineStr">
        <is>
          <t>600x600x10mm</t>
        </is>
      </c>
      <c r="E259" s="1" t="n">
        <v>59.95</v>
      </c>
      <c r="F259" s="1" t="n">
        <v>0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Polished</t>
        </is>
      </c>
      <c r="J259" t="inlineStr"/>
      <c r="K259" t="inlineStr"/>
      <c r="L259" t="n">
        <v>184</v>
      </c>
    </row>
    <row r="260">
      <c r="A260" s="1">
        <f>Hyperlink("https://www.wallsandfloors.co.uk/mineral-grey-limestone-effect-mosaic-tiles","Product")</f>
        <v/>
      </c>
      <c r="B260" s="1" t="inlineStr">
        <is>
          <t>42613</t>
        </is>
      </c>
      <c r="C260" s="1" t="inlineStr">
        <is>
          <t>Nantlle Valley Mineral Grey Limestone Effect Mosaic Tiles</t>
        </is>
      </c>
      <c r="D260" s="1" t="inlineStr">
        <is>
          <t>300x300x10.3mm</t>
        </is>
      </c>
      <c r="E260" s="1" t="n">
        <v>9.949999999999999</v>
      </c>
      <c r="F260" s="1" t="n">
        <v>0</v>
      </c>
      <c r="G260" s="1" t="inlineStr">
        <is>
          <t>Sheet</t>
        </is>
      </c>
      <c r="H260" s="1" t="inlineStr">
        <is>
          <t>Porcelain</t>
        </is>
      </c>
      <c r="I260" s="1" t="inlineStr">
        <is>
          <t>Matt</t>
        </is>
      </c>
      <c r="J260" t="inlineStr"/>
      <c r="K260" t="inlineStr"/>
      <c r="L260" t="inlineStr">
        <is>
          <t>In Stock</t>
        </is>
      </c>
    </row>
    <row r="261">
      <c r="A261" s="1">
        <f>Hyperlink("https://www.wallsandfloors.co.uk/raku-black-tiles","Product")</f>
        <v/>
      </c>
      <c r="B261" s="1" t="inlineStr">
        <is>
          <t>44471</t>
        </is>
      </c>
      <c r="C261" s="1" t="inlineStr">
        <is>
          <t>Raku Black Tiles</t>
        </is>
      </c>
      <c r="D261" s="1" t="inlineStr">
        <is>
          <t>400x200x10.3mm</t>
        </is>
      </c>
      <c r="E261" s="1" t="n">
        <v>33.95</v>
      </c>
      <c r="F261" s="1" t="n">
        <v>0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Matt</t>
        </is>
      </c>
      <c r="J261" t="inlineStr"/>
      <c r="K261" t="inlineStr">
        <is>
          <t>In Stock</t>
        </is>
      </c>
      <c r="L261" t="inlineStr">
        <is>
          <t>In Stock</t>
        </is>
      </c>
    </row>
    <row r="262">
      <c r="A262" s="1">
        <f>Hyperlink("https://www.wallsandfloors.co.uk/quarry-red-tiles-red-plain-flat-brick-quarry-tiles","Product")</f>
        <v/>
      </c>
      <c r="B262" s="1" t="inlineStr">
        <is>
          <t>14594</t>
        </is>
      </c>
      <c r="C262" s="1" t="inlineStr">
        <is>
          <t>Red Plain Flat Brick Quarry Tiles</t>
        </is>
      </c>
      <c r="D262" s="1" t="inlineStr">
        <is>
          <t>200x100x6mm</t>
        </is>
      </c>
      <c r="E262" s="1" t="n">
        <v>17.95</v>
      </c>
      <c r="F262" s="1" t="n">
        <v>0</v>
      </c>
      <c r="G262" s="1" t="inlineStr">
        <is>
          <t>SQM</t>
        </is>
      </c>
      <c r="H262" s="1" t="inlineStr">
        <is>
          <t>Clay</t>
        </is>
      </c>
      <c r="I262" s="1" t="inlineStr">
        <is>
          <t>Matt</t>
        </is>
      </c>
      <c r="J262" t="n">
        <v>211</v>
      </c>
      <c r="K262" t="inlineStr"/>
      <c r="L262" t="n">
        <v>211</v>
      </c>
    </row>
    <row r="263">
      <c r="A263" s="1">
        <f>Hyperlink("https://www.wallsandfloors.co.uk/mingle-brick-sass-tiles","Product")</f>
        <v/>
      </c>
      <c r="B263" s="1" t="inlineStr">
        <is>
          <t>37749</t>
        </is>
      </c>
      <c r="C263" s="1" t="inlineStr">
        <is>
          <t>Mingle Brick Sass Mix Tiles</t>
        </is>
      </c>
      <c r="D263" s="1" t="inlineStr">
        <is>
          <t>200x100x5mm</t>
        </is>
      </c>
      <c r="E263" s="1" t="n">
        <v>30.95</v>
      </c>
      <c r="F263" s="1" t="n">
        <v>0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inlineStr"/>
      <c r="K263" t="n">
        <v>62</v>
      </c>
      <c r="L263" t="n">
        <v>62</v>
      </c>
    </row>
    <row r="264">
      <c r="A264" s="1">
        <f>Hyperlink("https://www.wallsandfloors.co.uk/mini-metro-150x75-tiles-blackfriars-black-tiles","Product")</f>
        <v/>
      </c>
      <c r="B264" s="1" t="inlineStr">
        <is>
          <t>8378</t>
        </is>
      </c>
      <c r="C264" s="1" t="inlineStr">
        <is>
          <t>Blackfriars Gloss Black Metro Tiles</t>
        </is>
      </c>
      <c r="D264" s="1" t="inlineStr">
        <is>
          <t>150x75x7mm</t>
        </is>
      </c>
      <c r="E264" s="1" t="n">
        <v>25.95</v>
      </c>
      <c r="F264" s="1" t="n">
        <v>0</v>
      </c>
      <c r="G264" s="1" t="inlineStr">
        <is>
          <t>SQM</t>
        </is>
      </c>
      <c r="H264" s="1" t="inlineStr">
        <is>
          <t>Ceramic</t>
        </is>
      </c>
      <c r="I264" s="1" t="inlineStr">
        <is>
          <t>Gloss</t>
        </is>
      </c>
      <c r="J264" t="inlineStr">
        <is>
          <t>In Stock</t>
        </is>
      </c>
      <c r="K264" t="inlineStr">
        <is>
          <t>In Stock</t>
        </is>
      </c>
      <c r="L264" t="inlineStr">
        <is>
          <t>In Stock</t>
        </is>
      </c>
    </row>
    <row r="265">
      <c r="A265" s="1">
        <f>Hyperlink("https://www.wallsandfloors.co.uk/mini-metro-150x75-tiles-canons-park-dark-metallic-tiles","Product")</f>
        <v/>
      </c>
      <c r="B265" s="1" t="inlineStr">
        <is>
          <t>12348</t>
        </is>
      </c>
      <c r="C265" s="1" t="inlineStr">
        <is>
          <t>Canons Park Metallic Gloss Grey Mini Metro Tiles</t>
        </is>
      </c>
      <c r="D265" s="1" t="inlineStr">
        <is>
          <t>150x75x7mm</t>
        </is>
      </c>
      <c r="E265" s="1" t="n">
        <v>30.95</v>
      </c>
      <c r="F265" s="1" t="n">
        <v>0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inlineStr"/>
      <c r="K265" t="inlineStr">
        <is>
          <t>In Stock</t>
        </is>
      </c>
      <c r="L265" t="inlineStr">
        <is>
          <t>In Stock</t>
        </is>
      </c>
    </row>
    <row r="266">
      <c r="A266" s="1">
        <f>Hyperlink("https://www.wallsandfloors.co.uk/quarry-red-tiles-internal-angle-tiles","Product")</f>
        <v/>
      </c>
      <c r="B266" s="1" t="inlineStr">
        <is>
          <t>11488</t>
        </is>
      </c>
      <c r="C266" s="1" t="inlineStr">
        <is>
          <t>Internal Angle Tiles</t>
        </is>
      </c>
      <c r="D266" s="1" t="inlineStr">
        <is>
          <t>150x20x6mm</t>
        </is>
      </c>
      <c r="E266" s="1" t="n">
        <v>4.95</v>
      </c>
      <c r="F266" s="1" t="n">
        <v>0</v>
      </c>
      <c r="G266" s="1" t="inlineStr">
        <is>
          <t>Tile</t>
        </is>
      </c>
      <c r="H266" s="1" t="inlineStr">
        <is>
          <t>Clay</t>
        </is>
      </c>
      <c r="I266" s="1" t="inlineStr">
        <is>
          <t>Matt</t>
        </is>
      </c>
      <c r="J266" t="inlineStr">
        <is>
          <t>In Stock</t>
        </is>
      </c>
      <c r="K266" t="inlineStr">
        <is>
          <t>In Stock</t>
        </is>
      </c>
      <c r="L266" t="inlineStr">
        <is>
          <t>In Stock</t>
        </is>
      </c>
    </row>
    <row r="267">
      <c r="A267" s="1">
        <f>Hyperlink("https://www.wallsandfloors.co.uk/quarry-red-tiles-external-angle-tiles","Product")</f>
        <v/>
      </c>
      <c r="B267" s="1" t="inlineStr">
        <is>
          <t>11486</t>
        </is>
      </c>
      <c r="C267" s="1" t="inlineStr">
        <is>
          <t>External Angle Tiles</t>
        </is>
      </c>
      <c r="D267" s="1" t="inlineStr">
        <is>
          <t>150x35x6mm</t>
        </is>
      </c>
      <c r="E267" s="1" t="n">
        <v>4.95</v>
      </c>
      <c r="F267" s="1" t="n">
        <v>0</v>
      </c>
      <c r="G267" s="1" t="inlineStr">
        <is>
          <t>Tile</t>
        </is>
      </c>
      <c r="H267" s="1" t="inlineStr">
        <is>
          <t>Clay</t>
        </is>
      </c>
      <c r="I267" s="1" t="inlineStr">
        <is>
          <t>Matt</t>
        </is>
      </c>
      <c r="J267" t="inlineStr">
        <is>
          <t>In Stock</t>
        </is>
      </c>
      <c r="K267" t="inlineStr">
        <is>
          <t>In Stock</t>
        </is>
      </c>
      <c r="L267" t="inlineStr">
        <is>
          <t>In Stock</t>
        </is>
      </c>
    </row>
    <row r="268">
      <c r="A268" s="1">
        <f>Hyperlink("https://www.wallsandfloors.co.uk/quarry-red-tiles-cove-skirting-tiles","Product")</f>
        <v/>
      </c>
      <c r="B268" s="1" t="inlineStr">
        <is>
          <t>11485</t>
        </is>
      </c>
      <c r="C268" s="1" t="inlineStr">
        <is>
          <t>Cove/Skirting Tiles</t>
        </is>
      </c>
      <c r="D268" s="1" t="inlineStr">
        <is>
          <t>150x150x6mm</t>
        </is>
      </c>
      <c r="E268" s="1" t="n">
        <v>4.95</v>
      </c>
      <c r="F268" s="1" t="n">
        <v>0</v>
      </c>
      <c r="G268" s="1" t="inlineStr">
        <is>
          <t>Tile</t>
        </is>
      </c>
      <c r="H268" s="1" t="inlineStr">
        <is>
          <t>Clay</t>
        </is>
      </c>
      <c r="I268" s="1" t="inlineStr">
        <is>
          <t>Matt</t>
        </is>
      </c>
      <c r="J268" t="inlineStr"/>
      <c r="K268" t="inlineStr"/>
      <c r="L268" t="inlineStr">
        <is>
          <t>In Stock</t>
        </is>
      </c>
    </row>
    <row r="269">
      <c r="A269" s="1">
        <f>Hyperlink("https://www.wallsandfloors.co.uk/pvc-eco-trim-7mmx6mm-white-trim","Product")</f>
        <v/>
      </c>
      <c r="B269" s="1" t="inlineStr">
        <is>
          <t>40204</t>
        </is>
      </c>
      <c r="C269" s="1" t="inlineStr">
        <is>
          <t>6mm PVC Eco 2.5m White Tile Trim</t>
        </is>
      </c>
      <c r="D269" s="1" t="inlineStr">
        <is>
          <t>7x6mm</t>
        </is>
      </c>
      <c r="E269" s="1" t="n">
        <v>3.99</v>
      </c>
      <c r="F269" s="1" t="n">
        <v>0</v>
      </c>
      <c r="G269" s="1" t="inlineStr">
        <is>
          <t>Unit</t>
        </is>
      </c>
      <c r="H269" s="1" t="inlineStr">
        <is>
          <t>Accessories</t>
        </is>
      </c>
      <c r="I269" s="1" t="inlineStr">
        <is>
          <t>-</t>
        </is>
      </c>
      <c r="J269" t="n">
        <v>577</v>
      </c>
      <c r="K269" t="inlineStr"/>
      <c r="L269" t="n">
        <v>577</v>
      </c>
    </row>
    <row r="270">
      <c r="A270" s="1">
        <f>Hyperlink("https://www.wallsandfloors.co.uk/mini-metro-150x75-tiles-covent-garden-pink-tiles","Product")</f>
        <v/>
      </c>
      <c r="B270" s="1" t="inlineStr">
        <is>
          <t>8388</t>
        </is>
      </c>
      <c r="C270" s="1" t="inlineStr">
        <is>
          <t>Covent Garden Gloss Pink Mini Metro Tiles</t>
        </is>
      </c>
      <c r="D270" s="1" t="inlineStr">
        <is>
          <t>150x75x7mm</t>
        </is>
      </c>
      <c r="E270" s="1" t="n">
        <v>25.95</v>
      </c>
      <c r="F270" s="1" t="n">
        <v>0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Gloss</t>
        </is>
      </c>
      <c r="J270" t="n">
        <v>53</v>
      </c>
      <c r="K270" t="n">
        <v>53</v>
      </c>
      <c r="L270" t="n">
        <v>53</v>
      </c>
    </row>
    <row r="271">
      <c r="A271" s="1">
        <f>Hyperlink("https://www.wallsandfloors.co.uk/mingle-brick-jazz-tiles","Product")</f>
        <v/>
      </c>
      <c r="B271" s="1" t="inlineStr">
        <is>
          <t>37750</t>
        </is>
      </c>
      <c r="C271" s="1" t="inlineStr">
        <is>
          <t>Mingle Brick Jazz Mix Tiles</t>
        </is>
      </c>
      <c r="D271" s="1" t="inlineStr">
        <is>
          <t>200x100x5mm</t>
        </is>
      </c>
      <c r="E271" s="1" t="n">
        <v>30.95</v>
      </c>
      <c r="F271" s="1" t="n">
        <v>0</v>
      </c>
      <c r="G271" s="1" t="inlineStr">
        <is>
          <t>SQM</t>
        </is>
      </c>
      <c r="H271" s="1" t="inlineStr">
        <is>
          <t>Ceramic</t>
        </is>
      </c>
      <c r="I271" s="1" t="inlineStr">
        <is>
          <t>Gloss</t>
        </is>
      </c>
      <c r="J271" t="n">
        <v>171</v>
      </c>
      <c r="K271" t="n">
        <v>171</v>
      </c>
      <c r="L271" t="n">
        <v>171</v>
      </c>
    </row>
    <row r="272">
      <c r="A272" s="1">
        <f>Hyperlink("https://www.wallsandfloors.co.uk/retro-metro-tiles-bevelled-brick-light-grey-gloss-wall-tiles","Product")</f>
        <v/>
      </c>
      <c r="B272" s="1" t="inlineStr">
        <is>
          <t>20253</t>
        </is>
      </c>
      <c r="C272" s="1" t="inlineStr">
        <is>
          <t>Metro Elephant &amp; Castle Grey Gloss Tiles</t>
        </is>
      </c>
      <c r="D272" s="1" t="inlineStr">
        <is>
          <t>200x100x7mm</t>
        </is>
      </c>
      <c r="E272" s="1" t="n">
        <v>18.95</v>
      </c>
      <c r="F272" s="1" t="n">
        <v>0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inlineStr"/>
      <c r="K272" t="n">
        <v>209</v>
      </c>
      <c r="L272" t="n">
        <v>209</v>
      </c>
    </row>
    <row r="273">
      <c r="A273" s="1">
        <f>Hyperlink("https://www.wallsandfloors.co.uk/oasis-tiles-beige-haven-mosaic-tiles","Product")</f>
        <v/>
      </c>
      <c r="B273" s="1" t="inlineStr">
        <is>
          <t>14690</t>
        </is>
      </c>
      <c r="C273" s="1" t="inlineStr">
        <is>
          <t>Oasis Beige Haven Mosaic Tiles</t>
        </is>
      </c>
      <c r="D273" s="1" t="inlineStr">
        <is>
          <t>300x300x10mm</t>
        </is>
      </c>
      <c r="E273" s="1" t="n">
        <v>7.95</v>
      </c>
      <c r="F273" s="1" t="n">
        <v>0</v>
      </c>
      <c r="G273" s="1" t="inlineStr">
        <is>
          <t>Sheet</t>
        </is>
      </c>
      <c r="H273" s="1" t="inlineStr">
        <is>
          <t>Porcelain</t>
        </is>
      </c>
      <c r="I273" s="1" t="inlineStr">
        <is>
          <t>Matt</t>
        </is>
      </c>
      <c r="J273" t="inlineStr">
        <is>
          <t>In Stock</t>
        </is>
      </c>
      <c r="K273" t="inlineStr">
        <is>
          <t>In Stock</t>
        </is>
      </c>
      <c r="L273" t="inlineStr">
        <is>
          <t>In Stock</t>
        </is>
      </c>
    </row>
    <row r="274">
      <c r="A274" s="1">
        <f>Hyperlink("https://www.wallsandfloors.co.uk/metro-smooth-150x75-tiles-victoria-tiles","Product")</f>
        <v/>
      </c>
      <c r="B274" s="1" t="inlineStr">
        <is>
          <t>10727</t>
        </is>
      </c>
      <c r="C274" s="1" t="inlineStr">
        <is>
          <t>Victoria Gloss Cream Mini Metro Tiles</t>
        </is>
      </c>
      <c r="D274" s="1" t="inlineStr">
        <is>
          <t>150x75x7mm</t>
        </is>
      </c>
      <c r="E274" s="1" t="n">
        <v>23.95</v>
      </c>
      <c r="F274" s="1" t="n">
        <v>0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Gloss</t>
        </is>
      </c>
      <c r="J274" t="n">
        <v>106</v>
      </c>
      <c r="K274" t="n">
        <v>106</v>
      </c>
      <c r="L274" t="n">
        <v>106</v>
      </c>
    </row>
    <row r="275">
      <c r="A275" s="1">
        <f>Hyperlink("https://www.wallsandfloors.co.uk/metro-200x100-tiles-covent-garden-rosa-pink-tiles","Product")</f>
        <v/>
      </c>
      <c r="B275" s="1" t="inlineStr">
        <is>
          <t>44290</t>
        </is>
      </c>
      <c r="C275" s="1" t="inlineStr">
        <is>
          <t>Covent Garden Gloss Pink Metro Tiles</t>
        </is>
      </c>
      <c r="D275" s="1" t="inlineStr">
        <is>
          <t>200x100x7mm</t>
        </is>
      </c>
      <c r="E275" s="1" t="n">
        <v>20.95</v>
      </c>
      <c r="F275" s="1" t="n">
        <v>0</v>
      </c>
      <c r="G275" s="1" t="inlineStr"/>
      <c r="H275" s="1" t="inlineStr">
        <is>
          <t>Ceramic</t>
        </is>
      </c>
      <c r="I275" s="1" t="inlineStr">
        <is>
          <t>Gloss</t>
        </is>
      </c>
      <c r="J275" t="inlineStr"/>
      <c r="K275" t="inlineStr">
        <is>
          <t>Out of Stock</t>
        </is>
      </c>
      <c r="L275" t="inlineStr">
        <is>
          <t>Out of Stock</t>
        </is>
      </c>
    </row>
    <row r="276">
      <c r="A276" s="1">
        <f>Hyperlink("https://www.wallsandfloors.co.uk/ritz-sage-gloss-30x10-tiles","Product")</f>
        <v/>
      </c>
      <c r="B276" s="1" t="inlineStr">
        <is>
          <t>43877</t>
        </is>
      </c>
      <c r="C276" s="1" t="inlineStr">
        <is>
          <t>Ritz Sage Gloss Tiles</t>
        </is>
      </c>
      <c r="D276" s="1" t="inlineStr">
        <is>
          <t>300x100x8mm</t>
        </is>
      </c>
      <c r="E276" s="1" t="n">
        <v>38.95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Gloss</t>
        </is>
      </c>
      <c r="J276" t="inlineStr"/>
      <c r="K276" t="inlineStr">
        <is>
          <t>In Stock</t>
        </is>
      </c>
      <c r="L276" t="inlineStr">
        <is>
          <t>In Stock</t>
        </is>
      </c>
    </row>
    <row r="277">
      <c r="A277" s="1">
        <f>Hyperlink("https://www.wallsandfloors.co.uk/ritz-sage-finishing-strip-gloss-tiles","Product")</f>
        <v/>
      </c>
      <c r="B277" s="1" t="inlineStr">
        <is>
          <t>43875</t>
        </is>
      </c>
      <c r="C277" s="1" t="inlineStr">
        <is>
          <t>Ritz Sage Finishing Strip Gloss Tiles</t>
        </is>
      </c>
      <c r="D277" s="1" t="inlineStr">
        <is>
          <t>300x14x10mm</t>
        </is>
      </c>
      <c r="E277" s="1" t="n">
        <v>3.95</v>
      </c>
      <c r="F277" s="1" t="n">
        <v>0</v>
      </c>
      <c r="G277" s="1" t="inlineStr">
        <is>
          <t>Tile</t>
        </is>
      </c>
      <c r="H277" s="1" t="inlineStr">
        <is>
          <t>Ceramic</t>
        </is>
      </c>
      <c r="I277" s="1" t="inlineStr">
        <is>
          <t>Gloss</t>
        </is>
      </c>
      <c r="J277" t="inlineStr">
        <is>
          <t>In Stock</t>
        </is>
      </c>
      <c r="K277" t="inlineStr">
        <is>
          <t>In Stock</t>
        </is>
      </c>
      <c r="L277" t="inlineStr">
        <is>
          <t>In Stock</t>
        </is>
      </c>
    </row>
    <row r="278">
      <c r="A278" s="1">
        <f>Hyperlink("https://www.wallsandfloors.co.uk/metro-200x100-tiles-knightsbridge-blue-tiles","Product")</f>
        <v/>
      </c>
      <c r="B278" s="1" t="inlineStr">
        <is>
          <t>8415</t>
        </is>
      </c>
      <c r="C278" s="1" t="inlineStr">
        <is>
          <t>Metro Knightsbridge Blue Gloss Tiles</t>
        </is>
      </c>
      <c r="D278" s="1" t="inlineStr">
        <is>
          <t>200x100x7mm</t>
        </is>
      </c>
      <c r="E278" s="1" t="n">
        <v>20.95</v>
      </c>
      <c r="F278" s="1" t="n">
        <v>0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Gloss</t>
        </is>
      </c>
      <c r="J278" t="n">
        <v>997</v>
      </c>
      <c r="K278" t="inlineStr"/>
      <c r="L278" t="n">
        <v>997</v>
      </c>
    </row>
    <row r="279">
      <c r="A279" s="1">
        <f>Hyperlink("https://www.wallsandfloors.co.uk/ritz-sage-decor-gloss-30x10-tiles","Product")</f>
        <v/>
      </c>
      <c r="B279" s="1" t="inlineStr">
        <is>
          <t>43998</t>
        </is>
      </c>
      <c r="C279" s="1" t="inlineStr">
        <is>
          <t>Ritz Sage Gloss Decor Tiles</t>
        </is>
      </c>
      <c r="D279" s="1" t="inlineStr">
        <is>
          <t>300x100x8mm</t>
        </is>
      </c>
      <c r="E279" s="1" t="n">
        <v>38.95</v>
      </c>
      <c r="F279" s="1" t="n">
        <v>0</v>
      </c>
      <c r="G279" s="1" t="inlineStr">
        <is>
          <t>SQM</t>
        </is>
      </c>
      <c r="H279" s="1" t="inlineStr">
        <is>
          <t>Ceramic</t>
        </is>
      </c>
      <c r="I279" s="1" t="inlineStr">
        <is>
          <t>Gloss</t>
        </is>
      </c>
      <c r="J279" t="inlineStr">
        <is>
          <t>In Stock</t>
        </is>
      </c>
      <c r="K279" t="inlineStr">
        <is>
          <t>In Stock</t>
        </is>
      </c>
      <c r="L279" t="inlineStr">
        <is>
          <t>In Stock</t>
        </is>
      </c>
    </row>
    <row r="280">
      <c r="A280" s="1">
        <f>Hyperlink("https://www.wallsandfloors.co.uk/ritz-petrol-gloss-30x10-tiles","Product")</f>
        <v/>
      </c>
      <c r="B280" s="1" t="inlineStr">
        <is>
          <t>43849</t>
        </is>
      </c>
      <c r="C280" s="1" t="inlineStr">
        <is>
          <t>Ritz Petrol Gloss Tiles</t>
        </is>
      </c>
      <c r="D280" s="1" t="inlineStr">
        <is>
          <t>300x100x8mm</t>
        </is>
      </c>
      <c r="E280" s="1" t="n">
        <v>38.95</v>
      </c>
      <c r="F280" s="1" t="n">
        <v>0</v>
      </c>
      <c r="G280" s="1" t="inlineStr"/>
      <c r="H280" s="1" t="inlineStr">
        <is>
          <t>Ceramic</t>
        </is>
      </c>
      <c r="I280" s="1" t="inlineStr">
        <is>
          <t>Gloss</t>
        </is>
      </c>
      <c r="J280" t="inlineStr">
        <is>
          <t>In Stock</t>
        </is>
      </c>
      <c r="K280" t="inlineStr">
        <is>
          <t>In Stock</t>
        </is>
      </c>
      <c r="L280" t="inlineStr">
        <is>
          <t>In Stock</t>
        </is>
      </c>
    </row>
    <row r="281">
      <c r="A281" s="1">
        <f>Hyperlink("https://www.wallsandfloors.co.uk/ritz-petrol-finishing-strip-gloss-tiles","Product")</f>
        <v/>
      </c>
      <c r="B281" s="1" t="inlineStr">
        <is>
          <t>44005</t>
        </is>
      </c>
      <c r="C281" s="1" t="inlineStr">
        <is>
          <t>Ritz Petrol Finishing Strip Gloss Tiles</t>
        </is>
      </c>
      <c r="D281" s="1" t="inlineStr">
        <is>
          <t>300x14x10mm</t>
        </is>
      </c>
      <c r="E281" s="1" t="n">
        <v>2.95</v>
      </c>
      <c r="F281" s="1" t="n">
        <v>0</v>
      </c>
      <c r="G281" s="1" t="inlineStr">
        <is>
          <t>Tile</t>
        </is>
      </c>
      <c r="H281" s="1" t="inlineStr">
        <is>
          <t>Ceramic</t>
        </is>
      </c>
      <c r="I281" s="1" t="inlineStr">
        <is>
          <t>Gloss</t>
        </is>
      </c>
      <c r="J281" t="inlineStr"/>
      <c r="K281" t="inlineStr">
        <is>
          <t>Out of Stock</t>
        </is>
      </c>
      <c r="L281" t="inlineStr">
        <is>
          <t>Out of Stock</t>
        </is>
      </c>
    </row>
    <row r="282">
      <c r="A282" s="1">
        <f>Hyperlink("https://www.wallsandfloors.co.uk/ritz-petrol-decor-gloss-tiles","Product")</f>
        <v/>
      </c>
      <c r="B282" s="1" t="inlineStr">
        <is>
          <t>44006</t>
        </is>
      </c>
      <c r="C282" s="1" t="inlineStr">
        <is>
          <t>Ritz Petrol Decor Gloss Tiles</t>
        </is>
      </c>
      <c r="D282" s="1" t="inlineStr">
        <is>
          <t>300x100x8mm</t>
        </is>
      </c>
      <c r="E282" s="1" t="n">
        <v>38.95</v>
      </c>
      <c r="F282" s="1" t="n">
        <v>0</v>
      </c>
      <c r="G282" s="1" t="inlineStr"/>
      <c r="H282" s="1" t="inlineStr">
        <is>
          <t>Ceramic</t>
        </is>
      </c>
      <c r="I282" s="1" t="inlineStr">
        <is>
          <t>Gloss</t>
        </is>
      </c>
      <c r="J282" t="inlineStr">
        <is>
          <t>In Stock</t>
        </is>
      </c>
      <c r="K282" t="inlineStr">
        <is>
          <t>In Stock</t>
        </is>
      </c>
      <c r="L282" t="inlineStr">
        <is>
          <t>In Stock</t>
        </is>
      </c>
    </row>
    <row r="283">
      <c r="A283" s="1">
        <f>Hyperlink("https://www.wallsandfloors.co.uk/ritz-pebble-gloss-30x10-tiles","Product")</f>
        <v/>
      </c>
      <c r="B283" s="1" t="inlineStr">
        <is>
          <t>44001</t>
        </is>
      </c>
      <c r="C283" s="1" t="inlineStr">
        <is>
          <t>Ritz Pebble Gloss Tiles</t>
        </is>
      </c>
      <c r="D283" s="1" t="inlineStr">
        <is>
          <t>300x100x8mm</t>
        </is>
      </c>
      <c r="E283" s="1" t="n">
        <v>38.95</v>
      </c>
      <c r="F283" s="1" t="n">
        <v>0</v>
      </c>
      <c r="G283" s="1" t="inlineStr"/>
      <c r="H283" s="1" t="inlineStr">
        <is>
          <t>Ceramic</t>
        </is>
      </c>
      <c r="I283" s="1" t="inlineStr">
        <is>
          <t>Gloss</t>
        </is>
      </c>
      <c r="J283" t="inlineStr">
        <is>
          <t>In Stock</t>
        </is>
      </c>
      <c r="K283" t="inlineStr">
        <is>
          <t>In Stock</t>
        </is>
      </c>
      <c r="L283" t="inlineStr">
        <is>
          <t>In Stock</t>
        </is>
      </c>
    </row>
    <row r="284">
      <c r="A284" s="1">
        <f>Hyperlink("https://www.wallsandfloors.co.uk/metro-200x100-tiles-lime-house-green-bevelled-tiles","Product")</f>
        <v/>
      </c>
      <c r="B284" s="1" t="inlineStr">
        <is>
          <t>44548</t>
        </is>
      </c>
      <c r="C284" s="1" t="inlineStr">
        <is>
          <t>Lime House Gloss Green Metro Tiles</t>
        </is>
      </c>
      <c r="D284" s="1" t="inlineStr">
        <is>
          <t>200x100x7mm</t>
        </is>
      </c>
      <c r="E284" s="1" t="n">
        <v>20.95</v>
      </c>
      <c r="F284" s="1" t="n">
        <v>0</v>
      </c>
      <c r="G284" s="1" t="inlineStr"/>
      <c r="H284" s="1" t="inlineStr">
        <is>
          <t>Ceramic</t>
        </is>
      </c>
      <c r="I284" s="1" t="inlineStr">
        <is>
          <t>Gloss</t>
        </is>
      </c>
      <c r="J284" t="inlineStr">
        <is>
          <t>In Stock</t>
        </is>
      </c>
      <c r="K284" t="inlineStr">
        <is>
          <t>In Stock</t>
        </is>
      </c>
      <c r="L284" t="inlineStr">
        <is>
          <t>In Stock</t>
        </is>
      </c>
    </row>
    <row r="285">
      <c r="A285" s="1">
        <f>Hyperlink("https://www.wallsandfloors.co.uk/ritz-pebble-finishing-strip-gloss-tiles","Product")</f>
        <v/>
      </c>
      <c r="B285" s="1" t="inlineStr">
        <is>
          <t>43996</t>
        </is>
      </c>
      <c r="C285" s="1" t="inlineStr">
        <is>
          <t>Ritz Pebble Finishing Strip Gloss Tiles</t>
        </is>
      </c>
      <c r="D285" s="1" t="inlineStr">
        <is>
          <t>300x14x10mm</t>
        </is>
      </c>
      <c r="E285" s="1" t="n">
        <v>2.95</v>
      </c>
      <c r="F285" s="1" t="n">
        <v>0</v>
      </c>
      <c r="G285" s="1" t="inlineStr">
        <is>
          <t>Tile</t>
        </is>
      </c>
      <c r="H285" s="1" t="inlineStr">
        <is>
          <t>Ceramic</t>
        </is>
      </c>
      <c r="I285" s="1" t="inlineStr">
        <is>
          <t>Gloss</t>
        </is>
      </c>
      <c r="J285" t="inlineStr">
        <is>
          <t>Out of Stock</t>
        </is>
      </c>
      <c r="K285" t="inlineStr"/>
      <c r="L285" t="inlineStr">
        <is>
          <t>Out of Stock</t>
        </is>
      </c>
    </row>
    <row r="286">
      <c r="A286" s="1">
        <f>Hyperlink("https://www.wallsandfloors.co.uk/ritz-pebble-decor-gloss-tiles","Product")</f>
        <v/>
      </c>
      <c r="B286" s="1" t="inlineStr">
        <is>
          <t>44002</t>
        </is>
      </c>
      <c r="C286" s="1" t="inlineStr">
        <is>
          <t>Ritz Pebble Decor Gloss Tiles</t>
        </is>
      </c>
      <c r="D286" s="1" t="inlineStr">
        <is>
          <t>300x100x8mm</t>
        </is>
      </c>
      <c r="E286" s="1" t="n">
        <v>38.95</v>
      </c>
      <c r="F286" s="1" t="n">
        <v>0</v>
      </c>
      <c r="G286" s="1" t="inlineStr">
        <is>
          <t>SQM</t>
        </is>
      </c>
      <c r="H286" s="1" t="inlineStr">
        <is>
          <t>Ceramic</t>
        </is>
      </c>
      <c r="I286" s="1" t="inlineStr">
        <is>
          <t>Gloss</t>
        </is>
      </c>
      <c r="J286" t="inlineStr">
        <is>
          <t>In Stock</t>
        </is>
      </c>
      <c r="K286" t="inlineStr">
        <is>
          <t>In Stock</t>
        </is>
      </c>
      <c r="L286" t="inlineStr">
        <is>
          <t>In Stock</t>
        </is>
      </c>
    </row>
    <row r="287">
      <c r="A287" s="1">
        <f>Hyperlink("https://www.wallsandfloors.co.uk/ritz-natural-mingle-tiles","Product")</f>
        <v/>
      </c>
      <c r="B287" s="1" t="inlineStr">
        <is>
          <t>44013</t>
        </is>
      </c>
      <c r="C287" s="1" t="inlineStr">
        <is>
          <t>Ritz Natural Mingle Tiles</t>
        </is>
      </c>
      <c r="D287" s="1" t="inlineStr">
        <is>
          <t>200x200x8.5mm</t>
        </is>
      </c>
      <c r="E287" s="1" t="n">
        <v>40.95</v>
      </c>
      <c r="F287" s="1" t="n">
        <v>0</v>
      </c>
      <c r="G287" s="1" t="inlineStr">
        <is>
          <t>SQM</t>
        </is>
      </c>
      <c r="H287" s="1" t="inlineStr">
        <is>
          <t>Porcelain</t>
        </is>
      </c>
      <c r="I287" s="1" t="inlineStr">
        <is>
          <t>Matt</t>
        </is>
      </c>
      <c r="J287" t="inlineStr">
        <is>
          <t>In Stock</t>
        </is>
      </c>
      <c r="K287" t="inlineStr">
        <is>
          <t>In Stock</t>
        </is>
      </c>
      <c r="L287" t="inlineStr">
        <is>
          <t>In Stock</t>
        </is>
      </c>
    </row>
    <row r="288">
      <c r="A288" s="1">
        <f>Hyperlink("https://www.wallsandfloors.co.uk/ritz-marine-gloss-30x10-tiles","Product")</f>
        <v/>
      </c>
      <c r="B288" s="1" t="inlineStr">
        <is>
          <t>44009</t>
        </is>
      </c>
      <c r="C288" s="1" t="inlineStr">
        <is>
          <t>Ritz Marine Gloss Tiles</t>
        </is>
      </c>
      <c r="D288" s="1" t="inlineStr">
        <is>
          <t>300x100x8mm</t>
        </is>
      </c>
      <c r="E288" s="1" t="n">
        <v>38.95</v>
      </c>
      <c r="F288" s="1" t="n">
        <v>0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Gloss</t>
        </is>
      </c>
      <c r="J288" t="inlineStr"/>
      <c r="K288" t="inlineStr"/>
      <c r="L288" t="n">
        <v>155</v>
      </c>
    </row>
    <row r="289">
      <c r="A289" s="1">
        <f>Hyperlink("https://www.wallsandfloors.co.uk/ritz-marine-finishing-strip-gloss-tiles","Product")</f>
        <v/>
      </c>
      <c r="B289" s="1" t="inlineStr">
        <is>
          <t>44008</t>
        </is>
      </c>
      <c r="C289" s="1" t="inlineStr">
        <is>
          <t>Ritz Marine Finishing Strip Gloss Tiles</t>
        </is>
      </c>
      <c r="D289" s="1" t="inlineStr">
        <is>
          <t>300x14x10mm</t>
        </is>
      </c>
      <c r="E289" s="1" t="n">
        <v>3.95</v>
      </c>
      <c r="F289" s="1" t="n">
        <v>0</v>
      </c>
      <c r="G289" s="1" t="inlineStr">
        <is>
          <t>Tile</t>
        </is>
      </c>
      <c r="H289" s="1" t="inlineStr">
        <is>
          <t>Ceramic</t>
        </is>
      </c>
      <c r="I289" s="1" t="inlineStr">
        <is>
          <t>Gloss</t>
        </is>
      </c>
      <c r="J289" t="inlineStr">
        <is>
          <t>In Stock</t>
        </is>
      </c>
      <c r="K289" t="inlineStr"/>
      <c r="L289" t="inlineStr">
        <is>
          <t>In Stock</t>
        </is>
      </c>
    </row>
    <row r="290">
      <c r="A290" s="1">
        <f>Hyperlink("https://www.wallsandfloors.co.uk/ritz-marine-decor-gloss-tiles","Product")</f>
        <v/>
      </c>
      <c r="B290" s="1" t="inlineStr">
        <is>
          <t>44010</t>
        </is>
      </c>
      <c r="C290" s="1" t="inlineStr">
        <is>
          <t>Ritz Marine Decor Gloss Tiles</t>
        </is>
      </c>
      <c r="D290" s="1" t="inlineStr">
        <is>
          <t>300x100x8mm</t>
        </is>
      </c>
      <c r="E290" s="1" t="n">
        <v>38.95</v>
      </c>
      <c r="F290" s="1" t="n">
        <v>0</v>
      </c>
      <c r="G290" s="1" t="inlineStr">
        <is>
          <t>SQM</t>
        </is>
      </c>
      <c r="H290" s="1" t="inlineStr">
        <is>
          <t>Ceramic</t>
        </is>
      </c>
      <c r="I290" s="1" t="inlineStr">
        <is>
          <t>Gloss</t>
        </is>
      </c>
      <c r="J290" t="inlineStr">
        <is>
          <t>In Stock</t>
        </is>
      </c>
      <c r="K290" t="inlineStr">
        <is>
          <t>In Stock</t>
        </is>
      </c>
      <c r="L290" t="inlineStr">
        <is>
          <t>In Stock</t>
        </is>
      </c>
    </row>
    <row r="291">
      <c r="A291" s="1">
        <f>Hyperlink("https://www.wallsandfloors.co.uk/ritz-luna-gloss-30x10-tiles","Product")</f>
        <v/>
      </c>
      <c r="B291" s="1" t="inlineStr">
        <is>
          <t>43876</t>
        </is>
      </c>
      <c r="C291" s="1" t="inlineStr">
        <is>
          <t>Ritz Luna Gloss Tiles</t>
        </is>
      </c>
      <c r="D291" s="1" t="inlineStr">
        <is>
          <t>300x100x8mm</t>
        </is>
      </c>
      <c r="E291" s="1" t="n">
        <v>38.95</v>
      </c>
      <c r="F291" s="1" t="n">
        <v>0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inlineStr">
        <is>
          <t>In Stock</t>
        </is>
      </c>
      <c r="K291" t="inlineStr">
        <is>
          <t>In Stock</t>
        </is>
      </c>
      <c r="L291" t="inlineStr">
        <is>
          <t>In Stock</t>
        </is>
      </c>
    </row>
    <row r="292">
      <c r="A292" s="1">
        <f>Hyperlink("https://www.wallsandfloors.co.uk/metro-200x100-tiles-bond-street-blue-tiles","Product")</f>
        <v/>
      </c>
      <c r="B292" s="1" t="inlineStr">
        <is>
          <t>11146</t>
        </is>
      </c>
      <c r="C292" s="1" t="inlineStr">
        <is>
          <t>Metro Bond Street Blue Gloss Tiles</t>
        </is>
      </c>
      <c r="D292" s="1" t="inlineStr">
        <is>
          <t>200x100x7mm</t>
        </is>
      </c>
      <c r="E292" s="1" t="n">
        <v>20.95</v>
      </c>
      <c r="F292" s="1" t="n">
        <v>0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Gloss</t>
        </is>
      </c>
      <c r="J292" t="n">
        <v>266</v>
      </c>
      <c r="K292" t="n">
        <v>266</v>
      </c>
      <c r="L292" t="n">
        <v>266</v>
      </c>
    </row>
    <row r="293">
      <c r="A293" s="1">
        <f>Hyperlink("https://www.wallsandfloors.co.uk/metro-200x100-tiles-aldgate-yellow-tiles","Product")</f>
        <v/>
      </c>
      <c r="B293" s="1" t="inlineStr">
        <is>
          <t>8416</t>
        </is>
      </c>
      <c r="C293" s="1" t="inlineStr">
        <is>
          <t>Metro Aldgate Yellow Gloss Tiles</t>
        </is>
      </c>
      <c r="D293" s="1" t="inlineStr">
        <is>
          <t>200x100x7mm</t>
        </is>
      </c>
      <c r="E293" s="1" t="n">
        <v>20.95</v>
      </c>
      <c r="F293" s="1" t="n">
        <v>0</v>
      </c>
      <c r="G293" s="1" t="inlineStr">
        <is>
          <t>SQM</t>
        </is>
      </c>
      <c r="H293" s="1" t="inlineStr">
        <is>
          <t>Ceramic</t>
        </is>
      </c>
      <c r="I293" s="1" t="inlineStr">
        <is>
          <t>Gloss</t>
        </is>
      </c>
      <c r="J293" t="n">
        <v>82</v>
      </c>
      <c r="K293" t="inlineStr"/>
      <c r="L293" t="n">
        <v>82</v>
      </c>
    </row>
    <row r="294">
      <c r="A294" s="1">
        <f>Hyperlink("https://www.wallsandfloors.co.uk/metallic-bronze-mosaic-4360","Product")</f>
        <v/>
      </c>
      <c r="B294" s="1" t="inlineStr">
        <is>
          <t>4360</t>
        </is>
      </c>
      <c r="C294" s="1" t="inlineStr">
        <is>
          <t>Navarra Metallic Bronze Mosaic Tiles</t>
        </is>
      </c>
      <c r="D294" s="1" t="inlineStr">
        <is>
          <t>300x300x9mm</t>
        </is>
      </c>
      <c r="E294" s="1" t="n">
        <v>19.95</v>
      </c>
      <c r="F294" s="1" t="n">
        <v>0</v>
      </c>
      <c r="G294" s="1" t="inlineStr">
        <is>
          <t>Sheet</t>
        </is>
      </c>
      <c r="H294" s="1" t="inlineStr">
        <is>
          <t>Porcelain</t>
        </is>
      </c>
      <c r="I294" s="1" t="inlineStr">
        <is>
          <t>Satin</t>
        </is>
      </c>
      <c r="J294" t="inlineStr">
        <is>
          <t>In Stock</t>
        </is>
      </c>
      <c r="K294" t="inlineStr"/>
      <c r="L294" t="inlineStr">
        <is>
          <t>In Stock</t>
        </is>
      </c>
    </row>
    <row r="295">
      <c r="A295" s="1">
        <f>Hyperlink("https://www.wallsandfloors.co.uk/ritz-slate-decor-gloss-tiles","Product")</f>
        <v/>
      </c>
      <c r="B295" s="1" t="inlineStr">
        <is>
          <t>44004</t>
        </is>
      </c>
      <c r="C295" s="1" t="inlineStr">
        <is>
          <t>Ritz Slate Decor Gloss Tiles</t>
        </is>
      </c>
      <c r="D295" s="1" t="inlineStr">
        <is>
          <t>300x100x8mm</t>
        </is>
      </c>
      <c r="E295" s="1" t="n">
        <v>38.95</v>
      </c>
      <c r="F295" s="1" t="n">
        <v>0</v>
      </c>
      <c r="G295" s="1" t="inlineStr">
        <is>
          <t>SQM</t>
        </is>
      </c>
      <c r="H295" s="1" t="inlineStr">
        <is>
          <t>Ceramic</t>
        </is>
      </c>
      <c r="I295" s="1" t="inlineStr">
        <is>
          <t>Gloss</t>
        </is>
      </c>
      <c r="J295" t="inlineStr"/>
      <c r="K295" t="inlineStr"/>
      <c r="L295" t="inlineStr">
        <is>
          <t>In Stock</t>
        </is>
      </c>
    </row>
    <row r="296">
      <c r="A296" s="1">
        <f>Hyperlink("https://www.wallsandfloors.co.uk/ritz-tiles-oat-gloss-30x10-tile","Product")</f>
        <v/>
      </c>
      <c r="B296" s="1" t="inlineStr">
        <is>
          <t>12981</t>
        </is>
      </c>
      <c r="C296" s="1" t="inlineStr">
        <is>
          <t>Ritz Oat Gloss Tiles</t>
        </is>
      </c>
      <c r="D296" s="1" t="inlineStr">
        <is>
          <t>300x100x10mm</t>
        </is>
      </c>
      <c r="E296" s="1" t="n">
        <v>37.95</v>
      </c>
      <c r="F296" s="1" t="n">
        <v>0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Gloss</t>
        </is>
      </c>
      <c r="J296" t="inlineStr"/>
      <c r="K296" t="inlineStr">
        <is>
          <t>In Stock</t>
        </is>
      </c>
      <c r="L296" t="inlineStr">
        <is>
          <t>In Stock</t>
        </is>
      </c>
    </row>
    <row r="297">
      <c r="A297" s="1">
        <f>Hyperlink("https://www.wallsandfloors.co.uk/ritz-tiles-oat-gloss-20x10-tile","Product")</f>
        <v/>
      </c>
      <c r="B297" s="1" t="inlineStr">
        <is>
          <t>12980</t>
        </is>
      </c>
      <c r="C297" s="1" t="inlineStr">
        <is>
          <t>Ritz Oat Gloss Tiles</t>
        </is>
      </c>
      <c r="D297" s="1" t="inlineStr">
        <is>
          <t>200x100x6.5mm</t>
        </is>
      </c>
      <c r="E297" s="1" t="n">
        <v>38.95</v>
      </c>
      <c r="F297" s="1" t="n">
        <v>0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Gloss</t>
        </is>
      </c>
      <c r="J297" t="inlineStr">
        <is>
          <t>In Stock</t>
        </is>
      </c>
      <c r="K297" t="inlineStr">
        <is>
          <t>In Stock</t>
        </is>
      </c>
      <c r="L297" t="inlineStr">
        <is>
          <t>In Stock</t>
        </is>
      </c>
    </row>
    <row r="298">
      <c r="A298" s="1">
        <f>Hyperlink("https://www.wallsandfloors.co.uk/ritz-tiles-noir-gloss-decor-tiles","Product")</f>
        <v/>
      </c>
      <c r="B298" s="1" t="inlineStr">
        <is>
          <t>13028</t>
        </is>
      </c>
      <c r="C298" s="1" t="inlineStr">
        <is>
          <t>Noir Gloss Decor Tiles</t>
        </is>
      </c>
      <c r="D298" s="1" t="inlineStr">
        <is>
          <t>300x100x10mm</t>
        </is>
      </c>
      <c r="E298" s="1" t="n">
        <v>37.95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Gloss</t>
        </is>
      </c>
      <c r="J298" t="inlineStr">
        <is>
          <t>Out of Stock</t>
        </is>
      </c>
      <c r="K298" t="inlineStr"/>
      <c r="L298" t="inlineStr">
        <is>
          <t>Out of Stock</t>
        </is>
      </c>
    </row>
    <row r="299">
      <c r="A299" s="1">
        <f>Hyperlink("https://www.wallsandfloors.co.uk/ritz-tiles-noir-gloss-30x10-tiles","Product")</f>
        <v/>
      </c>
      <c r="B299" s="1" t="inlineStr">
        <is>
          <t>13027</t>
        </is>
      </c>
      <c r="C299" s="1" t="inlineStr">
        <is>
          <t>Ritz Noir Gloss Tiles</t>
        </is>
      </c>
      <c r="D299" s="1" t="inlineStr">
        <is>
          <t>300x100x10mm</t>
        </is>
      </c>
      <c r="E299" s="1" t="n">
        <v>38.95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Gloss</t>
        </is>
      </c>
      <c r="J299" t="n">
        <v>60</v>
      </c>
      <c r="K299" t="n">
        <v>60</v>
      </c>
      <c r="L299" t="n">
        <v>60</v>
      </c>
    </row>
    <row r="300">
      <c r="A300" s="1">
        <f>Hyperlink("https://www.wallsandfloors.co.uk/ritz-tiles-noir-gloss-20x10-tiles","Product")</f>
        <v/>
      </c>
      <c r="B300" s="1" t="inlineStr">
        <is>
          <t>13026</t>
        </is>
      </c>
      <c r="C300" s="1" t="inlineStr">
        <is>
          <t>Ritz Noir Gloss Tiles</t>
        </is>
      </c>
      <c r="D300" s="1" t="inlineStr">
        <is>
          <t>200x100x6.5mm</t>
        </is>
      </c>
      <c r="E300" s="1" t="n">
        <v>38.95</v>
      </c>
      <c r="F300" s="1" t="n">
        <v>0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inlineStr"/>
      <c r="K300" t="inlineStr">
        <is>
          <t>In Stock</t>
        </is>
      </c>
      <c r="L300" t="inlineStr">
        <is>
          <t>In Stock</t>
        </is>
      </c>
    </row>
    <row r="301">
      <c r="A301" s="1">
        <f>Hyperlink("https://www.wallsandfloors.co.uk/ritz-tiles-leaf-gloss-decor-tiles","Product")</f>
        <v/>
      </c>
      <c r="B301" s="1" t="inlineStr">
        <is>
          <t>13031</t>
        </is>
      </c>
      <c r="C301" s="1" t="inlineStr">
        <is>
          <t>Leaf Gloss Decor Tiles</t>
        </is>
      </c>
      <c r="D301" s="1" t="inlineStr">
        <is>
          <t>300x100x10mm</t>
        </is>
      </c>
      <c r="E301" s="1" t="n">
        <v>37.95</v>
      </c>
      <c r="F301" s="1" t="n">
        <v>0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Gloss</t>
        </is>
      </c>
      <c r="J301" t="inlineStr">
        <is>
          <t>Out of Stock</t>
        </is>
      </c>
      <c r="K301" t="inlineStr">
        <is>
          <t>Out of Stock</t>
        </is>
      </c>
      <c r="L301" t="inlineStr">
        <is>
          <t>Out of Stock</t>
        </is>
      </c>
    </row>
    <row r="302">
      <c r="A302" s="1">
        <f>Hyperlink("https://www.wallsandfloors.co.uk/ritz-tiles-leaf-gloss-30x10-tiles","Product")</f>
        <v/>
      </c>
      <c r="B302" s="1" t="inlineStr">
        <is>
          <t>13030</t>
        </is>
      </c>
      <c r="C302" s="1" t="inlineStr">
        <is>
          <t>Ritz Leaf Gloss Tiles</t>
        </is>
      </c>
      <c r="D302" s="1" t="inlineStr">
        <is>
          <t>300x100x10mm</t>
        </is>
      </c>
      <c r="E302" s="1" t="n">
        <v>33.95</v>
      </c>
      <c r="F302" s="1" t="n">
        <v>0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Gloss</t>
        </is>
      </c>
      <c r="J302" t="inlineStr">
        <is>
          <t>In Stock</t>
        </is>
      </c>
      <c r="K302" t="inlineStr">
        <is>
          <t>In Stock</t>
        </is>
      </c>
      <c r="L302" t="inlineStr">
        <is>
          <t>In Stock</t>
        </is>
      </c>
    </row>
    <row r="303">
      <c r="A303" s="1">
        <f>Hyperlink("https://www.wallsandfloors.co.uk/ritz-tiles-grain-gloss-decor-tiles","Product")</f>
        <v/>
      </c>
      <c r="B303" s="1" t="inlineStr">
        <is>
          <t>13014</t>
        </is>
      </c>
      <c r="C303" s="1" t="inlineStr">
        <is>
          <t>Grain Gloss Decor Tiles</t>
        </is>
      </c>
      <c r="D303" s="1" t="inlineStr">
        <is>
          <t>300x100x10mm</t>
        </is>
      </c>
      <c r="E303" s="1" t="n">
        <v>38.95</v>
      </c>
      <c r="F303" s="1" t="n">
        <v>0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inlineStr"/>
      <c r="K303" t="inlineStr">
        <is>
          <t>In Stock</t>
        </is>
      </c>
      <c r="L303" t="inlineStr">
        <is>
          <t>In Stock</t>
        </is>
      </c>
    </row>
    <row r="304">
      <c r="A304" s="1">
        <f>Hyperlink("https://www.wallsandfloors.co.uk/ritz-luna-gloss-30x10-decor-tiles","Product")</f>
        <v/>
      </c>
      <c r="B304" s="1" t="inlineStr">
        <is>
          <t>43878</t>
        </is>
      </c>
      <c r="C304" s="1" t="inlineStr">
        <is>
          <t>Ritz Luna Gloss Decor Tiles</t>
        </is>
      </c>
      <c r="D304" s="1" t="inlineStr">
        <is>
          <t>300x100x8mm</t>
        </is>
      </c>
      <c r="E304" s="1" t="n">
        <v>38.95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inlineStr"/>
      <c r="K304" t="inlineStr">
        <is>
          <t>In Stock</t>
        </is>
      </c>
      <c r="L304" t="inlineStr">
        <is>
          <t>In Stock</t>
        </is>
      </c>
    </row>
    <row r="305">
      <c r="A305" s="1">
        <f>Hyperlink("https://www.wallsandfloors.co.uk/memoir-encaustic-effect-tiles-oakham-black-scored-tiles","Product")</f>
        <v/>
      </c>
      <c r="B305" s="1" t="inlineStr">
        <is>
          <t>15385</t>
        </is>
      </c>
      <c r="C305" s="1" t="inlineStr">
        <is>
          <t>Oakham Black Pattern Tiles</t>
        </is>
      </c>
      <c r="D305" s="1" t="inlineStr">
        <is>
          <t>450x450x10mm</t>
        </is>
      </c>
      <c r="E305" s="1" t="n">
        <v>20.95</v>
      </c>
      <c r="F305" s="1" t="n">
        <v>0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Matt</t>
        </is>
      </c>
      <c r="J305" t="n">
        <v>244</v>
      </c>
      <c r="K305" t="n">
        <v>244</v>
      </c>
      <c r="L305" t="n">
        <v>244</v>
      </c>
    </row>
    <row r="306">
      <c r="A306" s="1">
        <f>Hyperlink("https://www.wallsandfloors.co.uk/ritz-tiles-grain-gloss-30x10-tiles","Product")</f>
        <v/>
      </c>
      <c r="B306" s="1" t="inlineStr">
        <is>
          <t>13012</t>
        </is>
      </c>
      <c r="C306" s="1" t="inlineStr">
        <is>
          <t>Ritz Grain Gloss Tiles</t>
        </is>
      </c>
      <c r="D306" s="1" t="inlineStr">
        <is>
          <t>300x100x10mm</t>
        </is>
      </c>
      <c r="E306" s="1" t="n">
        <v>33.95</v>
      </c>
      <c r="F306" s="1" t="n">
        <v>0</v>
      </c>
      <c r="G306" s="1" t="inlineStr">
        <is>
          <t>SQM</t>
        </is>
      </c>
      <c r="H306" s="1" t="inlineStr">
        <is>
          <t>Ceramic</t>
        </is>
      </c>
      <c r="I306" s="1" t="inlineStr">
        <is>
          <t>Gloss</t>
        </is>
      </c>
      <c r="J306" t="inlineStr">
        <is>
          <t>In Stock</t>
        </is>
      </c>
      <c r="K306" t="inlineStr">
        <is>
          <t>In Stock</t>
        </is>
      </c>
      <c r="L306" t="inlineStr">
        <is>
          <t>In Stock</t>
        </is>
      </c>
    </row>
    <row r="307">
      <c r="A307" s="1">
        <f>Hyperlink("https://www.wallsandfloors.co.uk/ritz-tiles-grain-gloss-20x10-tile","Product")</f>
        <v/>
      </c>
      <c r="B307" s="1" t="inlineStr">
        <is>
          <t>12983</t>
        </is>
      </c>
      <c r="C307" s="1" t="inlineStr">
        <is>
          <t>Ritz Grain Gloss Tiles</t>
        </is>
      </c>
      <c r="D307" s="1" t="inlineStr">
        <is>
          <t>200x100x6.5mm</t>
        </is>
      </c>
      <c r="E307" s="1" t="n">
        <v>38.95</v>
      </c>
      <c r="F307" s="1" t="n">
        <v>0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inlineStr">
        <is>
          <t>In Stock</t>
        </is>
      </c>
      <c r="K307" t="inlineStr">
        <is>
          <t>In Stock</t>
        </is>
      </c>
      <c r="L307" t="inlineStr">
        <is>
          <t>In Stock</t>
        </is>
      </c>
    </row>
    <row r="308">
      <c r="A308" s="1">
        <f>Hyperlink("https://www.wallsandfloors.co.uk/ritz-tiles-dew-gloss-decor-tiles","Product")</f>
        <v/>
      </c>
      <c r="B308" s="1" t="inlineStr">
        <is>
          <t>13022</t>
        </is>
      </c>
      <c r="C308" s="1" t="inlineStr">
        <is>
          <t>Dew Gloss Decor Tiles</t>
        </is>
      </c>
      <c r="D308" s="1" t="inlineStr">
        <is>
          <t>300x100x10mm</t>
        </is>
      </c>
      <c r="E308" s="1" t="n">
        <v>37.95</v>
      </c>
      <c r="F308" s="1" t="n">
        <v>0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Gloss</t>
        </is>
      </c>
      <c r="J308" t="inlineStr">
        <is>
          <t>Out of Stock</t>
        </is>
      </c>
      <c r="K308" t="inlineStr"/>
      <c r="L308" t="inlineStr">
        <is>
          <t>Out of Stock</t>
        </is>
      </c>
    </row>
    <row r="309">
      <c r="A309" s="1">
        <f>Hyperlink("https://www.wallsandfloors.co.uk/ritz-tiles-dew-gloss-30x10-tiles","Product")</f>
        <v/>
      </c>
      <c r="B309" s="1" t="inlineStr">
        <is>
          <t>13021</t>
        </is>
      </c>
      <c r="C309" s="1" t="inlineStr">
        <is>
          <t>Ritz Dew Gloss Tiles</t>
        </is>
      </c>
      <c r="D309" s="1" t="inlineStr">
        <is>
          <t>300x100x10mm</t>
        </is>
      </c>
      <c r="E309" s="1" t="n">
        <v>33.95</v>
      </c>
      <c r="F309" s="1" t="n">
        <v>0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Gloss</t>
        </is>
      </c>
      <c r="J309" t="inlineStr">
        <is>
          <t>In Stock</t>
        </is>
      </c>
      <c r="K309" t="inlineStr"/>
      <c r="L309" t="inlineStr">
        <is>
          <t>In Stock</t>
        </is>
      </c>
    </row>
    <row r="310">
      <c r="A310" s="1">
        <f>Hyperlink("https://www.wallsandfloors.co.uk/memoir-encaustic-effect-tiles-penzance-scored-tiles","Product")</f>
        <v/>
      </c>
      <c r="B310" s="1" t="inlineStr">
        <is>
          <t>15384</t>
        </is>
      </c>
      <c r="C310" s="1" t="inlineStr">
        <is>
          <t>Memoir Encaustic Penzance Pattern Tiles</t>
        </is>
      </c>
      <c r="D310" s="1" t="inlineStr">
        <is>
          <t>450x450x10mm</t>
        </is>
      </c>
      <c r="E310" s="1" t="n">
        <v>20.95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Matt</t>
        </is>
      </c>
      <c r="J310" t="inlineStr"/>
      <c r="K310" t="n">
        <v>713</v>
      </c>
      <c r="L310" t="n">
        <v>713</v>
      </c>
    </row>
    <row r="311">
      <c r="A311" s="1">
        <f>Hyperlink("https://www.wallsandfloors.co.uk/metalico-tiles-white-tiles","Product")</f>
        <v/>
      </c>
      <c r="B311" s="1" t="inlineStr">
        <is>
          <t>12607</t>
        </is>
      </c>
      <c r="C311" s="1" t="inlineStr">
        <is>
          <t>Metalico White Linear Tiles</t>
        </is>
      </c>
      <c r="D311" s="1" t="inlineStr">
        <is>
          <t>600x300x8.5mm</t>
        </is>
      </c>
      <c r="E311" s="1" t="n">
        <v>20.95</v>
      </c>
      <c r="F311" s="1" t="n">
        <v>0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Matt</t>
        </is>
      </c>
      <c r="J311" t="inlineStr"/>
      <c r="K311" t="n">
        <v>107</v>
      </c>
      <c r="L311" t="n">
        <v>107</v>
      </c>
    </row>
    <row r="312">
      <c r="A312" s="1">
        <f>Hyperlink("https://www.wallsandfloors.co.uk/ritz-tiles-caraway-gloss-20x10-tiles","Product")</f>
        <v/>
      </c>
      <c r="B312" s="1" t="inlineStr">
        <is>
          <t>13017</t>
        </is>
      </c>
      <c r="C312" s="1" t="inlineStr">
        <is>
          <t>Ritz Caraway Gloss Tiles</t>
        </is>
      </c>
      <c r="D312" s="1" t="inlineStr">
        <is>
          <t>200x100x6.5mm</t>
        </is>
      </c>
      <c r="E312" s="1" t="n">
        <v>32.95</v>
      </c>
      <c r="F312" s="1" t="n">
        <v>0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Gloss</t>
        </is>
      </c>
      <c r="J312" t="inlineStr">
        <is>
          <t>In Stock</t>
        </is>
      </c>
      <c r="K312" t="inlineStr">
        <is>
          <t>In Stock</t>
        </is>
      </c>
      <c r="L312" t="inlineStr">
        <is>
          <t>In Stock</t>
        </is>
      </c>
    </row>
    <row r="313">
      <c r="A313" s="1">
        <f>Hyperlink("https://www.wallsandfloors.co.uk/ritz-slate-gloss-30x10-tiles","Product")</f>
        <v/>
      </c>
      <c r="B313" s="1" t="inlineStr">
        <is>
          <t>44003</t>
        </is>
      </c>
      <c r="C313" s="1" t="inlineStr">
        <is>
          <t>Ritz Slate Gloss Tiles</t>
        </is>
      </c>
      <c r="D313" s="1" t="inlineStr">
        <is>
          <t>300x100x8mm</t>
        </is>
      </c>
      <c r="E313" s="1" t="n">
        <v>38.95</v>
      </c>
      <c r="F313" s="1" t="n">
        <v>0</v>
      </c>
      <c r="G313" s="1" t="inlineStr">
        <is>
          <t>SQM</t>
        </is>
      </c>
      <c r="H313" s="1" t="inlineStr">
        <is>
          <t>Ceramic</t>
        </is>
      </c>
      <c r="I313" s="1" t="inlineStr">
        <is>
          <t>Gloss</t>
        </is>
      </c>
      <c r="J313" t="inlineStr">
        <is>
          <t>In Stock</t>
        </is>
      </c>
      <c r="K313" t="inlineStr">
        <is>
          <t>In Stock</t>
        </is>
      </c>
      <c r="L313" t="inlineStr">
        <is>
          <t>In Stock</t>
        </is>
      </c>
    </row>
    <row r="314">
      <c r="A314" s="1">
        <f>Hyperlink("https://www.wallsandfloors.co.uk/memoir-encaustic-effect-tiles-oakham-grey-scored-tiles","Product")</f>
        <v/>
      </c>
      <c r="B314" s="1" t="inlineStr">
        <is>
          <t>15386</t>
        </is>
      </c>
      <c r="C314" s="1" t="inlineStr">
        <is>
          <t>Oakham Grey Pattern Tiles</t>
        </is>
      </c>
      <c r="D314" s="1" t="inlineStr">
        <is>
          <t>450x450x10mm</t>
        </is>
      </c>
      <c r="E314" s="1" t="n">
        <v>20.95</v>
      </c>
      <c r="F314" s="1" t="n">
        <v>0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Matt</t>
        </is>
      </c>
      <c r="J314" t="n">
        <v>174</v>
      </c>
      <c r="K314" t="n">
        <v>174</v>
      </c>
      <c r="L314" t="n">
        <v>174</v>
      </c>
    </row>
    <row r="315">
      <c r="A315" s="1">
        <f>Hyperlink("https://www.wallsandfloors.co.uk/metro-smooth-200x100-tiles-bond-street-smooth-gloss-blue-tiles","Product")</f>
        <v/>
      </c>
      <c r="B315" s="1" t="inlineStr">
        <is>
          <t>44302</t>
        </is>
      </c>
      <c r="C315" s="1" t="inlineStr">
        <is>
          <t>Bond Street Gloss Blue Flat Metro Tiles</t>
        </is>
      </c>
      <c r="D315" s="1" t="inlineStr">
        <is>
          <t>200x100x7mm</t>
        </is>
      </c>
      <c r="E315" s="1" t="n">
        <v>23.95</v>
      </c>
      <c r="F315" s="1" t="n">
        <v>0</v>
      </c>
      <c r="G315" s="1" t="inlineStr">
        <is>
          <t>SQM</t>
        </is>
      </c>
      <c r="H315" s="1" t="inlineStr">
        <is>
          <t>Ceramic</t>
        </is>
      </c>
      <c r="I315" s="1" t="inlineStr">
        <is>
          <t>Gloss</t>
        </is>
      </c>
      <c r="J315" t="n">
        <v>93</v>
      </c>
      <c r="K315" t="inlineStr"/>
      <c r="L315" t="n">
        <v>93</v>
      </c>
    </row>
    <row r="316">
      <c r="A316" s="1">
        <f>Hyperlink("https://www.wallsandfloors.co.uk/metro-200x100-tiles-lime-house-green-tiles","Product")</f>
        <v/>
      </c>
      <c r="B316" s="1" t="inlineStr">
        <is>
          <t>8411</t>
        </is>
      </c>
      <c r="C316" s="1" t="inlineStr">
        <is>
          <t>Lime House Gloss Green Flat Metro Tiles</t>
        </is>
      </c>
      <c r="D316" s="1" t="inlineStr">
        <is>
          <t>200x100x7mm</t>
        </is>
      </c>
      <c r="E316" s="1" t="n">
        <v>20.95</v>
      </c>
      <c r="F316" s="1" t="n">
        <v>0</v>
      </c>
      <c r="G316" s="1" t="inlineStr">
        <is>
          <t>SQM</t>
        </is>
      </c>
      <c r="H316" s="1" t="inlineStr">
        <is>
          <t>Ceramic</t>
        </is>
      </c>
      <c r="I316" s="1" t="inlineStr">
        <is>
          <t>Gloss</t>
        </is>
      </c>
      <c r="J316" t="inlineStr"/>
      <c r="K316" t="inlineStr"/>
      <c r="L316" t="n">
        <v>73</v>
      </c>
    </row>
    <row r="317">
      <c r="A317" s="1">
        <f>Hyperlink("https://www.wallsandfloors.co.uk/metro-200x100-tiles-sloane-square-grey-tiles","Product")</f>
        <v/>
      </c>
      <c r="B317" s="1" t="inlineStr">
        <is>
          <t>11149</t>
        </is>
      </c>
      <c r="C317" s="1" t="inlineStr">
        <is>
          <t>Sloane Square Gloss Grey Metro Tiles</t>
        </is>
      </c>
      <c r="D317" s="1" t="inlineStr">
        <is>
          <t>200x100x7mm</t>
        </is>
      </c>
      <c r="E317" s="1" t="n">
        <v>20.95</v>
      </c>
      <c r="F317" s="1" t="n">
        <v>0</v>
      </c>
      <c r="G317" s="1" t="inlineStr"/>
      <c r="H317" s="1" t="inlineStr">
        <is>
          <t>Ceramic</t>
        </is>
      </c>
      <c r="I317" s="1" t="inlineStr">
        <is>
          <t>Gloss</t>
        </is>
      </c>
      <c r="J317" t="inlineStr">
        <is>
          <t>Out of Stock</t>
        </is>
      </c>
      <c r="K317" t="inlineStr">
        <is>
          <t>Out of Stock</t>
        </is>
      </c>
      <c r="L317" t="inlineStr">
        <is>
          <t>Out of Stock</t>
        </is>
      </c>
    </row>
    <row r="318">
      <c r="A318" s="1">
        <f>Hyperlink("https://www.wallsandfloors.co.uk/rhian-30x10-tiles-pillar-box-red-gloss-tiles","Product")</f>
        <v/>
      </c>
      <c r="B318" s="1" t="inlineStr">
        <is>
          <t>10609</t>
        </is>
      </c>
      <c r="C318" s="1" t="inlineStr">
        <is>
          <t>Rhian Pillar Box Red Gloss Tiles</t>
        </is>
      </c>
      <c r="D318" s="1" t="inlineStr">
        <is>
          <t>300x100x7mm</t>
        </is>
      </c>
      <c r="E318" s="1" t="n">
        <v>30.95</v>
      </c>
      <c r="F318" s="1" t="n">
        <v>0</v>
      </c>
      <c r="G318" s="1" t="inlineStr"/>
      <c r="H318" s="1" t="inlineStr">
        <is>
          <t>Ceramic</t>
        </is>
      </c>
      <c r="I318" s="1" t="inlineStr">
        <is>
          <t>Gloss</t>
        </is>
      </c>
      <c r="J318" t="inlineStr"/>
      <c r="K318" t="inlineStr">
        <is>
          <t>In Stock</t>
        </is>
      </c>
      <c r="L318" t="inlineStr">
        <is>
          <t>In Stock</t>
        </is>
      </c>
    </row>
    <row r="319">
      <c r="A319" s="1">
        <f>Hyperlink("https://www.wallsandfloors.co.uk/rhian-30x10-tiles-perla-matt-tiles","Product")</f>
        <v/>
      </c>
      <c r="B319" s="1" t="inlineStr">
        <is>
          <t>8375</t>
        </is>
      </c>
      <c r="C319" s="1" t="inlineStr">
        <is>
          <t>Rhian Perla Grey Matt Tiles</t>
        </is>
      </c>
      <c r="D319" s="1" t="inlineStr">
        <is>
          <t>300x100x7mm</t>
        </is>
      </c>
      <c r="E319" s="1" t="n">
        <v>25.95</v>
      </c>
      <c r="F319" s="1" t="n">
        <v>0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inlineStr"/>
      <c r="K319" t="n">
        <v>181</v>
      </c>
      <c r="L319" t="n">
        <v>181</v>
      </c>
    </row>
    <row r="320">
      <c r="A320" s="1">
        <f>Hyperlink("https://www.wallsandfloors.co.uk/metro-300x100-tiles-dark-gris-grey-gloss-tiles","Product")</f>
        <v/>
      </c>
      <c r="B320" s="1" t="inlineStr">
        <is>
          <t>15157</t>
        </is>
      </c>
      <c r="C320" s="1" t="inlineStr">
        <is>
          <t>Dark Grey Metro Tiles</t>
        </is>
      </c>
      <c r="D320" s="1" t="inlineStr">
        <is>
          <t>300x100x8mm</t>
        </is>
      </c>
      <c r="E320" s="1" t="n">
        <v>25.95</v>
      </c>
      <c r="F320" s="1" t="n">
        <v>0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Gloss</t>
        </is>
      </c>
      <c r="J320" t="n">
        <v>174</v>
      </c>
      <c r="K320" t="n">
        <v>174</v>
      </c>
      <c r="L320" t="n">
        <v>174</v>
      </c>
    </row>
    <row r="321">
      <c r="A321" s="1">
        <f>Hyperlink("https://www.wallsandfloors.co.uk/metro-300x100-tiles-light-gris-grey-gloss-tiles","Product")</f>
        <v/>
      </c>
      <c r="B321" s="1" t="inlineStr">
        <is>
          <t>15158</t>
        </is>
      </c>
      <c r="C321" s="1" t="inlineStr">
        <is>
          <t>Light Grey Metro Tiles</t>
        </is>
      </c>
      <c r="D321" s="1" t="inlineStr">
        <is>
          <t>300x100x8mm</t>
        </is>
      </c>
      <c r="E321" s="1" t="n">
        <v>25.95</v>
      </c>
      <c r="F321" s="1" t="n">
        <v>0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Gloss</t>
        </is>
      </c>
      <c r="J321" t="inlineStr"/>
      <c r="K321" t="n">
        <v>267</v>
      </c>
      <c r="L321" t="n">
        <v>267</v>
      </c>
    </row>
    <row r="322">
      <c r="A322" s="1">
        <f>Hyperlink("https://www.wallsandfloors.co.uk/rhian-30x10-tiles-coco-matt-tiles","Product")</f>
        <v/>
      </c>
      <c r="B322" s="1" t="inlineStr">
        <is>
          <t>8368</t>
        </is>
      </c>
      <c r="C322" s="1" t="inlineStr">
        <is>
          <t>Rhian Coco Taupe Matt Tiles</t>
        </is>
      </c>
      <c r="D322" s="1" t="inlineStr">
        <is>
          <t>300x100x7mm</t>
        </is>
      </c>
      <c r="E322" s="1" t="n">
        <v>23.95</v>
      </c>
      <c r="F322" s="1" t="n">
        <v>0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Matt</t>
        </is>
      </c>
      <c r="J322" t="n">
        <v>76</v>
      </c>
      <c r="K322" t="n">
        <v>76</v>
      </c>
      <c r="L322" t="n">
        <v>76</v>
      </c>
    </row>
    <row r="323">
      <c r="A323" s="1">
        <f>Hyperlink("https://www.wallsandfloors.co.uk/metro-300x100-tiles-perle-silver-gloss-tiles","Product")</f>
        <v/>
      </c>
      <c r="B323" s="1" t="inlineStr">
        <is>
          <t>12547</t>
        </is>
      </c>
      <c r="C323" s="1" t="inlineStr">
        <is>
          <t>Perle Silver Metro Tiles</t>
        </is>
      </c>
      <c r="D323" s="1" t="inlineStr">
        <is>
          <t>300x100x8mm</t>
        </is>
      </c>
      <c r="E323" s="1" t="n">
        <v>25.95</v>
      </c>
      <c r="F323" s="1" t="n">
        <v>0</v>
      </c>
      <c r="G323" s="1" t="inlineStr">
        <is>
          <t>SQM</t>
        </is>
      </c>
      <c r="H323" s="1" t="inlineStr">
        <is>
          <t>Ceramic</t>
        </is>
      </c>
      <c r="I323" s="1" t="inlineStr">
        <is>
          <t>Gloss</t>
        </is>
      </c>
      <c r="J323" t="inlineStr">
        <is>
          <t>In Stock</t>
        </is>
      </c>
      <c r="K323" t="inlineStr"/>
      <c r="L323" t="inlineStr">
        <is>
          <t>In Stock</t>
        </is>
      </c>
    </row>
    <row r="324">
      <c r="A324" s="1">
        <f>Hyperlink("https://www.wallsandfloors.co.uk/metro-300x100-tiles-sage-green-gloss-tiles","Product")</f>
        <v/>
      </c>
      <c r="B324" s="1" t="inlineStr">
        <is>
          <t>12551</t>
        </is>
      </c>
      <c r="C324" s="1" t="inlineStr">
        <is>
          <t>Sage Green Metro Tiles</t>
        </is>
      </c>
      <c r="D324" s="1" t="inlineStr">
        <is>
          <t>300x100x8mm</t>
        </is>
      </c>
      <c r="E324" s="1" t="n">
        <v>25.95</v>
      </c>
      <c r="F324" s="1" t="n">
        <v>0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Gloss</t>
        </is>
      </c>
      <c r="J324" t="n">
        <v>77</v>
      </c>
      <c r="K324" t="n">
        <v>77</v>
      </c>
      <c r="L324" t="n">
        <v>77</v>
      </c>
    </row>
    <row r="325">
      <c r="A325" s="1">
        <f>Hyperlink("https://www.wallsandfloors.co.uk/rhian-30x10-tiles-ceniza-matt-tiles","Product")</f>
        <v/>
      </c>
      <c r="B325" s="1" t="inlineStr">
        <is>
          <t>8366</t>
        </is>
      </c>
      <c r="C325" s="1" t="inlineStr">
        <is>
          <t>Ceniza Matt Tiles</t>
        </is>
      </c>
      <c r="D325" s="1" t="inlineStr">
        <is>
          <t>300x100x7mm</t>
        </is>
      </c>
      <c r="E325" s="1" t="n">
        <v>25.95</v>
      </c>
      <c r="F325" s="1" t="n">
        <v>0</v>
      </c>
      <c r="G325" s="1" t="inlineStr">
        <is>
          <t>SQM</t>
        </is>
      </c>
      <c r="H325" s="1" t="inlineStr">
        <is>
          <t>Ceramic</t>
        </is>
      </c>
      <c r="I325" s="1" t="inlineStr">
        <is>
          <t>Matt</t>
        </is>
      </c>
      <c r="J325" t="inlineStr"/>
      <c r="K325" t="n">
        <v>95</v>
      </c>
      <c r="L325" t="n">
        <v>95</v>
      </c>
    </row>
    <row r="326">
      <c r="A326" s="1">
        <f>Hyperlink("https://www.wallsandfloors.co.uk/metro-300x100-tiles-sarcelle-teal-gloss-tiles","Product")</f>
        <v/>
      </c>
      <c r="B326" s="1" t="inlineStr">
        <is>
          <t>15161</t>
        </is>
      </c>
      <c r="C326" s="1" t="inlineStr">
        <is>
          <t>Sarcelle Teal Metro Tiles</t>
        </is>
      </c>
      <c r="D326" s="1" t="inlineStr">
        <is>
          <t>300x100x8mm</t>
        </is>
      </c>
      <c r="E326" s="1" t="n">
        <v>25.95</v>
      </c>
      <c r="F326" s="1" t="n">
        <v>0</v>
      </c>
      <c r="G326" s="1" t="inlineStr">
        <is>
          <t>SQM</t>
        </is>
      </c>
      <c r="H326" s="1" t="inlineStr">
        <is>
          <t>Ceramic</t>
        </is>
      </c>
      <c r="I326" s="1" t="inlineStr">
        <is>
          <t>Gloss</t>
        </is>
      </c>
      <c r="J326" t="n">
        <v>79</v>
      </c>
      <c r="K326" t="inlineStr"/>
      <c r="L326" t="n">
        <v>79</v>
      </c>
    </row>
    <row r="327">
      <c r="A327" s="1">
        <f>Hyperlink("https://www.wallsandfloors.co.uk/metro-smooth-150x75-tiles-blackfriars-tiles","Product")</f>
        <v/>
      </c>
      <c r="B327" s="1" t="inlineStr">
        <is>
          <t>10731</t>
        </is>
      </c>
      <c r="C327" s="1" t="inlineStr">
        <is>
          <t>Blackfriars Gloss Black Mini Metro Tiles</t>
        </is>
      </c>
      <c r="D327" s="1" t="inlineStr">
        <is>
          <t>150x75x7mm</t>
        </is>
      </c>
      <c r="E327" s="1" t="n">
        <v>30.95</v>
      </c>
      <c r="F327" s="1" t="n">
        <v>0</v>
      </c>
      <c r="G327" s="1" t="inlineStr"/>
      <c r="H327" s="1" t="inlineStr">
        <is>
          <t>Ceramic</t>
        </is>
      </c>
      <c r="I327" s="1" t="inlineStr">
        <is>
          <t>Gloss</t>
        </is>
      </c>
      <c r="J327" t="inlineStr"/>
      <c r="K327" t="inlineStr">
        <is>
          <t>In Stock</t>
        </is>
      </c>
      <c r="L327" t="inlineStr">
        <is>
          <t>In Stock</t>
        </is>
      </c>
    </row>
    <row r="328">
      <c r="A328" s="1">
        <f>Hyperlink("https://www.wallsandfloors.co.uk/metro-smooth-150x75-tiles-chalk-farm-tiles-34981","Product")</f>
        <v/>
      </c>
      <c r="B328" s="1" t="inlineStr">
        <is>
          <t>34817</t>
        </is>
      </c>
      <c r="C328" s="1" t="inlineStr">
        <is>
          <t>Chalk Farm Matt White Flat Mini Metro Tiles</t>
        </is>
      </c>
      <c r="D328" s="1" t="inlineStr">
        <is>
          <t>150x75x7mm</t>
        </is>
      </c>
      <c r="E328" s="1" t="n">
        <v>20.95</v>
      </c>
      <c r="F328" s="1" t="n">
        <v>0</v>
      </c>
      <c r="G328" s="1" t="inlineStr">
        <is>
          <t>SQM</t>
        </is>
      </c>
      <c r="H328" s="1" t="inlineStr">
        <is>
          <t>Ceramic</t>
        </is>
      </c>
      <c r="I328" s="1" t="inlineStr">
        <is>
          <t>Matt</t>
        </is>
      </c>
      <c r="J328" t="inlineStr"/>
      <c r="K328" t="n">
        <v>311</v>
      </c>
      <c r="L328" t="n">
        <v>311</v>
      </c>
    </row>
    <row r="329">
      <c r="A329" s="1">
        <f>Hyperlink("https://www.wallsandfloors.co.uk/metro-smooth-150x75-tiles-manor-house-tile","Product")</f>
        <v/>
      </c>
      <c r="B329" s="1" t="inlineStr">
        <is>
          <t>14429</t>
        </is>
      </c>
      <c r="C329" s="1" t="inlineStr">
        <is>
          <t>Manor House Gloss Blue Flat Mini Metro Tiles</t>
        </is>
      </c>
      <c r="D329" s="1" t="inlineStr">
        <is>
          <t>150x75x7mm</t>
        </is>
      </c>
      <c r="E329" s="1" t="n">
        <v>30.95</v>
      </c>
      <c r="F329" s="1" t="n">
        <v>0</v>
      </c>
      <c r="G329" s="1" t="inlineStr">
        <is>
          <t>SQM</t>
        </is>
      </c>
      <c r="H329" s="1" t="inlineStr">
        <is>
          <t>Ceramic</t>
        </is>
      </c>
      <c r="I329" s="1" t="inlineStr">
        <is>
          <t>Gloss</t>
        </is>
      </c>
      <c r="J329" t="inlineStr">
        <is>
          <t>In Stock</t>
        </is>
      </c>
      <c r="K329" t="inlineStr">
        <is>
          <t>In Stock</t>
        </is>
      </c>
      <c r="L329" t="inlineStr">
        <is>
          <t>In Stock</t>
        </is>
      </c>
    </row>
    <row r="330">
      <c r="A330" s="1">
        <f>Hyperlink("https://www.wallsandfloors.co.uk/rhian-30x10-tiles-black-matt-tiles","Product")</f>
        <v/>
      </c>
      <c r="B330" s="1" t="inlineStr">
        <is>
          <t>8372</t>
        </is>
      </c>
      <c r="C330" s="1" t="inlineStr">
        <is>
          <t>Rhian Black Matt Tiles</t>
        </is>
      </c>
      <c r="D330" s="1" t="inlineStr">
        <is>
          <t>300x100x7mm</t>
        </is>
      </c>
      <c r="E330" s="1" t="n">
        <v>25.95</v>
      </c>
      <c r="F330" s="1" t="n">
        <v>0</v>
      </c>
      <c r="G330" s="1" t="inlineStr">
        <is>
          <t>SQM</t>
        </is>
      </c>
      <c r="H330" s="1" t="inlineStr">
        <is>
          <t>Ceramic</t>
        </is>
      </c>
      <c r="I330" s="1" t="inlineStr">
        <is>
          <t>Matt</t>
        </is>
      </c>
      <c r="J330" t="inlineStr">
        <is>
          <t>In Stock</t>
        </is>
      </c>
      <c r="K330" t="inlineStr"/>
      <c r="L330" t="inlineStr">
        <is>
          <t>In Stock</t>
        </is>
      </c>
    </row>
    <row r="331">
      <c r="A331" s="1">
        <f>Hyperlink("https://www.wallsandfloors.co.uk/rhian-30x10-tiles-black-gloss-tiles","Product")</f>
        <v/>
      </c>
      <c r="B331" s="1" t="inlineStr">
        <is>
          <t>8371</t>
        </is>
      </c>
      <c r="C331" s="1" t="inlineStr">
        <is>
          <t>Rhian Black Gloss Tiles</t>
        </is>
      </c>
      <c r="D331" s="1" t="inlineStr">
        <is>
          <t>300x100x7mm</t>
        </is>
      </c>
      <c r="E331" s="1" t="n">
        <v>25.95</v>
      </c>
      <c r="F331" s="1" t="n">
        <v>0</v>
      </c>
      <c r="G331" s="1" t="inlineStr">
        <is>
          <t>SQM</t>
        </is>
      </c>
      <c r="H331" s="1" t="inlineStr">
        <is>
          <t>Ceramic</t>
        </is>
      </c>
      <c r="I331" s="1" t="inlineStr">
        <is>
          <t>Gloss</t>
        </is>
      </c>
      <c r="J331" t="n">
        <v>73</v>
      </c>
      <c r="K331" t="n">
        <v>73</v>
      </c>
      <c r="L331" t="n">
        <v>73</v>
      </c>
    </row>
    <row r="332">
      <c r="A332" s="1">
        <f>Hyperlink("https://www.wallsandfloors.co.uk/rhian-30x10-tiles-avon-matt-tiles","Product")</f>
        <v/>
      </c>
      <c r="B332" s="1" t="inlineStr">
        <is>
          <t>11943</t>
        </is>
      </c>
      <c r="C332" s="1" t="inlineStr">
        <is>
          <t>Rhian Avon Grey Matt Tiles</t>
        </is>
      </c>
      <c r="D332" s="1" t="inlineStr">
        <is>
          <t>300x100x7mm</t>
        </is>
      </c>
      <c r="E332" s="1" t="n">
        <v>25.95</v>
      </c>
      <c r="F332" s="1" t="n">
        <v>0</v>
      </c>
      <c r="G332" s="1" t="inlineStr">
        <is>
          <t>SQM</t>
        </is>
      </c>
      <c r="H332" s="1" t="inlineStr">
        <is>
          <t>Ceramic</t>
        </is>
      </c>
      <c r="I332" s="1" t="inlineStr">
        <is>
          <t>Matt</t>
        </is>
      </c>
      <c r="J332" t="n">
        <v>55</v>
      </c>
      <c r="K332" t="n">
        <v>55</v>
      </c>
      <c r="L332" t="n">
        <v>55</v>
      </c>
    </row>
    <row r="333">
      <c r="A333" s="1">
        <f>Hyperlink("https://www.wallsandfloors.co.uk/rhian-30x10-tiles-avon-gloss-tiles","Product")</f>
        <v/>
      </c>
      <c r="B333" s="1" t="inlineStr">
        <is>
          <t>11942</t>
        </is>
      </c>
      <c r="C333" s="1" t="inlineStr">
        <is>
          <t>Rhian Avon Grey Gloss Tiles</t>
        </is>
      </c>
      <c r="D333" s="1" t="inlineStr">
        <is>
          <t>300x100x7mm</t>
        </is>
      </c>
      <c r="E333" s="1" t="n">
        <v>25.95</v>
      </c>
      <c r="F333" s="1" t="n">
        <v>0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Gloss</t>
        </is>
      </c>
      <c r="J333" t="n">
        <v>103</v>
      </c>
      <c r="K333" t="n">
        <v>103</v>
      </c>
      <c r="L333" t="n">
        <v>103</v>
      </c>
    </row>
    <row r="334">
      <c r="A334" s="1">
        <f>Hyperlink("https://www.wallsandfloors.co.uk/metro-smooth-150x75-tiles-regents-park-tiles","Product")</f>
        <v/>
      </c>
      <c r="B334" s="1" t="inlineStr">
        <is>
          <t>10728</t>
        </is>
      </c>
      <c r="C334" s="1" t="inlineStr">
        <is>
          <t>Regents Park Matt Cream Flat Metro Tiles</t>
        </is>
      </c>
      <c r="D334" s="1" t="inlineStr">
        <is>
          <t>150x75x7mm</t>
        </is>
      </c>
      <c r="E334" s="1" t="n">
        <v>23.95</v>
      </c>
      <c r="F334" s="1" t="n">
        <v>0</v>
      </c>
      <c r="G334" s="1" t="inlineStr">
        <is>
          <t>SQM</t>
        </is>
      </c>
      <c r="H334" s="1" t="inlineStr">
        <is>
          <t>Ceramic</t>
        </is>
      </c>
      <c r="I334" s="1" t="inlineStr">
        <is>
          <t>Matt</t>
        </is>
      </c>
      <c r="J334" t="n">
        <v>57</v>
      </c>
      <c r="K334" t="n">
        <v>57</v>
      </c>
      <c r="L334" t="n">
        <v>57</v>
      </c>
    </row>
    <row r="335">
      <c r="A335" s="1">
        <f>Hyperlink("https://www.wallsandfloors.co.uk/metro-300x100-tiles-coco-brown-gloss-tiles","Product")</f>
        <v/>
      </c>
      <c r="B335" s="1" t="inlineStr">
        <is>
          <t>12538</t>
        </is>
      </c>
      <c r="C335" s="1" t="inlineStr">
        <is>
          <t>Coco Brown Metro Tiles</t>
        </is>
      </c>
      <c r="D335" s="1" t="inlineStr">
        <is>
          <t>300x100x8mm</t>
        </is>
      </c>
      <c r="E335" s="1" t="n">
        <v>25.95</v>
      </c>
      <c r="F335" s="1" t="n">
        <v>0</v>
      </c>
      <c r="G335" s="1" t="inlineStr">
        <is>
          <t>SQM</t>
        </is>
      </c>
      <c r="H335" s="1" t="inlineStr">
        <is>
          <t>Ceramic</t>
        </is>
      </c>
      <c r="I335" s="1" t="inlineStr">
        <is>
          <t>Gloss</t>
        </is>
      </c>
      <c r="J335" t="n">
        <v>188</v>
      </c>
      <c r="K335" t="n">
        <v>188</v>
      </c>
      <c r="L335" t="n">
        <v>188</v>
      </c>
    </row>
    <row r="336">
      <c r="A336" s="1">
        <f>Hyperlink("https://www.wallsandfloors.co.uk/rhian-30x10-tiles-sage-gloss-tiles-11949","Product")</f>
        <v/>
      </c>
      <c r="B336" s="1" t="inlineStr">
        <is>
          <t>11949</t>
        </is>
      </c>
      <c r="C336" s="1" t="inlineStr">
        <is>
          <t>Rhian Sage Green Gloss Tiles</t>
        </is>
      </c>
      <c r="D336" s="1" t="inlineStr">
        <is>
          <t>300x100x7mm</t>
        </is>
      </c>
      <c r="E336" s="1" t="n">
        <v>25.95</v>
      </c>
      <c r="F336" s="1" t="n">
        <v>0</v>
      </c>
      <c r="G336" s="1" t="inlineStr">
        <is>
          <t>SQM</t>
        </is>
      </c>
      <c r="H336" s="1" t="inlineStr">
        <is>
          <t>Ceramic</t>
        </is>
      </c>
      <c r="I336" s="1" t="inlineStr">
        <is>
          <t>Gloss</t>
        </is>
      </c>
      <c r="J336" t="inlineStr">
        <is>
          <t>In Stock</t>
        </is>
      </c>
      <c r="K336" t="inlineStr">
        <is>
          <t>In Stock</t>
        </is>
      </c>
      <c r="L336" t="inlineStr">
        <is>
          <t>In Stock</t>
        </is>
      </c>
    </row>
    <row r="337">
      <c r="A337" s="1">
        <f>Hyperlink("https://www.wallsandfloors.co.uk/rhian-30x10-tiles-verde-gloss-tiles","Product")</f>
        <v/>
      </c>
      <c r="B337" s="1" t="inlineStr">
        <is>
          <t>8376</t>
        </is>
      </c>
      <c r="C337" s="1" t="inlineStr">
        <is>
          <t>Rhian Verde Green Gloss Tiles</t>
        </is>
      </c>
      <c r="D337" s="1" t="inlineStr">
        <is>
          <t>300x100x7mm</t>
        </is>
      </c>
      <c r="E337" s="1" t="n">
        <v>25.95</v>
      </c>
      <c r="F337" s="1" t="n">
        <v>0</v>
      </c>
      <c r="G337" s="1" t="inlineStr">
        <is>
          <t>SQM</t>
        </is>
      </c>
      <c r="H337" s="1" t="inlineStr">
        <is>
          <t>Ceramic</t>
        </is>
      </c>
      <c r="I337" s="1" t="inlineStr">
        <is>
          <t>Gloss</t>
        </is>
      </c>
      <c r="J337" t="inlineStr"/>
      <c r="K337" t="inlineStr"/>
      <c r="L337" t="n">
        <v>95</v>
      </c>
    </row>
    <row r="338">
      <c r="A338" s="1">
        <f>Hyperlink("https://www.wallsandfloors.co.uk/rhian-40x10-tiles-blanco-gloss-tiles","Product")</f>
        <v/>
      </c>
      <c r="B338" s="1" t="inlineStr">
        <is>
          <t>8926</t>
        </is>
      </c>
      <c r="C338" s="1" t="inlineStr">
        <is>
          <t>Rhian Blanco White Gloss Tiles</t>
        </is>
      </c>
      <c r="D338" s="1" t="inlineStr">
        <is>
          <t>400x100x7mm</t>
        </is>
      </c>
      <c r="E338" s="1" t="n">
        <v>29.95</v>
      </c>
      <c r="F338" s="1" t="n">
        <v>0</v>
      </c>
      <c r="G338" s="1" t="inlineStr">
        <is>
          <t>SQM</t>
        </is>
      </c>
      <c r="H338" s="1" t="inlineStr">
        <is>
          <t>Ceramic</t>
        </is>
      </c>
      <c r="I338" s="1" t="inlineStr">
        <is>
          <t>Gloss</t>
        </is>
      </c>
      <c r="J338" t="n">
        <v>104</v>
      </c>
      <c r="K338" t="n">
        <v>104</v>
      </c>
      <c r="L338" t="n">
        <v>104</v>
      </c>
    </row>
    <row r="339">
      <c r="A339" s="1">
        <f>Hyperlink("https://www.wallsandfloors.co.uk/ritz-luna-finishing-strip-gloss-tiles","Product")</f>
        <v/>
      </c>
      <c r="B339" s="1" t="inlineStr">
        <is>
          <t>43874</t>
        </is>
      </c>
      <c r="C339" s="1" t="inlineStr">
        <is>
          <t>Ritz Luna Finishing Strip Gloss Tiles</t>
        </is>
      </c>
      <c r="D339" s="1" t="inlineStr">
        <is>
          <t>300x14x10mm</t>
        </is>
      </c>
      <c r="E339" s="1" t="n">
        <v>3.95</v>
      </c>
      <c r="F339" s="1" t="n">
        <v>0</v>
      </c>
      <c r="G339" s="1" t="inlineStr">
        <is>
          <t>Tile</t>
        </is>
      </c>
      <c r="H339" s="1" t="inlineStr">
        <is>
          <t>Ceramic</t>
        </is>
      </c>
      <c r="I339" s="1" t="inlineStr">
        <is>
          <t>Gloss</t>
        </is>
      </c>
      <c r="J339" t="inlineStr"/>
      <c r="K339" t="inlineStr">
        <is>
          <t>Out of Stock</t>
        </is>
      </c>
      <c r="L339" t="inlineStr">
        <is>
          <t>Out of Stock</t>
        </is>
      </c>
    </row>
    <row r="340">
      <c r="A340" s="1">
        <f>Hyperlink("https://www.wallsandfloors.co.uk/ritz-ink-gloss-30x10-tiles","Product")</f>
        <v/>
      </c>
      <c r="B340" s="1" t="inlineStr">
        <is>
          <t>43131</t>
        </is>
      </c>
      <c r="C340" s="1" t="inlineStr">
        <is>
          <t>Ritz Ink Blue 30x10 Brick Shaped Gloss Ceramic Wall Tiles</t>
        </is>
      </c>
      <c r="D340" s="1" t="inlineStr">
        <is>
          <t>300x100x8mm</t>
        </is>
      </c>
      <c r="E340" s="1" t="n">
        <v>38.95</v>
      </c>
      <c r="F340" s="1" t="n">
        <v>0</v>
      </c>
      <c r="G340" s="1" t="inlineStr">
        <is>
          <t>SQM</t>
        </is>
      </c>
      <c r="H340" s="1" t="inlineStr">
        <is>
          <t>Ceramic</t>
        </is>
      </c>
      <c r="I340" s="1" t="inlineStr">
        <is>
          <t>Gloss</t>
        </is>
      </c>
      <c r="J340" t="inlineStr">
        <is>
          <t>In Stock</t>
        </is>
      </c>
      <c r="K340" t="inlineStr"/>
      <c r="L340" t="inlineStr">
        <is>
          <t>In Stock</t>
        </is>
      </c>
    </row>
    <row r="341">
      <c r="A341" s="1">
        <f>Hyperlink("https://www.wallsandfloors.co.uk/ritz-ink-gloss-30x10-decor-tiles","Product")</f>
        <v/>
      </c>
      <c r="B341" s="1" t="inlineStr">
        <is>
          <t>43338</t>
        </is>
      </c>
      <c r="C341" s="1" t="inlineStr">
        <is>
          <t>Ritz Ink Gloss Decor Tiles</t>
        </is>
      </c>
      <c r="D341" s="1" t="inlineStr">
        <is>
          <t>300x100x8mm</t>
        </is>
      </c>
      <c r="E341" s="1" t="n">
        <v>38.95</v>
      </c>
      <c r="F341" s="1" t="n">
        <v>0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Gloss</t>
        </is>
      </c>
      <c r="J341" t="inlineStr">
        <is>
          <t>In Stock</t>
        </is>
      </c>
      <c r="K341" t="inlineStr">
        <is>
          <t>In Stock</t>
        </is>
      </c>
      <c r="L341" t="inlineStr">
        <is>
          <t>In Stock</t>
        </is>
      </c>
    </row>
    <row r="342">
      <c r="A342" s="1">
        <f>Hyperlink("https://www.wallsandfloors.co.uk/ritz-ink-finishing-strip-gloss-tiles","Product")</f>
        <v/>
      </c>
      <c r="B342" s="1" t="inlineStr">
        <is>
          <t>44007</t>
        </is>
      </c>
      <c r="C342" s="1" t="inlineStr">
        <is>
          <t>Ritz Ink Finishing Strip Gloss Tiles</t>
        </is>
      </c>
      <c r="D342" s="1" t="inlineStr">
        <is>
          <t>300x14x10mm</t>
        </is>
      </c>
      <c r="E342" s="1" t="n">
        <v>2.95</v>
      </c>
      <c r="F342" s="1" t="n">
        <v>0</v>
      </c>
      <c r="G342" s="1" t="inlineStr">
        <is>
          <t>Tile</t>
        </is>
      </c>
      <c r="H342" s="1" t="inlineStr">
        <is>
          <t>Ceramic</t>
        </is>
      </c>
      <c r="I342" s="1" t="inlineStr">
        <is>
          <t>Gloss</t>
        </is>
      </c>
      <c r="J342" t="inlineStr">
        <is>
          <t>In Stock</t>
        </is>
      </c>
      <c r="K342" t="inlineStr">
        <is>
          <t>In Stock</t>
        </is>
      </c>
      <c r="L342" t="inlineStr">
        <is>
          <t>In Stock</t>
        </is>
      </c>
    </row>
    <row r="343">
      <c r="A343" s="1">
        <f>Hyperlink("https://www.wallsandfloors.co.uk/ritz-deco-taupe-tiles","Product")</f>
        <v/>
      </c>
      <c r="B343" s="1" t="inlineStr">
        <is>
          <t>44014</t>
        </is>
      </c>
      <c r="C343" s="1" t="inlineStr">
        <is>
          <t>Ritz Deco Taupe Tiles</t>
        </is>
      </c>
      <c r="D343" s="1" t="inlineStr">
        <is>
          <t>200x200x8.5mm</t>
        </is>
      </c>
      <c r="E343" s="1" t="n">
        <v>40.95</v>
      </c>
      <c r="F343" s="1" t="n">
        <v>0</v>
      </c>
      <c r="G343" s="1" t="inlineStr">
        <is>
          <t>SQM</t>
        </is>
      </c>
      <c r="H343" s="1" t="inlineStr">
        <is>
          <t>Porcelain</t>
        </is>
      </c>
      <c r="I343" s="1" t="inlineStr">
        <is>
          <t>Matt</t>
        </is>
      </c>
      <c r="J343" t="inlineStr"/>
      <c r="K343" t="inlineStr">
        <is>
          <t>In Stock</t>
        </is>
      </c>
      <c r="L343" t="inlineStr">
        <is>
          <t>In Stock</t>
        </is>
      </c>
    </row>
    <row r="344">
      <c r="A344" s="1">
        <f>Hyperlink("https://www.wallsandfloors.co.uk/ritz-deco-grey-tiles","Product")</f>
        <v/>
      </c>
      <c r="B344" s="1" t="inlineStr">
        <is>
          <t>44012</t>
        </is>
      </c>
      <c r="C344" s="1" t="inlineStr">
        <is>
          <t>Ritz Deco Grey Tiles</t>
        </is>
      </c>
      <c r="D344" s="1" t="inlineStr">
        <is>
          <t>200x200x8.5mm</t>
        </is>
      </c>
      <c r="E344" s="1" t="n">
        <v>40.95</v>
      </c>
      <c r="F344" s="1" t="n">
        <v>0</v>
      </c>
      <c r="G344" s="1" t="inlineStr">
        <is>
          <t>SQM</t>
        </is>
      </c>
      <c r="H344" s="1" t="inlineStr">
        <is>
          <t>Porcelain</t>
        </is>
      </c>
      <c r="I344" s="1" t="inlineStr">
        <is>
          <t>Matt</t>
        </is>
      </c>
      <c r="J344" t="inlineStr"/>
      <c r="K344" t="inlineStr">
        <is>
          <t>Out of Stock</t>
        </is>
      </c>
      <c r="L344" t="inlineStr">
        <is>
          <t>In Stock</t>
        </is>
      </c>
    </row>
    <row r="345">
      <c r="A345" s="1">
        <f>Hyperlink("https://www.wallsandfloors.co.uk/ritz-concrete-tiles","Product")</f>
        <v/>
      </c>
      <c r="B345" s="1" t="inlineStr">
        <is>
          <t>44011</t>
        </is>
      </c>
      <c r="C345" s="1" t="inlineStr">
        <is>
          <t>Ritz Concrete Tiles</t>
        </is>
      </c>
      <c r="D345" s="1" t="inlineStr">
        <is>
          <t>200x200x8.5mm</t>
        </is>
      </c>
      <c r="E345" s="1" t="n">
        <v>40.95</v>
      </c>
      <c r="F345" s="1" t="n">
        <v>0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inlineStr"/>
      <c r="K345" t="inlineStr">
        <is>
          <t>In Stock</t>
        </is>
      </c>
      <c r="L345" t="inlineStr">
        <is>
          <t>In Stock</t>
        </is>
      </c>
    </row>
    <row r="346">
      <c r="A346" s="1">
        <f>Hyperlink("https://www.wallsandfloors.co.uk/ritz-bone-gloss-decor-tiles","Product")</f>
        <v/>
      </c>
      <c r="B346" s="1" t="inlineStr">
        <is>
          <t>44000</t>
        </is>
      </c>
      <c r="C346" s="1" t="inlineStr">
        <is>
          <t>Ritz Bone Gloss Decor Tiles</t>
        </is>
      </c>
      <c r="D346" s="1" t="inlineStr">
        <is>
          <t>300x100x8mm</t>
        </is>
      </c>
      <c r="E346" s="1" t="n">
        <v>38.95</v>
      </c>
      <c r="F346" s="1" t="n">
        <v>0</v>
      </c>
      <c r="G346" s="1" t="inlineStr">
        <is>
          <t>SQM</t>
        </is>
      </c>
      <c r="H346" s="1" t="inlineStr">
        <is>
          <t>Ceramic</t>
        </is>
      </c>
      <c r="I346" s="1" t="inlineStr">
        <is>
          <t>Gloss</t>
        </is>
      </c>
      <c r="J346" t="inlineStr">
        <is>
          <t>Out of Stock</t>
        </is>
      </c>
      <c r="K346" t="inlineStr">
        <is>
          <t>Out of Stock</t>
        </is>
      </c>
      <c r="L346" t="inlineStr">
        <is>
          <t>Out of Stock</t>
        </is>
      </c>
    </row>
    <row r="347">
      <c r="A347" s="1">
        <f>Hyperlink("https://www.wallsandfloors.co.uk/metro-200x100-tiles-marble-arch-grey-tiles","Product")</f>
        <v/>
      </c>
      <c r="B347" s="1" t="inlineStr">
        <is>
          <t>13260</t>
        </is>
      </c>
      <c r="C347" s="1" t="inlineStr">
        <is>
          <t>Marble Arch Gloss Grey Metro Tiles</t>
        </is>
      </c>
      <c r="D347" s="1" t="inlineStr">
        <is>
          <t>200x100x7mm</t>
        </is>
      </c>
      <c r="E347" s="1" t="n">
        <v>20.95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Gloss</t>
        </is>
      </c>
      <c r="J347" t="n">
        <v>156</v>
      </c>
      <c r="K347" t="n">
        <v>156</v>
      </c>
      <c r="L347" t="n">
        <v>156</v>
      </c>
    </row>
    <row r="348">
      <c r="A348" s="1">
        <f>Hyperlink("https://www.wallsandfloors.co.uk/ritz-bone-gloss-30x10-tiles","Product")</f>
        <v/>
      </c>
      <c r="B348" s="1" t="inlineStr">
        <is>
          <t>43999</t>
        </is>
      </c>
      <c r="C348" s="1" t="inlineStr">
        <is>
          <t>Ritz Bone Gloss Tiles</t>
        </is>
      </c>
      <c r="D348" s="1" t="inlineStr">
        <is>
          <t>300x100x8mm</t>
        </is>
      </c>
      <c r="E348" s="1" t="n">
        <v>38.95</v>
      </c>
      <c r="F348" s="1" t="n">
        <v>0</v>
      </c>
      <c r="G348" s="1" t="inlineStr">
        <is>
          <t>SQM</t>
        </is>
      </c>
      <c r="H348" s="1" t="inlineStr">
        <is>
          <t>Ceramic</t>
        </is>
      </c>
      <c r="I348" s="1" t="inlineStr">
        <is>
          <t>Gloss</t>
        </is>
      </c>
      <c r="J348" t="inlineStr">
        <is>
          <t>In Stock</t>
        </is>
      </c>
      <c r="K348" t="inlineStr"/>
      <c r="L348" t="inlineStr">
        <is>
          <t>In Stock</t>
        </is>
      </c>
    </row>
    <row r="349">
      <c r="A349" s="1">
        <f>Hyperlink("https://www.wallsandfloors.co.uk/ritz-bone-finishing-strip-gloss-tiles","Product")</f>
        <v/>
      </c>
      <c r="B349" s="1" t="inlineStr">
        <is>
          <t>43994</t>
        </is>
      </c>
      <c r="C349" s="1" t="inlineStr">
        <is>
          <t>Ritz Bone Finishing Strip Gloss Tiles</t>
        </is>
      </c>
      <c r="D349" s="1" t="inlineStr">
        <is>
          <t>300x14x10mm</t>
        </is>
      </c>
      <c r="E349" s="1" t="n">
        <v>3.95</v>
      </c>
      <c r="F349" s="1" t="n">
        <v>0</v>
      </c>
      <c r="G349" s="1" t="inlineStr">
        <is>
          <t>Tile</t>
        </is>
      </c>
      <c r="H349" s="1" t="inlineStr">
        <is>
          <t>Ceramic</t>
        </is>
      </c>
      <c r="I349" s="1" t="inlineStr">
        <is>
          <t>Gloss</t>
        </is>
      </c>
      <c r="J349" t="inlineStr">
        <is>
          <t>In Stock</t>
        </is>
      </c>
      <c r="K349" t="inlineStr"/>
      <c r="L349" t="inlineStr">
        <is>
          <t>In Stock</t>
        </is>
      </c>
    </row>
    <row r="350">
      <c r="A350" s="1">
        <f>Hyperlink("https://www.wallsandfloors.co.uk/ritz-blue-mingle-tiles","Product")</f>
        <v/>
      </c>
      <c r="B350" s="1" t="inlineStr">
        <is>
          <t>44015</t>
        </is>
      </c>
      <c r="C350" s="1" t="inlineStr">
        <is>
          <t>Ritz Blue Mingle Tiles</t>
        </is>
      </c>
      <c r="D350" s="1" t="inlineStr">
        <is>
          <t>200x200x8.5mm</t>
        </is>
      </c>
      <c r="E350" s="1" t="n">
        <v>40.95</v>
      </c>
      <c r="F350" s="1" t="n">
        <v>0</v>
      </c>
      <c r="G350" s="1" t="inlineStr"/>
      <c r="H350" s="1" t="inlineStr">
        <is>
          <t>Porcelain</t>
        </is>
      </c>
      <c r="I350" s="1" t="inlineStr">
        <is>
          <t>Matt</t>
        </is>
      </c>
      <c r="J350" t="inlineStr">
        <is>
          <t>In Stock</t>
        </is>
      </c>
      <c r="K350" t="inlineStr"/>
      <c r="L350" t="inlineStr">
        <is>
          <t>In Stock</t>
        </is>
      </c>
    </row>
    <row r="351">
      <c r="A351" s="1">
        <f>Hyperlink("https://www.wallsandfloors.co.uk/metro-300x100-tiles-almande-cream-gloss-tiles","Product")</f>
        <v/>
      </c>
      <c r="B351" s="1" t="inlineStr">
        <is>
          <t>15155</t>
        </is>
      </c>
      <c r="C351" s="1" t="inlineStr">
        <is>
          <t>Almande Greige Metro Tiles</t>
        </is>
      </c>
      <c r="D351" s="1" t="inlineStr">
        <is>
          <t>300x100x8mm</t>
        </is>
      </c>
      <c r="E351" s="1" t="n">
        <v>25.95</v>
      </c>
      <c r="F351" s="1" t="n">
        <v>0</v>
      </c>
      <c r="G351" s="1" t="inlineStr">
        <is>
          <t>SQM</t>
        </is>
      </c>
      <c r="H351" s="1" t="inlineStr">
        <is>
          <t>Ceramic</t>
        </is>
      </c>
      <c r="I351" s="1" t="inlineStr">
        <is>
          <t>Gloss</t>
        </is>
      </c>
      <c r="J351" t="inlineStr">
        <is>
          <t>In Stock</t>
        </is>
      </c>
      <c r="K351" t="inlineStr">
        <is>
          <t>In Stock</t>
        </is>
      </c>
      <c r="L351" t="inlineStr">
        <is>
          <t>In Stock</t>
        </is>
      </c>
    </row>
    <row r="352">
      <c r="A352" s="1">
        <f>Hyperlink("https://www.wallsandfloors.co.uk/rhian-40x10-tiles-perla-gloss-tiles","Product")</f>
        <v/>
      </c>
      <c r="B352" s="1" t="inlineStr">
        <is>
          <t>8937</t>
        </is>
      </c>
      <c r="C352" s="1" t="inlineStr">
        <is>
          <t>Rhian Perla Grey Gloss Tiles</t>
        </is>
      </c>
      <c r="D352" s="1" t="inlineStr">
        <is>
          <t>400x100x7mm</t>
        </is>
      </c>
      <c r="E352" s="1" t="n">
        <v>33.95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inlineStr">
        <is>
          <t>In Stock</t>
        </is>
      </c>
      <c r="K352" t="inlineStr">
        <is>
          <t>In Stock</t>
        </is>
      </c>
      <c r="L352" t="inlineStr">
        <is>
          <t>In Stock</t>
        </is>
      </c>
    </row>
    <row r="353">
      <c r="A353" s="1">
        <f>Hyperlink("https://www.wallsandfloors.co.uk/metro-300x100-tiles-blanc-white-gloss-tiles-10476","Product")</f>
        <v/>
      </c>
      <c r="B353" s="1" t="inlineStr">
        <is>
          <t>10476</t>
        </is>
      </c>
      <c r="C353" s="1" t="inlineStr">
        <is>
          <t>Blanc White Metro Tiles</t>
        </is>
      </c>
      <c r="D353" s="1" t="inlineStr">
        <is>
          <t>300x100x8mm</t>
        </is>
      </c>
      <c r="E353" s="1" t="n">
        <v>25.95</v>
      </c>
      <c r="F353" s="1" t="n">
        <v>0</v>
      </c>
      <c r="G353" s="1" t="inlineStr">
        <is>
          <t>SQM</t>
        </is>
      </c>
      <c r="H353" s="1" t="inlineStr">
        <is>
          <t>Ceramic</t>
        </is>
      </c>
      <c r="I353" s="1" t="inlineStr">
        <is>
          <t>Gloss</t>
        </is>
      </c>
      <c r="J353" t="n">
        <v>194</v>
      </c>
      <c r="K353" t="n">
        <v>194</v>
      </c>
      <c r="L353" t="n">
        <v>194</v>
      </c>
    </row>
    <row r="354">
      <c r="A354" s="1">
        <f>Hyperlink("https://www.wallsandfloors.co.uk/rhian-40x10-tiles-coco-brillo-tiles","Product")</f>
        <v/>
      </c>
      <c r="B354" s="1" t="inlineStr">
        <is>
          <t>8930</t>
        </is>
      </c>
      <c r="C354" s="1" t="inlineStr">
        <is>
          <t>Rhian Coco Cream Gloss Tiles</t>
        </is>
      </c>
      <c r="D354" s="1" t="inlineStr">
        <is>
          <t>400x100x7mm</t>
        </is>
      </c>
      <c r="E354" s="1" t="n">
        <v>33.95</v>
      </c>
      <c r="F354" s="1" t="n">
        <v>0</v>
      </c>
      <c r="G354" s="1" t="inlineStr">
        <is>
          <t>SQM</t>
        </is>
      </c>
      <c r="H354" s="1" t="inlineStr">
        <is>
          <t>Ceramic</t>
        </is>
      </c>
      <c r="I354" s="1" t="inlineStr">
        <is>
          <t>Gloss</t>
        </is>
      </c>
      <c r="J354" t="n">
        <v>76</v>
      </c>
      <c r="K354" t="n">
        <v>76</v>
      </c>
      <c r="L354" t="n">
        <v>76</v>
      </c>
    </row>
    <row r="355">
      <c r="A355" s="1">
        <f>Hyperlink("https://www.wallsandfloors.co.uk/metro-300x100-tiles-blanc-white-matt-tiles","Product")</f>
        <v/>
      </c>
      <c r="B355" s="1" t="inlineStr">
        <is>
          <t>12535</t>
        </is>
      </c>
      <c r="C355" s="1" t="inlineStr">
        <is>
          <t>Blanc White Metro Tiles</t>
        </is>
      </c>
      <c r="D355" s="1" t="inlineStr">
        <is>
          <t>300x100x8mm</t>
        </is>
      </c>
      <c r="E355" s="1" t="n">
        <v>25.95</v>
      </c>
      <c r="F355" s="1" t="n">
        <v>0</v>
      </c>
      <c r="G355" s="1" t="inlineStr">
        <is>
          <t>SQM</t>
        </is>
      </c>
      <c r="H355" s="1" t="inlineStr">
        <is>
          <t>Ceramic</t>
        </is>
      </c>
      <c r="I355" s="1" t="inlineStr">
        <is>
          <t>Matt</t>
        </is>
      </c>
      <c r="J355" t="n">
        <v>268</v>
      </c>
      <c r="K355" t="n">
        <v>268</v>
      </c>
      <c r="L355" t="n">
        <v>268</v>
      </c>
    </row>
    <row r="356">
      <c r="A356" s="1">
        <f>Hyperlink("https://www.wallsandfloors.co.uk/metro-300x100-tiles-citron-yellow-gloss-tiles","Product")</f>
        <v/>
      </c>
      <c r="B356" s="1" t="inlineStr">
        <is>
          <t>12540</t>
        </is>
      </c>
      <c r="C356" s="1" t="inlineStr">
        <is>
          <t>Citron Yellow Metro Tiles</t>
        </is>
      </c>
      <c r="D356" s="1" t="inlineStr">
        <is>
          <t>300x100x8mm</t>
        </is>
      </c>
      <c r="E356" s="1" t="n">
        <v>25.95</v>
      </c>
      <c r="F356" s="1" t="n">
        <v>0</v>
      </c>
      <c r="G356" s="1" t="inlineStr">
        <is>
          <t>SQM</t>
        </is>
      </c>
      <c r="H356" s="1" t="inlineStr">
        <is>
          <t>Ceramic</t>
        </is>
      </c>
      <c r="I356" s="1" t="inlineStr">
        <is>
          <t>Gloss</t>
        </is>
      </c>
      <c r="J356" t="n">
        <v>62</v>
      </c>
      <c r="K356" t="n">
        <v>62</v>
      </c>
      <c r="L356" t="n">
        <v>62</v>
      </c>
    </row>
    <row r="357">
      <c r="A357" s="1">
        <f>Hyperlink("https://www.wallsandfloors.co.uk/metro-200x100-tiles-victoria-gloss-cream-tiles","Product")</f>
        <v/>
      </c>
      <c r="B357" s="1" t="inlineStr">
        <is>
          <t>8398</t>
        </is>
      </c>
      <c r="C357" s="1" t="inlineStr">
        <is>
          <t>Metro Victoria Cream Gloss Tiles</t>
        </is>
      </c>
      <c r="D357" s="1" t="inlineStr">
        <is>
          <t>200x100x7mm</t>
        </is>
      </c>
      <c r="E357" s="1" t="n">
        <v>17.95</v>
      </c>
      <c r="F357" s="1" t="n">
        <v>0</v>
      </c>
      <c r="G357" s="1" t="inlineStr">
        <is>
          <t>SQM</t>
        </is>
      </c>
      <c r="H357" s="1" t="inlineStr">
        <is>
          <t>Ceramic</t>
        </is>
      </c>
      <c r="I357" s="1" t="inlineStr">
        <is>
          <t>Gloss</t>
        </is>
      </c>
      <c r="J357" t="inlineStr"/>
      <c r="K357" t="n">
        <v>183</v>
      </c>
      <c r="L357" t="n">
        <v>183</v>
      </c>
    </row>
    <row r="358">
      <c r="A358" s="1">
        <f>Hyperlink("https://www.wallsandfloors.co.uk/prismatics-gloss-orange-yellow-tiles-pumpkin-gloss-small-prg55-tiles","Product")</f>
        <v/>
      </c>
      <c r="B358" s="1" t="inlineStr">
        <is>
          <t>577</t>
        </is>
      </c>
      <c r="C358" s="1" t="inlineStr">
        <is>
          <t>Pumpkin Gloss Small (PRG55) Tiles</t>
        </is>
      </c>
      <c r="D358" s="1" t="inlineStr">
        <is>
          <t>100x100x6.5mm</t>
        </is>
      </c>
      <c r="E358" s="1" t="n">
        <v>50.95</v>
      </c>
      <c r="F358" s="1" t="n">
        <v>0</v>
      </c>
      <c r="G358" s="1" t="inlineStr">
        <is>
          <t>SQM</t>
        </is>
      </c>
      <c r="H358" s="1" t="inlineStr">
        <is>
          <t>Ceramic</t>
        </is>
      </c>
      <c r="I358" s="1" t="inlineStr">
        <is>
          <t>Gloss</t>
        </is>
      </c>
      <c r="J358" t="inlineStr">
        <is>
          <t>Out of Stock</t>
        </is>
      </c>
      <c r="K358" t="inlineStr">
        <is>
          <t>Out of Stock</t>
        </is>
      </c>
      <c r="L358" t="inlineStr">
        <is>
          <t>Out of Stock</t>
        </is>
      </c>
    </row>
    <row r="359">
      <c r="A359" s="1">
        <f>Hyperlink("https://www.wallsandfloors.co.uk/prismatics-gloss-natural-tiles-victorian-cream-medium-prv2-tiles","Product")</f>
        <v/>
      </c>
      <c r="B359" s="1" t="inlineStr">
        <is>
          <t>5349</t>
        </is>
      </c>
      <c r="C359" s="1" t="inlineStr">
        <is>
          <t>Prismatics Gloss PRV2 Victorian Cream Wall Tiles</t>
        </is>
      </c>
      <c r="D359" s="1" t="inlineStr">
        <is>
          <t>150x150x6.5mm</t>
        </is>
      </c>
      <c r="E359" s="1" t="n">
        <v>32.71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Gloss</t>
        </is>
      </c>
      <c r="J359" t="n">
        <v>85</v>
      </c>
      <c r="K359" t="n">
        <v>85</v>
      </c>
      <c r="L359" t="n">
        <v>85</v>
      </c>
    </row>
    <row r="360">
      <c r="A360" s="1">
        <f>Hyperlink("https://www.wallsandfloors.co.uk/moorland-bone-slate-effect-tiles","Product")</f>
        <v/>
      </c>
      <c r="B360" s="1" t="inlineStr">
        <is>
          <t>15616</t>
        </is>
      </c>
      <c r="C360" s="1" t="inlineStr">
        <is>
          <t>Bone Slate Effect Tiles</t>
        </is>
      </c>
      <c r="D360" s="1" t="inlineStr">
        <is>
          <t>600x300x9.7mm</t>
        </is>
      </c>
      <c r="E360" s="1" t="n">
        <v>20.95</v>
      </c>
      <c r="F360" s="1" t="n">
        <v>0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176</v>
      </c>
      <c r="L360" t="n">
        <v>176</v>
      </c>
    </row>
    <row r="361">
      <c r="A361" s="1">
        <f>Hyperlink("https://www.wallsandfloors.co.uk/parlor-wood-effect-tiles-rich-ebony-tiles","Product")</f>
        <v/>
      </c>
      <c r="B361" s="1" t="inlineStr">
        <is>
          <t>40376</t>
        </is>
      </c>
      <c r="C361" s="1" t="inlineStr">
        <is>
          <t>Parlor Rich Ebony Wood Effect Tiles</t>
        </is>
      </c>
      <c r="D361" s="1" t="inlineStr">
        <is>
          <t>1200x233x8.7mm</t>
        </is>
      </c>
      <c r="E361" s="1" t="n">
        <v>25.95</v>
      </c>
      <c r="F361" s="1" t="n">
        <v>0</v>
      </c>
      <c r="G361" s="1" t="inlineStr">
        <is>
          <t>SQM</t>
        </is>
      </c>
      <c r="H361" s="1" t="inlineStr">
        <is>
          <t>Porcelain</t>
        </is>
      </c>
      <c r="I361" s="1" t="inlineStr">
        <is>
          <t>Matt</t>
        </is>
      </c>
      <c r="J361" t="inlineStr">
        <is>
          <t>Out of Stock</t>
        </is>
      </c>
      <c r="K361" t="inlineStr">
        <is>
          <t>Out of Stock</t>
        </is>
      </c>
      <c r="L361" t="inlineStr">
        <is>
          <t>Out of Stock</t>
        </is>
      </c>
    </row>
    <row r="362">
      <c r="A362" s="1">
        <f>Hyperlink("https://www.wallsandfloors.co.uk/norcros-4-into-1-wall-floor-tile-grout-rustic-cedar","Product")</f>
        <v/>
      </c>
      <c r="B362" s="1" t="inlineStr">
        <is>
          <t>37114</t>
        </is>
      </c>
      <c r="C362" s="1" t="inlineStr">
        <is>
          <t>Norcros 4 into 1 Wall &amp; Floor Rustic Cedar Tile Grout</t>
        </is>
      </c>
      <c r="D362" s="1" t="inlineStr">
        <is>
          <t>5kg</t>
        </is>
      </c>
      <c r="E362" s="1" t="n">
        <v>10.95</v>
      </c>
      <c r="F362" s="1" t="n">
        <v>0</v>
      </c>
      <c r="G362" s="1" t="inlineStr">
        <is>
          <t>Unit</t>
        </is>
      </c>
      <c r="H362" s="1" t="inlineStr">
        <is>
          <t>Grout</t>
        </is>
      </c>
      <c r="I362" s="1" t="inlineStr">
        <is>
          <t>-</t>
        </is>
      </c>
      <c r="J362" t="inlineStr">
        <is>
          <t>In Stock</t>
        </is>
      </c>
      <c r="K362" t="inlineStr"/>
      <c r="L362" t="inlineStr">
        <is>
          <t>In Stock</t>
        </is>
      </c>
    </row>
    <row r="363">
      <c r="A363" s="1">
        <f>Hyperlink("https://www.wallsandfloors.co.uk/norcros-4-into-1-wall-floor-tile-grout-sandy-beach","Product")</f>
        <v/>
      </c>
      <c r="B363" s="1" t="inlineStr">
        <is>
          <t>37116</t>
        </is>
      </c>
      <c r="C363" s="1" t="inlineStr">
        <is>
          <t>Norcros 4 into 1 Wall &amp; Floor Sandy Beach Tile Grout</t>
        </is>
      </c>
      <c r="D363" s="1" t="inlineStr">
        <is>
          <t>5kg</t>
        </is>
      </c>
      <c r="E363" s="1" t="n">
        <v>10.95</v>
      </c>
      <c r="F363" s="1" t="n">
        <v>0</v>
      </c>
      <c r="G363" s="1" t="inlineStr">
        <is>
          <t>Unit</t>
        </is>
      </c>
      <c r="H363" s="1" t="inlineStr">
        <is>
          <t>Grout</t>
        </is>
      </c>
      <c r="I363" s="1" t="inlineStr">
        <is>
          <t>-</t>
        </is>
      </c>
      <c r="J363" t="inlineStr">
        <is>
          <t>In Stock</t>
        </is>
      </c>
      <c r="K363" t="inlineStr">
        <is>
          <t>In Stock</t>
        </is>
      </c>
      <c r="L363" t="inlineStr">
        <is>
          <t>In Stock</t>
        </is>
      </c>
    </row>
    <row r="364">
      <c r="A364" s="1">
        <f>Hyperlink("https://www.wallsandfloors.co.uk/parlor-wood-effect-tiles-nordic-maple-tiles-15079","Product")</f>
        <v/>
      </c>
      <c r="B364" s="1" t="inlineStr">
        <is>
          <t>15079</t>
        </is>
      </c>
      <c r="C364" s="1" t="inlineStr">
        <is>
          <t>Parlor Nordic Maple Wood Effect Tiles</t>
        </is>
      </c>
      <c r="D364" s="1" t="inlineStr">
        <is>
          <t>1200x233x8.5mm</t>
        </is>
      </c>
      <c r="E364" s="1" t="n">
        <v>25.95</v>
      </c>
      <c r="F364" s="1" t="n">
        <v>0</v>
      </c>
      <c r="G364" s="1" t="inlineStr">
        <is>
          <t>SQM</t>
        </is>
      </c>
      <c r="H364" s="1" t="inlineStr">
        <is>
          <t>Porcelain</t>
        </is>
      </c>
      <c r="I364" s="1" t="inlineStr">
        <is>
          <t>Matt</t>
        </is>
      </c>
      <c r="J364" t="n">
        <v>339</v>
      </c>
      <c r="K364" t="n">
        <v>339</v>
      </c>
      <c r="L364" t="n">
        <v>339</v>
      </c>
    </row>
    <row r="365">
      <c r="A365" s="1">
        <f>Hyperlink("https://www.wallsandfloors.co.uk/norcros-4-into-1-wall-floor-tile-grout-silver-grey","Product")</f>
        <v/>
      </c>
      <c r="B365" s="1" t="inlineStr">
        <is>
          <t>37118</t>
        </is>
      </c>
      <c r="C365" s="1" t="inlineStr">
        <is>
          <t>Norcros 4 into 1 Wall &amp; Floor Silver Grey Tile Grout</t>
        </is>
      </c>
      <c r="D365" s="1" t="inlineStr">
        <is>
          <t>5kg</t>
        </is>
      </c>
      <c r="E365" s="1" t="n">
        <v>10.95</v>
      </c>
      <c r="F365" s="1" t="n">
        <v>0</v>
      </c>
      <c r="G365" s="1" t="inlineStr">
        <is>
          <t>Unit</t>
        </is>
      </c>
      <c r="H365" s="1" t="inlineStr">
        <is>
          <t>Accessories</t>
        </is>
      </c>
      <c r="I365" s="1" t="inlineStr">
        <is>
          <t>-</t>
        </is>
      </c>
      <c r="J365" t="inlineStr"/>
      <c r="K365" t="n">
        <v>109</v>
      </c>
      <c r="L365" t="n">
        <v>109</v>
      </c>
    </row>
    <row r="366">
      <c r="A366" s="1">
        <f>Hyperlink("https://www.wallsandfloors.co.uk/parlor-wood-effect-tiles-fallow-walnut-tiles-14698","Product")</f>
        <v/>
      </c>
      <c r="B366" s="1" t="inlineStr">
        <is>
          <t>14698</t>
        </is>
      </c>
      <c r="C366" s="1" t="inlineStr">
        <is>
          <t>Parlor Fallow Walnut Wood Effect Tiles</t>
        </is>
      </c>
      <c r="D366" s="1" t="inlineStr">
        <is>
          <t>1200x233x8.5mm</t>
        </is>
      </c>
      <c r="E366" s="1" t="n">
        <v>25.95</v>
      </c>
      <c r="F366" s="1" t="n">
        <v>0</v>
      </c>
      <c r="G366" s="1" t="inlineStr">
        <is>
          <t>SQM</t>
        </is>
      </c>
      <c r="H366" s="1" t="inlineStr">
        <is>
          <t>Porcelain</t>
        </is>
      </c>
      <c r="I366" s="1" t="inlineStr">
        <is>
          <t>Matt</t>
        </is>
      </c>
      <c r="J366" t="n">
        <v>540</v>
      </c>
      <c r="K366" t="n">
        <v>540</v>
      </c>
      <c r="L366" t="n">
        <v>540</v>
      </c>
    </row>
    <row r="367">
      <c r="A367" s="1">
        <f>Hyperlink("https://www.wallsandfloors.co.uk/paragon-glass-mosaic-tiles-moonlight-mix-tiles","Product")</f>
        <v/>
      </c>
      <c r="B367" s="1" t="inlineStr">
        <is>
          <t>14822</t>
        </is>
      </c>
      <c r="C367" s="1" t="inlineStr">
        <is>
          <t>Moonlight Mix Tiles</t>
        </is>
      </c>
      <c r="D367" s="1" t="inlineStr">
        <is>
          <t>297x297x8mm</t>
        </is>
      </c>
      <c r="E367" s="1" t="n">
        <v>6.95</v>
      </c>
      <c r="F367" s="1" t="n">
        <v>0</v>
      </c>
      <c r="G367" s="1" t="inlineStr">
        <is>
          <t>SQM</t>
        </is>
      </c>
      <c r="H367" s="1" t="inlineStr">
        <is>
          <t>Glass</t>
        </is>
      </c>
      <c r="I367" s="1" t="inlineStr">
        <is>
          <t>Gloss</t>
        </is>
      </c>
      <c r="J367" t="n">
        <v>63</v>
      </c>
      <c r="K367" t="n">
        <v>63</v>
      </c>
      <c r="L367" t="n">
        <v>63</v>
      </c>
    </row>
    <row r="368">
      <c r="A368" s="1">
        <f>Hyperlink("https://www.wallsandfloors.co.uk/pale-grey-strip-150x50mm-tiles","Product")</f>
        <v/>
      </c>
      <c r="B368" s="1" t="inlineStr">
        <is>
          <t>990276</t>
        </is>
      </c>
      <c r="C368" s="1" t="inlineStr">
        <is>
          <t>Pale Grey Strip Tiles</t>
        </is>
      </c>
      <c r="D368" s="1" t="inlineStr">
        <is>
          <t>150x50x9-10mm</t>
        </is>
      </c>
      <c r="E368" s="1" t="n">
        <v>1.58</v>
      </c>
      <c r="F368" s="1" t="n">
        <v>0</v>
      </c>
      <c r="G368" s="1" t="inlineStr">
        <is>
          <t>SQM</t>
        </is>
      </c>
      <c r="H368" s="1" t="inlineStr">
        <is>
          <t>Porcelain</t>
        </is>
      </c>
      <c r="I368" s="1" t="inlineStr">
        <is>
          <t>Matt</t>
        </is>
      </c>
      <c r="J368" t="n">
        <v>46</v>
      </c>
      <c r="K368" t="n">
        <v>46</v>
      </c>
      <c r="L368" t="n">
        <v>46</v>
      </c>
    </row>
    <row r="369">
      <c r="A369" s="1">
        <f>Hyperlink("https://www.wallsandfloors.co.uk/norcros-4-into-1-wall-floor-tile-grout-slate-grey","Product")</f>
        <v/>
      </c>
      <c r="B369" s="1" t="inlineStr">
        <is>
          <t>37120</t>
        </is>
      </c>
      <c r="C369" s="1" t="inlineStr">
        <is>
          <t>Norcros 4 into 1 Wall &amp; Floor Slate Grey Tile Grout</t>
        </is>
      </c>
      <c r="D369" s="1" t="inlineStr">
        <is>
          <t>5kg</t>
        </is>
      </c>
      <c r="E369" s="1" t="n">
        <v>10.95</v>
      </c>
      <c r="F369" s="1" t="n">
        <v>0</v>
      </c>
      <c r="G369" s="1" t="inlineStr">
        <is>
          <t>Unit</t>
        </is>
      </c>
      <c r="H369" s="1" t="inlineStr">
        <is>
          <t>Accessories</t>
        </is>
      </c>
      <c r="I369" s="1" t="inlineStr">
        <is>
          <t>-</t>
        </is>
      </c>
      <c r="J369" t="inlineStr">
        <is>
          <t>In Stock</t>
        </is>
      </c>
      <c r="K369" t="inlineStr">
        <is>
          <t>In Stock</t>
        </is>
      </c>
      <c r="L369" t="inlineStr">
        <is>
          <t>In Stock</t>
        </is>
      </c>
    </row>
    <row r="370">
      <c r="A370" s="1">
        <f>Hyperlink("https://www.wallsandfloors.co.uk/pale-green-triangle-50x50x70mm-tiles","Product")</f>
        <v/>
      </c>
      <c r="B370" s="1" t="inlineStr">
        <is>
          <t>990175</t>
        </is>
      </c>
      <c r="C370" s="1" t="inlineStr">
        <is>
          <t>Pale Green Triangle Tiles</t>
        </is>
      </c>
      <c r="D370" s="1" t="inlineStr">
        <is>
          <t>50x50x70mm</t>
        </is>
      </c>
      <c r="E370" s="1" t="n">
        <v>2.03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inlineStr"/>
      <c r="K370" t="n">
        <v>173</v>
      </c>
      <c r="L370" t="n">
        <v>173</v>
      </c>
    </row>
    <row r="371">
      <c r="A371" s="1">
        <f>Hyperlink("https://www.wallsandfloors.co.uk/norcros-4-into-1-wall-floor-tile-grout-steel-grey","Product")</f>
        <v/>
      </c>
      <c r="B371" s="1" t="inlineStr">
        <is>
          <t>37122</t>
        </is>
      </c>
      <c r="C371" s="1" t="inlineStr">
        <is>
          <t>Norcros 4 into 1 Wall &amp; Floor Steel Grey Tile Grout</t>
        </is>
      </c>
      <c r="D371" s="1" t="inlineStr">
        <is>
          <t>5kg</t>
        </is>
      </c>
      <c r="E371" s="1" t="n">
        <v>10.95</v>
      </c>
      <c r="F371" s="1" t="n">
        <v>0</v>
      </c>
      <c r="G371" s="1" t="inlineStr">
        <is>
          <t>Unit</t>
        </is>
      </c>
      <c r="H371" s="1" t="inlineStr">
        <is>
          <t>Grout</t>
        </is>
      </c>
      <c r="I371" s="1" t="inlineStr">
        <is>
          <t>-</t>
        </is>
      </c>
      <c r="J371" t="n">
        <v>116</v>
      </c>
      <c r="K371" t="inlineStr"/>
      <c r="L371" t="n">
        <v>116</v>
      </c>
    </row>
    <row r="372">
      <c r="A372" s="1">
        <f>Hyperlink("https://www.wallsandfloors.co.uk/pale-green-triangle-35x35x50mm-tiles","Product")</f>
        <v/>
      </c>
      <c r="B372" s="1" t="inlineStr">
        <is>
          <t>990150</t>
        </is>
      </c>
      <c r="C372" s="1" t="inlineStr">
        <is>
          <t>Pale Green Triangle 35x35x50mm Tiles</t>
        </is>
      </c>
      <c r="D372" s="1" t="inlineStr">
        <is>
          <t>35x35x50mm</t>
        </is>
      </c>
      <c r="E372" s="1" t="n">
        <v>1.76</v>
      </c>
      <c r="F372" s="1" t="n">
        <v>0</v>
      </c>
      <c r="G372" s="1" t="inlineStr">
        <is>
          <t>SQM</t>
        </is>
      </c>
      <c r="H372" s="1" t="inlineStr">
        <is>
          <t>Porcelain</t>
        </is>
      </c>
      <c r="I372" s="1" t="inlineStr">
        <is>
          <t>Matt</t>
        </is>
      </c>
      <c r="J372" t="n">
        <v>562</v>
      </c>
      <c r="K372" t="inlineStr"/>
      <c r="L372" t="n">
        <v>562</v>
      </c>
    </row>
    <row r="373">
      <c r="A373" s="1">
        <f>Hyperlink("https://www.wallsandfloors.co.uk/norcros-4-into-1-wall-floor-tile-grout-tropical-ebony","Product")</f>
        <v/>
      </c>
      <c r="B373" s="1" t="inlineStr">
        <is>
          <t>37124</t>
        </is>
      </c>
      <c r="C373" s="1" t="inlineStr">
        <is>
          <t>Norcros 4 into 1 Wall &amp; Floor Tropical Ebony Tile Grout</t>
        </is>
      </c>
      <c r="D373" s="1" t="inlineStr">
        <is>
          <t>5kg</t>
        </is>
      </c>
      <c r="E373" s="1" t="n">
        <v>10.95</v>
      </c>
      <c r="F373" s="1" t="n">
        <v>0</v>
      </c>
      <c r="G373" s="1" t="inlineStr">
        <is>
          <t>Unit</t>
        </is>
      </c>
      <c r="H373" s="1" t="inlineStr">
        <is>
          <t>Grout</t>
        </is>
      </c>
      <c r="I373" s="1" t="inlineStr">
        <is>
          <t>-</t>
        </is>
      </c>
      <c r="J373" t="inlineStr">
        <is>
          <t>In Stock</t>
        </is>
      </c>
      <c r="K373" t="inlineStr">
        <is>
          <t>In Stock</t>
        </is>
      </c>
      <c r="L373" t="inlineStr">
        <is>
          <t>In Stock</t>
        </is>
      </c>
    </row>
    <row r="374">
      <c r="A374" s="1">
        <f>Hyperlink("https://www.wallsandfloors.co.uk/pale-green-strip-150x25mm-tiles","Product")</f>
        <v/>
      </c>
      <c r="B374" s="1" t="inlineStr">
        <is>
          <t>990250</t>
        </is>
      </c>
      <c r="C374" s="1" t="inlineStr">
        <is>
          <t>Pale Green Strip Tiles</t>
        </is>
      </c>
      <c r="D374" s="1" t="inlineStr">
        <is>
          <t>150x25x9-10mm</t>
        </is>
      </c>
      <c r="E374" s="1" t="n">
        <v>2.37</v>
      </c>
      <c r="F374" s="1" t="n">
        <v>0</v>
      </c>
      <c r="G374" s="1" t="inlineStr">
        <is>
          <t>SQM</t>
        </is>
      </c>
      <c r="H374" s="1" t="inlineStr">
        <is>
          <t>Porcelain</t>
        </is>
      </c>
      <c r="I374" s="1" t="inlineStr">
        <is>
          <t>Matt</t>
        </is>
      </c>
      <c r="J374" t="n">
        <v>1076</v>
      </c>
      <c r="K374" t="inlineStr"/>
      <c r="L374" t="n">
        <v>1076</v>
      </c>
    </row>
    <row r="375">
      <c r="A375" s="1">
        <f>Hyperlink("https://www.wallsandfloors.co.uk/pale-green-squares-70mm-tiles","Product")</f>
        <v/>
      </c>
      <c r="B375" s="1" t="inlineStr">
        <is>
          <t>990065</t>
        </is>
      </c>
      <c r="C375" s="1" t="inlineStr">
        <is>
          <t>Pale Green Squares 70mm Tiles</t>
        </is>
      </c>
      <c r="D375" s="1" t="inlineStr">
        <is>
          <t>70x70x9-10mm</t>
        </is>
      </c>
      <c r="E375" s="1" t="n">
        <v>1.3</v>
      </c>
      <c r="F375" s="1" t="n">
        <v>0</v>
      </c>
      <c r="G375" s="1" t="inlineStr">
        <is>
          <t>SQM</t>
        </is>
      </c>
      <c r="H375" s="1" t="inlineStr">
        <is>
          <t>Porcelain</t>
        </is>
      </c>
      <c r="I375" s="1" t="inlineStr">
        <is>
          <t>Matt</t>
        </is>
      </c>
      <c r="J375" t="inlineStr"/>
      <c r="K375" t="n">
        <v>466</v>
      </c>
      <c r="L375" t="n">
        <v>466</v>
      </c>
    </row>
    <row r="376">
      <c r="A376" s="1">
        <f>Hyperlink("https://www.wallsandfloors.co.uk/pale-green-150-spare-tiles","Product")</f>
        <v/>
      </c>
      <c r="B376" s="1" t="inlineStr">
        <is>
          <t>990003</t>
        </is>
      </c>
      <c r="C376" s="1" t="inlineStr">
        <is>
          <t>Pale Green Spare Tiles</t>
        </is>
      </c>
      <c r="D376" s="1" t="inlineStr">
        <is>
          <t>150x150x9-10mm</t>
        </is>
      </c>
      <c r="E376" s="1" t="n">
        <v>4.3</v>
      </c>
      <c r="F376" s="1" t="n">
        <v>0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inlineStr"/>
      <c r="K376" t="n">
        <v>198</v>
      </c>
      <c r="L376" t="n">
        <v>198</v>
      </c>
    </row>
    <row r="377">
      <c r="A377" s="1">
        <f>Hyperlink("https://www.wallsandfloors.co.uk/pale-blue-triangle-50x50x70mm-tiles","Product")</f>
        <v/>
      </c>
      <c r="B377" s="1" t="inlineStr">
        <is>
          <t>990174</t>
        </is>
      </c>
      <c r="C377" s="1" t="inlineStr">
        <is>
          <t>Pale Blue Triangle Tiles</t>
        </is>
      </c>
      <c r="D377" s="1" t="inlineStr">
        <is>
          <t>50x50x70mm</t>
        </is>
      </c>
      <c r="E377" s="1" t="n">
        <v>2.03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inlineStr"/>
      <c r="K377" t="inlineStr"/>
      <c r="L377" t="n">
        <v>1000</v>
      </c>
    </row>
    <row r="378">
      <c r="A378" s="1">
        <f>Hyperlink("https://www.wallsandfloors.co.uk/norcros-4-into-1-wall-floor-tile-grout-midnight-coal","Product")</f>
        <v/>
      </c>
      <c r="B378" s="1" t="inlineStr">
        <is>
          <t>37110</t>
        </is>
      </c>
      <c r="C378" s="1" t="inlineStr">
        <is>
          <t>Norcros 4 into 1 Wall &amp; Floor Midnight Coal Tile Grout</t>
        </is>
      </c>
      <c r="D378" s="1" t="inlineStr">
        <is>
          <t>5kg</t>
        </is>
      </c>
      <c r="E378" s="1" t="n">
        <v>10.95</v>
      </c>
      <c r="F378" s="1" t="n">
        <v>0</v>
      </c>
      <c r="G378" s="1" t="inlineStr">
        <is>
          <t>Unit</t>
        </is>
      </c>
      <c r="H378" s="1" t="inlineStr">
        <is>
          <t>Grout</t>
        </is>
      </c>
      <c r="I378" s="1" t="inlineStr">
        <is>
          <t>-</t>
        </is>
      </c>
      <c r="J378" t="inlineStr">
        <is>
          <t>In Stock</t>
        </is>
      </c>
      <c r="K378" t="inlineStr"/>
      <c r="L378" t="inlineStr">
        <is>
          <t>In Stock</t>
        </is>
      </c>
    </row>
    <row r="379">
      <c r="A379" s="1">
        <f>Hyperlink("https://www.wallsandfloors.co.uk/norcros-tile-to-gypsum-adhesive-22kg","Product")</f>
        <v/>
      </c>
      <c r="B379" s="1" t="inlineStr">
        <is>
          <t>33488</t>
        </is>
      </c>
      <c r="C379" s="1" t="inlineStr">
        <is>
          <t>Norcros Tile to Gypsum Adhesive 22kg</t>
        </is>
      </c>
      <c r="D379" s="1" t="inlineStr">
        <is>
          <t>22kg</t>
        </is>
      </c>
      <c r="E379" s="1" t="n">
        <v>39.95</v>
      </c>
      <c r="F379" s="1" t="n">
        <v>0</v>
      </c>
      <c r="G379" s="1" t="inlineStr">
        <is>
          <t>Unit</t>
        </is>
      </c>
      <c r="H379" s="1" t="inlineStr">
        <is>
          <t>Adhesive</t>
        </is>
      </c>
      <c r="I379" s="1" t="inlineStr">
        <is>
          <t>-</t>
        </is>
      </c>
      <c r="J379" t="inlineStr">
        <is>
          <t>In Stock</t>
        </is>
      </c>
      <c r="K379" t="inlineStr">
        <is>
          <t>In Stock</t>
        </is>
      </c>
      <c r="L379" t="inlineStr">
        <is>
          <t>In Stock</t>
        </is>
      </c>
    </row>
    <row r="380">
      <c r="A380" s="1">
        <f>Hyperlink("https://www.wallsandfloors.co.uk/parlor-wood-effect-tiles-spruce-beech-tiles","Product")</f>
        <v/>
      </c>
      <c r="B380" s="1" t="inlineStr">
        <is>
          <t>15080</t>
        </is>
      </c>
      <c r="C380" s="1" t="inlineStr">
        <is>
          <t>Parlor Spruce Beech Wood Effect Tiles</t>
        </is>
      </c>
      <c r="D380" s="1" t="inlineStr">
        <is>
          <t>1200x233x8.5mm</t>
        </is>
      </c>
      <c r="E380" s="1" t="n">
        <v>25.95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n">
        <v>296</v>
      </c>
      <c r="K380" t="n">
        <v>296</v>
      </c>
      <c r="L380" t="n">
        <v>296</v>
      </c>
    </row>
    <row r="381">
      <c r="A381" s="1">
        <f>Hyperlink("https://www.wallsandfloors.co.uk/parme-squares-50mm-tiles","Product")</f>
        <v/>
      </c>
      <c r="B381" s="1" t="inlineStr">
        <is>
          <t>990092</t>
        </is>
      </c>
      <c r="C381" s="1" t="inlineStr">
        <is>
          <t>Parme Squares 50mm Tiles</t>
        </is>
      </c>
      <c r="D381" s="1" t="inlineStr">
        <is>
          <t>50x50x9-10mm</t>
        </is>
      </c>
      <c r="E381" s="1" t="n">
        <v>0.67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n">
        <v>104</v>
      </c>
      <c r="K381" t="n">
        <v>104</v>
      </c>
      <c r="L381" t="n">
        <v>104</v>
      </c>
    </row>
    <row r="382">
      <c r="A382" s="1">
        <f>Hyperlink("https://www.wallsandfloors.co.uk/petrichor-desert-stone-tiles","Product")</f>
        <v/>
      </c>
      <c r="B382" s="1" t="inlineStr">
        <is>
          <t>35439</t>
        </is>
      </c>
      <c r="C382" s="1" t="inlineStr">
        <is>
          <t>Desert Stone Tiles</t>
        </is>
      </c>
      <c r="D382" s="1" t="inlineStr">
        <is>
          <t>597x597x10.5mm</t>
        </is>
      </c>
      <c r="E382" s="1" t="n">
        <v>19.95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n">
        <v>31</v>
      </c>
      <c r="K382" t="n">
        <v>31</v>
      </c>
      <c r="L382" t="n">
        <v>31</v>
      </c>
    </row>
    <row r="383">
      <c r="A383" s="1">
        <f>Hyperlink("https://www.wallsandfloors.co.uk/ritz-tiles-oat-gloss-decor-tile","Product")</f>
        <v/>
      </c>
      <c r="B383" s="1" t="inlineStr">
        <is>
          <t>12982</t>
        </is>
      </c>
      <c r="C383" s="1" t="inlineStr">
        <is>
          <t>Oat Gloss Decor Tile</t>
        </is>
      </c>
      <c r="D383" s="1" t="inlineStr">
        <is>
          <t>300x100x10mm</t>
        </is>
      </c>
      <c r="E383" s="1" t="n">
        <v>37.95</v>
      </c>
      <c r="F383" s="1" t="n">
        <v>0</v>
      </c>
      <c r="G383" s="1" t="inlineStr">
        <is>
          <t>SQM</t>
        </is>
      </c>
      <c r="H383" s="1" t="inlineStr">
        <is>
          <t>Ceramic</t>
        </is>
      </c>
      <c r="I383" s="1" t="inlineStr">
        <is>
          <t>Gloss</t>
        </is>
      </c>
      <c r="J383" t="inlineStr">
        <is>
          <t>In Stock</t>
        </is>
      </c>
      <c r="K383" t="inlineStr">
        <is>
          <t>In Stock</t>
        </is>
      </c>
      <c r="L383" t="inlineStr">
        <is>
          <t>In Stock</t>
        </is>
      </c>
    </row>
    <row r="384">
      <c r="A384" s="1">
        <f>Hyperlink("https://www.wallsandfloors.co.uk/noir-gloss","Product")</f>
        <v/>
      </c>
      <c r="B384" s="1" t="inlineStr">
        <is>
          <t>10475</t>
        </is>
      </c>
      <c r="C384" s="1" t="inlineStr">
        <is>
          <t>Noir Black Metro Tiles</t>
        </is>
      </c>
      <c r="D384" s="1" t="inlineStr">
        <is>
          <t>300x100x8mm</t>
        </is>
      </c>
      <c r="E384" s="1" t="n">
        <v>24.95</v>
      </c>
      <c r="F384" s="1" t="n">
        <v>0</v>
      </c>
      <c r="G384" s="1" t="inlineStr">
        <is>
          <t>SQM</t>
        </is>
      </c>
      <c r="H384" s="1" t="inlineStr">
        <is>
          <t>Ceramic</t>
        </is>
      </c>
      <c r="I384" s="1" t="inlineStr">
        <is>
          <t>Gloss</t>
        </is>
      </c>
      <c r="J384" t="inlineStr">
        <is>
          <t>In Stock</t>
        </is>
      </c>
      <c r="K384" t="inlineStr">
        <is>
          <t>In Stock</t>
        </is>
      </c>
      <c r="L384" t="inlineStr">
        <is>
          <t>In Stock</t>
        </is>
      </c>
    </row>
    <row r="385">
      <c r="A385" s="1">
        <f>Hyperlink("https://www.wallsandfloors.co.uk/norcros-4-into-1-wall-floor-tile-grout-arctic-white","Product")</f>
        <v/>
      </c>
      <c r="B385" s="1" t="inlineStr">
        <is>
          <t>37098</t>
        </is>
      </c>
      <c r="C385" s="1" t="inlineStr">
        <is>
          <t>Norcros 4 into 1 Wall &amp; Floor Arctic White Tile Grout</t>
        </is>
      </c>
      <c r="D385" s="1" t="inlineStr">
        <is>
          <t>5kg</t>
        </is>
      </c>
      <c r="E385" s="1" t="n">
        <v>10.95</v>
      </c>
      <c r="F385" s="1" t="n">
        <v>0</v>
      </c>
      <c r="G385" s="1" t="inlineStr"/>
      <c r="H385" s="1" t="inlineStr">
        <is>
          <t>Grout</t>
        </is>
      </c>
      <c r="I385" s="1" t="inlineStr">
        <is>
          <t>-</t>
        </is>
      </c>
      <c r="J385" t="n">
        <v>82</v>
      </c>
      <c r="K385" t="n">
        <v>81</v>
      </c>
      <c r="L385" t="n">
        <v>83</v>
      </c>
    </row>
    <row r="386">
      <c r="A386" s="1">
        <f>Hyperlink("https://www.wallsandfloors.co.uk/persian-stone-mosaic-tiles-trav-chira-square-tiles-27364","Product")</f>
        <v/>
      </c>
      <c r="B386" s="1" t="inlineStr">
        <is>
          <t>4218</t>
        </is>
      </c>
      <c r="C386" s="1" t="inlineStr">
        <is>
          <t>Persian Stone Trav Chira Square Mosaic Tiles</t>
        </is>
      </c>
      <c r="D386" s="1" t="inlineStr">
        <is>
          <t>300x300x10mm</t>
        </is>
      </c>
      <c r="E386" s="1" t="n">
        <v>7.95</v>
      </c>
      <c r="F386" s="1" t="n">
        <v>0</v>
      </c>
      <c r="G386" s="1" t="inlineStr">
        <is>
          <t>Sheet</t>
        </is>
      </c>
      <c r="H386" s="1" t="inlineStr">
        <is>
          <t>Stone</t>
        </is>
      </c>
      <c r="I386" s="1" t="inlineStr">
        <is>
          <t>Matt</t>
        </is>
      </c>
      <c r="J386" t="inlineStr">
        <is>
          <t>In Stock</t>
        </is>
      </c>
      <c r="K386" t="inlineStr">
        <is>
          <t>In Stock</t>
        </is>
      </c>
      <c r="L386" t="inlineStr">
        <is>
          <t>In Stock</t>
        </is>
      </c>
    </row>
    <row r="387">
      <c r="A387" s="1">
        <f>Hyperlink("https://www.wallsandfloors.co.uk/persian-stone-mosaic-tiles-polished-ivory-brick-tiles","Product")</f>
        <v/>
      </c>
      <c r="B387" s="1" t="inlineStr">
        <is>
          <t>4227</t>
        </is>
      </c>
      <c r="C387" s="1" t="inlineStr">
        <is>
          <t>Persian Stone Polished Ivory Brick Mosaic Tiles</t>
        </is>
      </c>
      <c r="D387" s="1" t="inlineStr">
        <is>
          <t>290x290x10mm</t>
        </is>
      </c>
      <c r="E387" s="1" t="n">
        <v>7.95</v>
      </c>
      <c r="F387" s="1" t="n">
        <v>0</v>
      </c>
      <c r="G387" s="1" t="inlineStr">
        <is>
          <t>Sheet</t>
        </is>
      </c>
      <c r="H387" s="1" t="inlineStr">
        <is>
          <t>Stone</t>
        </is>
      </c>
      <c r="I387" s="1" t="inlineStr">
        <is>
          <t>Matt</t>
        </is>
      </c>
      <c r="J387" t="inlineStr">
        <is>
          <t>In Stock</t>
        </is>
      </c>
      <c r="K387" t="inlineStr">
        <is>
          <t>In Stock</t>
        </is>
      </c>
      <c r="L387" t="inlineStr">
        <is>
          <t>In Stock</t>
        </is>
      </c>
    </row>
    <row r="388">
      <c r="A388" s="1">
        <f>Hyperlink("https://www.wallsandfloors.co.uk/persian-stone-mosaic-tiles-blanco-brick-tiles","Product")</f>
        <v/>
      </c>
      <c r="B388" s="1" t="inlineStr">
        <is>
          <t>4215</t>
        </is>
      </c>
      <c r="C388" s="1" t="inlineStr">
        <is>
          <t>Blanco Brick Tiles</t>
        </is>
      </c>
      <c r="D388" s="1" t="inlineStr">
        <is>
          <t>300x280x10mm</t>
        </is>
      </c>
      <c r="E388" s="1" t="n">
        <v>7.95</v>
      </c>
      <c r="F388" s="1" t="n">
        <v>0</v>
      </c>
      <c r="G388" s="1" t="inlineStr"/>
      <c r="H388" s="1" t="inlineStr">
        <is>
          <t>Stone</t>
        </is>
      </c>
      <c r="I388" s="1" t="inlineStr">
        <is>
          <t>Matt</t>
        </is>
      </c>
      <c r="J388" t="inlineStr">
        <is>
          <t>In Stock</t>
        </is>
      </c>
      <c r="K388" t="inlineStr"/>
      <c r="L388" t="inlineStr">
        <is>
          <t>In Stock</t>
        </is>
      </c>
    </row>
    <row r="389">
      <c r="A389" s="1">
        <f>Hyperlink("https://www.wallsandfloors.co.uk/perla-brillo-8374","Product")</f>
        <v/>
      </c>
      <c r="B389" s="1" t="inlineStr">
        <is>
          <t>8374</t>
        </is>
      </c>
      <c r="C389" s="1" t="inlineStr">
        <is>
          <t>Rhian Perla Grey Gloss Tiles</t>
        </is>
      </c>
      <c r="D389" s="1" t="inlineStr">
        <is>
          <t>300x100x7mm</t>
        </is>
      </c>
      <c r="E389" s="1" t="n">
        <v>25.95</v>
      </c>
      <c r="F389" s="1" t="n">
        <v>0</v>
      </c>
      <c r="G389" s="1" t="inlineStr">
        <is>
          <t>SQM</t>
        </is>
      </c>
      <c r="H389" s="1" t="inlineStr">
        <is>
          <t>Ceramic</t>
        </is>
      </c>
      <c r="I389" s="1" t="inlineStr">
        <is>
          <t>Gloss</t>
        </is>
      </c>
      <c r="J389" t="inlineStr">
        <is>
          <t>Out of Stock</t>
        </is>
      </c>
      <c r="K389" t="inlineStr">
        <is>
          <t>Out of Stock</t>
        </is>
      </c>
      <c r="L389" t="inlineStr">
        <is>
          <t>Out of Stock</t>
        </is>
      </c>
    </row>
    <row r="390">
      <c r="A390" s="1">
        <f>Hyperlink("https://www.wallsandfloors.co.uk/norcros-4-into-1-wall-floor-tile-grout-coffee-bean","Product")</f>
        <v/>
      </c>
      <c r="B390" s="1" t="inlineStr">
        <is>
          <t>37102</t>
        </is>
      </c>
      <c r="C390" s="1" t="inlineStr">
        <is>
          <t>Norcros 4 into 1 Wall &amp; Floor Coffee Bean Tile Grout</t>
        </is>
      </c>
      <c r="D390" s="1" t="inlineStr">
        <is>
          <t>5kg</t>
        </is>
      </c>
      <c r="E390" s="1" t="n">
        <v>10.95</v>
      </c>
      <c r="F390" s="1" t="n">
        <v>0</v>
      </c>
      <c r="G390" s="1" t="inlineStr">
        <is>
          <t>Unit</t>
        </is>
      </c>
      <c r="H390" s="1" t="inlineStr">
        <is>
          <t>Grout</t>
        </is>
      </c>
      <c r="I390" s="1" t="inlineStr">
        <is>
          <t>-</t>
        </is>
      </c>
      <c r="J390" t="inlineStr">
        <is>
          <t>In Stock</t>
        </is>
      </c>
      <c r="K390" t="inlineStr">
        <is>
          <t>In Stock</t>
        </is>
      </c>
      <c r="L390" t="inlineStr">
        <is>
          <t>In Stock</t>
        </is>
      </c>
    </row>
    <row r="391">
      <c r="A391" s="1">
        <f>Hyperlink("https://www.wallsandfloors.co.uk/norcros-4-into-1-wall-floor-tile-grout-cornish-cream","Product")</f>
        <v/>
      </c>
      <c r="B391" s="1" t="inlineStr">
        <is>
          <t>37104</t>
        </is>
      </c>
      <c r="C391" s="1" t="inlineStr">
        <is>
          <t>Norcros 4 into 1 Wall &amp; Floor Cornish Cream Tile Grout</t>
        </is>
      </c>
      <c r="D391" s="1" t="inlineStr">
        <is>
          <t>5kg</t>
        </is>
      </c>
      <c r="E391" s="1" t="n">
        <v>10.95</v>
      </c>
      <c r="F391" s="1" t="n">
        <v>0</v>
      </c>
      <c r="G391" s="1" t="inlineStr">
        <is>
          <t>Unit</t>
        </is>
      </c>
      <c r="H391" s="1" t="inlineStr">
        <is>
          <t>Grout</t>
        </is>
      </c>
      <c r="I391" s="1" t="inlineStr">
        <is>
          <t>-</t>
        </is>
      </c>
      <c r="J391" t="inlineStr">
        <is>
          <t>In Stock</t>
        </is>
      </c>
      <c r="K391" t="inlineStr">
        <is>
          <t>In Stock</t>
        </is>
      </c>
      <c r="L391" t="inlineStr">
        <is>
          <t>In Stock</t>
        </is>
      </c>
    </row>
    <row r="392">
      <c r="A392" s="1">
        <f>Hyperlink("https://www.wallsandfloors.co.uk/pearl-grey-triangle-50x50x70mm-tiles","Product")</f>
        <v/>
      </c>
      <c r="B392" s="1" t="inlineStr">
        <is>
          <t>990178</t>
        </is>
      </c>
      <c r="C392" s="1" t="inlineStr">
        <is>
          <t>Pearl Grey Triangle Tiles</t>
        </is>
      </c>
      <c r="D392" s="1" t="inlineStr">
        <is>
          <t>50x50x70mm</t>
        </is>
      </c>
      <c r="E392" s="1" t="n">
        <v>2.03</v>
      </c>
      <c r="F392" s="1" t="n">
        <v>0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Matt</t>
        </is>
      </c>
      <c r="J392" t="n">
        <v>898</v>
      </c>
      <c r="K392" t="n">
        <v>898</v>
      </c>
      <c r="L392" t="n">
        <v>898</v>
      </c>
    </row>
    <row r="393">
      <c r="A393" s="1">
        <f>Hyperlink("https://www.wallsandfloors.co.uk/norcros-4-into-1-wall-floor-tile-grout-forest-acorn","Product")</f>
        <v/>
      </c>
      <c r="B393" s="1" t="inlineStr">
        <is>
          <t>37106</t>
        </is>
      </c>
      <c r="C393" s="1" t="inlineStr">
        <is>
          <t>Norcros 4 into 1 Wall &amp; Floor Forest Acorn Tile Grout</t>
        </is>
      </c>
      <c r="D393" s="1" t="inlineStr">
        <is>
          <t>5kg</t>
        </is>
      </c>
      <c r="E393" s="1" t="n">
        <v>10.95</v>
      </c>
      <c r="F393" s="1" t="n">
        <v>0</v>
      </c>
      <c r="G393" s="1" t="inlineStr">
        <is>
          <t>Unit</t>
        </is>
      </c>
      <c r="H393" s="1" t="inlineStr">
        <is>
          <t>Grout</t>
        </is>
      </c>
      <c r="I393" s="1" t="inlineStr">
        <is>
          <t>-</t>
        </is>
      </c>
      <c r="J393" t="inlineStr">
        <is>
          <t>In Stock</t>
        </is>
      </c>
      <c r="K393" t="inlineStr"/>
      <c r="L393" t="inlineStr">
        <is>
          <t>In Stock</t>
        </is>
      </c>
    </row>
    <row r="394">
      <c r="A394" s="1">
        <f>Hyperlink("https://www.wallsandfloors.co.uk/pearl-grey-squares-70mm-tiles","Product")</f>
        <v/>
      </c>
      <c r="B394" s="1" t="inlineStr">
        <is>
          <t>990068</t>
        </is>
      </c>
      <c r="C394" s="1" t="inlineStr">
        <is>
          <t>Pearl Grey Squares 70mm Tiles</t>
        </is>
      </c>
      <c r="D394" s="1" t="inlineStr">
        <is>
          <t>70x70x9-10mm</t>
        </is>
      </c>
      <c r="E394" s="1" t="n">
        <v>0.85</v>
      </c>
      <c r="F394" s="1" t="n">
        <v>0</v>
      </c>
      <c r="G394" s="1" t="inlineStr">
        <is>
          <t>SQM</t>
        </is>
      </c>
      <c r="H394" s="1" t="inlineStr">
        <is>
          <t>Porcelain</t>
        </is>
      </c>
      <c r="I394" s="1" t="inlineStr">
        <is>
          <t>Matt</t>
        </is>
      </c>
      <c r="J394" t="n">
        <v>303</v>
      </c>
      <c r="K394" t="inlineStr"/>
      <c r="L394" t="n">
        <v>303</v>
      </c>
    </row>
    <row r="395">
      <c r="A395" s="1">
        <f>Hyperlink("https://www.wallsandfloors.co.uk/pearl-grey-squares-50mm-tiles","Product")</f>
        <v/>
      </c>
      <c r="B395" s="1" t="inlineStr">
        <is>
          <t>990093</t>
        </is>
      </c>
      <c r="C395" s="1" t="inlineStr">
        <is>
          <t>Pearl Grey Squares 50mm Tiles</t>
        </is>
      </c>
      <c r="D395" s="1" t="inlineStr">
        <is>
          <t>50x50x9-10mm</t>
        </is>
      </c>
      <c r="E395" s="1" t="n">
        <v>0.67</v>
      </c>
      <c r="F395" s="1" t="n">
        <v>0</v>
      </c>
      <c r="G395" s="1" t="inlineStr">
        <is>
          <t>SQM</t>
        </is>
      </c>
      <c r="H395" s="1" t="inlineStr">
        <is>
          <t>Porcelain</t>
        </is>
      </c>
      <c r="I395" s="1" t="inlineStr">
        <is>
          <t>Matt</t>
        </is>
      </c>
      <c r="J395" t="inlineStr"/>
      <c r="K395" t="n">
        <v>1205</v>
      </c>
      <c r="L395" t="n">
        <v>1205</v>
      </c>
    </row>
    <row r="396">
      <c r="A396" s="1">
        <f>Hyperlink("https://www.wallsandfloors.co.uk/pearl-grey-squares-150mm-tiles","Product")</f>
        <v/>
      </c>
      <c r="B396" s="1" t="inlineStr">
        <is>
          <t>990006</t>
        </is>
      </c>
      <c r="C396" s="1" t="inlineStr">
        <is>
          <t>Pearl Grey Squares Tiles</t>
        </is>
      </c>
      <c r="D396" s="1" t="inlineStr">
        <is>
          <t>150x150x9-10mm</t>
        </is>
      </c>
      <c r="E396" s="1" t="n">
        <v>3.95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n">
        <v>130</v>
      </c>
      <c r="K396" t="n">
        <v>130</v>
      </c>
      <c r="L396" t="n">
        <v>130</v>
      </c>
    </row>
    <row r="397">
      <c r="A397" s="1">
        <f>Hyperlink("https://www.wallsandfloors.co.uk/pearl-grey-squares-100mm-tiles","Product")</f>
        <v/>
      </c>
      <c r="B397" s="1" t="inlineStr">
        <is>
          <t>990043</t>
        </is>
      </c>
      <c r="C397" s="1" t="inlineStr">
        <is>
          <t>Pearl Grey Squares 100mm Tiles</t>
        </is>
      </c>
      <c r="D397" s="1" t="inlineStr">
        <is>
          <t>100x100x9-10mm</t>
        </is>
      </c>
      <c r="E397" s="1" t="n">
        <v>1.62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n">
        <v>35</v>
      </c>
      <c r="K397" t="n">
        <v>35</v>
      </c>
      <c r="L397" t="n">
        <v>35</v>
      </c>
    </row>
    <row r="398">
      <c r="A398" s="1">
        <f>Hyperlink("https://www.wallsandfloors.co.uk/pastiche-tiles-dusted-ornamental-decor-tiles-23200","Product")</f>
        <v/>
      </c>
      <c r="B398" s="1" t="inlineStr">
        <is>
          <t>14688</t>
        </is>
      </c>
      <c r="C398" s="1" t="inlineStr">
        <is>
          <t>Pastiche Dusted Ornamental Patchwork Pattern Tiles</t>
        </is>
      </c>
      <c r="D398" s="1" t="inlineStr">
        <is>
          <t>750x750x11mm</t>
        </is>
      </c>
      <c r="E398" s="1" t="n">
        <v>21.95</v>
      </c>
      <c r="F398" s="1" t="n">
        <v>0</v>
      </c>
      <c r="G398" s="1" t="inlineStr">
        <is>
          <t>SQM</t>
        </is>
      </c>
      <c r="H398" s="1" t="inlineStr">
        <is>
          <t>Porcelain</t>
        </is>
      </c>
      <c r="I398" s="1" t="inlineStr">
        <is>
          <t>Matt</t>
        </is>
      </c>
      <c r="J398" t="inlineStr"/>
      <c r="K398" t="n">
        <v>74</v>
      </c>
      <c r="L398" t="n">
        <v>74</v>
      </c>
    </row>
    <row r="399">
      <c r="A399" s="1">
        <f>Hyperlink("https://www.wallsandfloors.co.uk/norcros-4-into-1-wall-floor-tile-grout-golden-jasmine","Product")</f>
        <v/>
      </c>
      <c r="B399" s="1" t="inlineStr">
        <is>
          <t>37108</t>
        </is>
      </c>
      <c r="C399" s="1" t="inlineStr">
        <is>
          <t>Norcros 4 into 1 Wall &amp; Floor Golden Jasmine Tile Grout</t>
        </is>
      </c>
      <c r="D399" s="1" t="inlineStr">
        <is>
          <t>5kg</t>
        </is>
      </c>
      <c r="E399" s="1" t="n">
        <v>10.95</v>
      </c>
      <c r="F399" s="1" t="n">
        <v>0</v>
      </c>
      <c r="G399" s="1" t="inlineStr">
        <is>
          <t>Unit</t>
        </is>
      </c>
      <c r="H399" s="1" t="inlineStr">
        <is>
          <t>Grout</t>
        </is>
      </c>
      <c r="I399" s="1" t="inlineStr">
        <is>
          <t>-</t>
        </is>
      </c>
      <c r="J399" t="inlineStr">
        <is>
          <t>In Stock</t>
        </is>
      </c>
      <c r="K399" t="inlineStr"/>
      <c r="L399" t="inlineStr">
        <is>
          <t>In Stock</t>
        </is>
      </c>
    </row>
    <row r="400">
      <c r="A400" s="1">
        <f>Hyperlink("https://www.wallsandfloors.co.uk/petrichor-pearl-stone-tiles","Product")</f>
        <v/>
      </c>
      <c r="B400" s="1" t="inlineStr">
        <is>
          <t>35435</t>
        </is>
      </c>
      <c r="C400" s="1" t="inlineStr">
        <is>
          <t>Pearl Stone Tiles</t>
        </is>
      </c>
      <c r="D400" s="1" t="inlineStr">
        <is>
          <t>597x597x10.5mm</t>
        </is>
      </c>
      <c r="E400" s="1" t="n">
        <v>21.98</v>
      </c>
      <c r="F400" s="1" t="n">
        <v>0</v>
      </c>
      <c r="G400" s="1" t="inlineStr">
        <is>
          <t>SQM</t>
        </is>
      </c>
      <c r="H400" s="1" t="inlineStr">
        <is>
          <t>Porcelain</t>
        </is>
      </c>
      <c r="I400" s="1" t="inlineStr">
        <is>
          <t>Matt</t>
        </is>
      </c>
      <c r="J400" t="n">
        <v>11</v>
      </c>
      <c r="K400" t="n">
        <v>11</v>
      </c>
      <c r="L400" t="n">
        <v>11</v>
      </c>
    </row>
    <row r="401">
      <c r="A401" s="1">
        <f>Hyperlink("https://www.wallsandfloors.co.uk/pale-blue-strip-150x25mm-tiles","Product")</f>
        <v/>
      </c>
      <c r="B401" s="1" t="inlineStr">
        <is>
          <t>990249</t>
        </is>
      </c>
      <c r="C401" s="1" t="inlineStr">
        <is>
          <t>Pale Blue Strip Tiles</t>
        </is>
      </c>
      <c r="D401" s="1" t="inlineStr">
        <is>
          <t>150x25x9-10mm</t>
        </is>
      </c>
      <c r="E401" s="1" t="n">
        <v>2.37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297</v>
      </c>
      <c r="K401" t="inlineStr"/>
      <c r="L401" t="n">
        <v>297</v>
      </c>
    </row>
    <row r="402">
      <c r="A402" s="1">
        <f>Hyperlink("https://www.wallsandfloors.co.uk/palace-heat-resistant-tile-adhesive-10-kg","Product")</f>
        <v/>
      </c>
      <c r="B402" s="1" t="inlineStr">
        <is>
          <t>15381</t>
        </is>
      </c>
      <c r="C402" s="1" t="inlineStr">
        <is>
          <t>Palace Heat Resistant Tile Adhesive 10kg</t>
        </is>
      </c>
      <c r="D402" s="1" t="inlineStr">
        <is>
          <t>10 Kg</t>
        </is>
      </c>
      <c r="E402" s="1" t="n">
        <v>34.95</v>
      </c>
      <c r="F402" s="1" t="n">
        <v>0</v>
      </c>
      <c r="G402" s="1" t="inlineStr">
        <is>
          <t>Unit</t>
        </is>
      </c>
      <c r="H402" s="1" t="inlineStr">
        <is>
          <t>Adhesive</t>
        </is>
      </c>
      <c r="I402" s="1" t="inlineStr">
        <is>
          <t>-</t>
        </is>
      </c>
      <c r="J402" t="inlineStr"/>
      <c r="K402" t="inlineStr">
        <is>
          <t>In Stock</t>
        </is>
      </c>
      <c r="L402" t="inlineStr">
        <is>
          <t>In Stock</t>
        </is>
      </c>
    </row>
    <row r="403">
      <c r="A403" s="1">
        <f>Hyperlink("https://www.wallsandfloors.co.uk/ornato-bella-tiles-bella-corner-tile","Product")</f>
        <v/>
      </c>
      <c r="B403" s="1" t="inlineStr">
        <is>
          <t>15218</t>
        </is>
      </c>
      <c r="C403" s="1" t="inlineStr">
        <is>
          <t>Ornato Bella Corner Tile</t>
        </is>
      </c>
      <c r="D403" s="1" t="inlineStr">
        <is>
          <t>200x200x10mm</t>
        </is>
      </c>
      <c r="E403" s="1" t="n">
        <v>5.45</v>
      </c>
      <c r="F403" s="1" t="n">
        <v>0</v>
      </c>
      <c r="G403" s="1" t="inlineStr">
        <is>
          <t>Tile</t>
        </is>
      </c>
      <c r="H403" s="1" t="inlineStr">
        <is>
          <t>Porcelain</t>
        </is>
      </c>
      <c r="I403" s="1" t="inlineStr">
        <is>
          <t>Matt</t>
        </is>
      </c>
      <c r="J403" t="inlineStr"/>
      <c r="K403" t="inlineStr">
        <is>
          <t>In Stock</t>
        </is>
      </c>
      <c r="L403" t="inlineStr">
        <is>
          <t>In Stock</t>
        </is>
      </c>
    </row>
    <row r="404">
      <c r="A404" s="1">
        <f>Hyperlink("https://www.wallsandfloors.co.uk/ornato-bella-tiles-bella-border-tile","Product")</f>
        <v/>
      </c>
      <c r="B404" s="1" t="inlineStr">
        <is>
          <t>15219</t>
        </is>
      </c>
      <c r="C404" s="1" t="inlineStr">
        <is>
          <t>Ornato Bella Border Tile</t>
        </is>
      </c>
      <c r="D404" s="1" t="inlineStr">
        <is>
          <t>200x200x10mm</t>
        </is>
      </c>
      <c r="E404" s="1" t="n">
        <v>3.95</v>
      </c>
      <c r="F404" s="1" t="n">
        <v>0</v>
      </c>
      <c r="G404" s="1" t="inlineStr">
        <is>
          <t>Tile</t>
        </is>
      </c>
      <c r="H404" s="1" t="inlineStr">
        <is>
          <t>Porcelain</t>
        </is>
      </c>
      <c r="I404" s="1" t="inlineStr">
        <is>
          <t>Matt</t>
        </is>
      </c>
      <c r="J404" t="inlineStr"/>
      <c r="K404" t="inlineStr">
        <is>
          <t>In Stock</t>
        </is>
      </c>
      <c r="L404" t="inlineStr">
        <is>
          <t>In Stock</t>
        </is>
      </c>
    </row>
    <row r="405">
      <c r="A405" s="1">
        <f>Hyperlink("https://www.wallsandfloors.co.uk/opus-concrete-effect-tiles-gainsboro-grey-tiles","Product")</f>
        <v/>
      </c>
      <c r="B405" s="1" t="inlineStr">
        <is>
          <t>15438</t>
        </is>
      </c>
      <c r="C405" s="1" t="inlineStr">
        <is>
          <t>Opus Gainsboro Grey Concrete Effect Tiles</t>
        </is>
      </c>
      <c r="D405" s="1" t="inlineStr">
        <is>
          <t>605x605x8mm</t>
        </is>
      </c>
      <c r="E405" s="1" t="n">
        <v>20.95</v>
      </c>
      <c r="F405" s="1" t="n">
        <v>0</v>
      </c>
      <c r="G405" s="1" t="inlineStr">
        <is>
          <t>SQM</t>
        </is>
      </c>
      <c r="H405" s="1" t="inlineStr">
        <is>
          <t>Porcelain</t>
        </is>
      </c>
      <c r="I405" s="1" t="inlineStr">
        <is>
          <t>Matt</t>
        </is>
      </c>
      <c r="J405" t="inlineStr"/>
      <c r="K405" t="n">
        <v>213</v>
      </c>
      <c r="L405" t="n">
        <v>213</v>
      </c>
    </row>
    <row r="406">
      <c r="A406" s="1">
        <f>Hyperlink("https://www.wallsandfloors.co.uk/opus-concrete-effect-tiles-cinereous-grey-tiles","Product")</f>
        <v/>
      </c>
      <c r="B406" s="1" t="inlineStr">
        <is>
          <t>15437</t>
        </is>
      </c>
      <c r="C406" s="1" t="inlineStr">
        <is>
          <t>Opus Cinereous Grey Concrete Effect Tiles</t>
        </is>
      </c>
      <c r="D406" s="1" t="inlineStr">
        <is>
          <t>605x605x8mm</t>
        </is>
      </c>
      <c r="E406" s="1" t="n">
        <v>20.95</v>
      </c>
      <c r="F406" s="1" t="n">
        <v>0</v>
      </c>
      <c r="G406" s="1" t="inlineStr">
        <is>
          <t>SQM</t>
        </is>
      </c>
      <c r="H406" s="1" t="inlineStr">
        <is>
          <t>Porcelain</t>
        </is>
      </c>
      <c r="I406" s="1" t="inlineStr">
        <is>
          <t>Matt</t>
        </is>
      </c>
      <c r="J406" t="n">
        <v>116</v>
      </c>
      <c r="K406" t="n">
        <v>116</v>
      </c>
      <c r="L406" t="n">
        <v>116</v>
      </c>
    </row>
    <row r="407">
      <c r="A407" s="1">
        <f>Hyperlink("https://www.wallsandfloors.co.uk/notched-trowel-3mm-stainless-steel","Product")</f>
        <v/>
      </c>
      <c r="B407" s="1" t="inlineStr">
        <is>
          <t>27867</t>
        </is>
      </c>
      <c r="C407" s="1" t="inlineStr">
        <is>
          <t>INOX Notched Trowel 3x3 mm</t>
        </is>
      </c>
      <c r="D407" s="1" t="inlineStr">
        <is>
          <t>3x3mm</t>
        </is>
      </c>
      <c r="E407" s="1" t="n">
        <v>16.87</v>
      </c>
      <c r="F407" s="1" t="n">
        <v>0</v>
      </c>
      <c r="G407" s="1" t="inlineStr">
        <is>
          <t>Unit</t>
        </is>
      </c>
      <c r="H407" s="1" t="inlineStr">
        <is>
          <t>Tools</t>
        </is>
      </c>
      <c r="I407" s="1" t="inlineStr">
        <is>
          <t>-</t>
        </is>
      </c>
      <c r="J407" t="inlineStr">
        <is>
          <t>In Stock</t>
        </is>
      </c>
      <c r="K407" t="inlineStr">
        <is>
          <t>In Stock</t>
        </is>
      </c>
      <c r="L407" t="inlineStr">
        <is>
          <t>In Stock</t>
        </is>
      </c>
    </row>
    <row r="408">
      <c r="A408" s="1">
        <f>Hyperlink("https://www.wallsandfloors.co.uk/opal-white-imperial-tiles-gloss-opal-white-large-tiles","Product")</f>
        <v/>
      </c>
      <c r="B408" s="1" t="inlineStr">
        <is>
          <t>4427</t>
        </is>
      </c>
      <c r="C408" s="1" t="inlineStr">
        <is>
          <t>Opal Large Gloss White Tiles</t>
        </is>
      </c>
      <c r="D408" s="1" t="inlineStr">
        <is>
          <t>152x152x5.5mm</t>
        </is>
      </c>
      <c r="E408" s="1" t="n">
        <v>28.45</v>
      </c>
      <c r="F408" s="1" t="n">
        <v>0</v>
      </c>
      <c r="G408" s="1" t="inlineStr">
        <is>
          <t>SQM</t>
        </is>
      </c>
      <c r="H408" s="1" t="inlineStr">
        <is>
          <t>Ceramic</t>
        </is>
      </c>
      <c r="I408" s="1" t="inlineStr">
        <is>
          <t>Gloss</t>
        </is>
      </c>
      <c r="J408" t="n">
        <v>121</v>
      </c>
      <c r="K408" t="n">
        <v>121</v>
      </c>
      <c r="L408" t="n">
        <v>121</v>
      </c>
    </row>
    <row r="409">
      <c r="A409" s="1">
        <f>Hyperlink("https://www.wallsandfloors.co.uk/olde-victorian-floor-tiles-black-squares-50mm-tiles","Product")</f>
        <v/>
      </c>
      <c r="B409" s="1" t="inlineStr">
        <is>
          <t>990077</t>
        </is>
      </c>
      <c r="C409" s="1" t="inlineStr">
        <is>
          <t>Black Squares 50mm Tiles</t>
        </is>
      </c>
      <c r="D409" s="1" t="inlineStr">
        <is>
          <t>50x50x9-10mm</t>
        </is>
      </c>
      <c r="E409" s="1" t="n">
        <v>2.95</v>
      </c>
      <c r="F409" s="1" t="n">
        <v>0</v>
      </c>
      <c r="G409" s="1" t="inlineStr">
        <is>
          <t>Tile</t>
        </is>
      </c>
      <c r="H409" s="1" t="inlineStr">
        <is>
          <t>Porcelain</t>
        </is>
      </c>
      <c r="I409" s="1" t="inlineStr">
        <is>
          <t>Matt</t>
        </is>
      </c>
      <c r="J409" t="inlineStr">
        <is>
          <t>In Stock</t>
        </is>
      </c>
      <c r="K409" t="inlineStr">
        <is>
          <t>In Stock</t>
        </is>
      </c>
      <c r="L409" t="inlineStr">
        <is>
          <t>In Stock</t>
        </is>
      </c>
    </row>
    <row r="410">
      <c r="A410" s="1">
        <f>Hyperlink("https://www.wallsandfloors.co.uk/nutmeg-beige-wood-effect-tile","Product")</f>
        <v/>
      </c>
      <c r="B410" s="1" t="inlineStr">
        <is>
          <t>40050</t>
        </is>
      </c>
      <c r="C410" s="1" t="inlineStr">
        <is>
          <t>Nutmeg Beige Wood Effect Tiles</t>
        </is>
      </c>
      <c r="D410" s="1" t="inlineStr">
        <is>
          <t>154x600x9mm</t>
        </is>
      </c>
      <c r="E410" s="1" t="n">
        <v>16.95</v>
      </c>
      <c r="F410" s="1" t="n">
        <v>0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n">
        <v>235</v>
      </c>
      <c r="K410" t="n">
        <v>235</v>
      </c>
      <c r="L410" t="n">
        <v>235</v>
      </c>
    </row>
    <row r="411">
      <c r="A411" s="1">
        <f>Hyperlink("https://www.wallsandfloors.co.uk/nutmeg-taupe-wood-effect-tile","Product")</f>
        <v/>
      </c>
      <c r="B411" s="1" t="inlineStr">
        <is>
          <t>40052</t>
        </is>
      </c>
      <c r="C411" s="1" t="inlineStr">
        <is>
          <t>Nutmeg Taupe Wood Effect Tile</t>
        </is>
      </c>
      <c r="D411" s="1" t="inlineStr">
        <is>
          <t>154x600x9mm</t>
        </is>
      </c>
      <c r="E411" s="1" t="n">
        <v>16.95</v>
      </c>
      <c r="F411" s="1" t="n">
        <v>0</v>
      </c>
      <c r="G411" s="1" t="inlineStr">
        <is>
          <t>SQM</t>
        </is>
      </c>
      <c r="H411" s="1" t="inlineStr">
        <is>
          <t>Ceramic</t>
        </is>
      </c>
      <c r="I411" s="1" t="inlineStr">
        <is>
          <t>Matt</t>
        </is>
      </c>
      <c r="J411" t="inlineStr"/>
      <c r="K411" t="inlineStr">
        <is>
          <t>Out of Stock</t>
        </is>
      </c>
      <c r="L411" t="inlineStr">
        <is>
          <t>Out of Stock</t>
        </is>
      </c>
    </row>
    <row r="412">
      <c r="A412" s="1">
        <f>Hyperlink("https://www.wallsandfloors.co.uk/octagon-marine-tiles","Product")</f>
        <v/>
      </c>
      <c r="B412" s="1" t="inlineStr">
        <is>
          <t>43093</t>
        </is>
      </c>
      <c r="C412" s="1" t="inlineStr">
        <is>
          <t>Octagon Marine Tiles</t>
        </is>
      </c>
      <c r="D412" s="1" t="inlineStr">
        <is>
          <t>450x450x10.5mm</t>
        </is>
      </c>
      <c r="E412" s="1" t="n">
        <v>26.95</v>
      </c>
      <c r="F412" s="1" t="n">
        <v>0</v>
      </c>
      <c r="G412" s="1" t="inlineStr">
        <is>
          <t>SQM</t>
        </is>
      </c>
      <c r="H412" s="1" t="inlineStr">
        <is>
          <t>Ceramic</t>
        </is>
      </c>
      <c r="I412" s="1" t="inlineStr">
        <is>
          <t>Matt</t>
        </is>
      </c>
      <c r="J412" t="n">
        <v>230</v>
      </c>
      <c r="K412" t="n">
        <v>230</v>
      </c>
      <c r="L412" t="n">
        <v>230</v>
      </c>
    </row>
    <row r="413">
      <c r="A413" s="1">
        <f>Hyperlink("https://www.wallsandfloors.co.uk/oaken-teal-tiles","Product")</f>
        <v/>
      </c>
      <c r="B413" s="1" t="inlineStr">
        <is>
          <t>43852</t>
        </is>
      </c>
      <c r="C413" s="1" t="inlineStr">
        <is>
          <t>Oaken Teal Oxidised Hexagon Tiles</t>
        </is>
      </c>
      <c r="D413" s="1" t="inlineStr">
        <is>
          <t>333x280x9mm</t>
        </is>
      </c>
      <c r="E413" s="1" t="n">
        <v>35.95</v>
      </c>
      <c r="F413" s="1" t="n">
        <v>0</v>
      </c>
      <c r="G413" s="1" t="inlineStr">
        <is>
          <t>SQM</t>
        </is>
      </c>
      <c r="H413" s="1" t="inlineStr">
        <is>
          <t>Porcelain</t>
        </is>
      </c>
      <c r="I413" s="1" t="inlineStr">
        <is>
          <t>Matt</t>
        </is>
      </c>
      <c r="J413" t="n">
        <v>293</v>
      </c>
      <c r="K413" t="n">
        <v>293</v>
      </c>
      <c r="L413" t="n">
        <v>293</v>
      </c>
    </row>
    <row r="414">
      <c r="A414" s="1">
        <f>Hyperlink("https://www.wallsandfloors.co.uk/ocean-teal-tiles","Product")</f>
        <v/>
      </c>
      <c r="B414" s="1" t="inlineStr">
        <is>
          <t>38983</t>
        </is>
      </c>
      <c r="C414" s="1" t="inlineStr">
        <is>
          <t>Nyans Ocean Teal Wood Effect Tiles</t>
        </is>
      </c>
      <c r="D414" s="1" t="inlineStr">
        <is>
          <t>593x98x9.5mm</t>
        </is>
      </c>
      <c r="E414" s="1" t="n">
        <v>40.95</v>
      </c>
      <c r="F414" s="1" t="n">
        <v>0</v>
      </c>
      <c r="G414" s="1" t="inlineStr">
        <is>
          <t>SQM</t>
        </is>
      </c>
      <c r="H414" s="1" t="inlineStr">
        <is>
          <t>Porcelain</t>
        </is>
      </c>
      <c r="I414" s="1" t="inlineStr">
        <is>
          <t>Matt</t>
        </is>
      </c>
      <c r="J414" t="n">
        <v>133</v>
      </c>
      <c r="K414" t="inlineStr"/>
      <c r="L414" t="n">
        <v>133</v>
      </c>
    </row>
    <row r="415">
      <c r="A415" s="1">
        <f>Hyperlink("https://www.wallsandfloors.co.uk/obra-wood-mix-tiles","Product")</f>
        <v/>
      </c>
      <c r="B415" s="1" t="inlineStr">
        <is>
          <t>39075</t>
        </is>
      </c>
      <c r="C415" s="1" t="inlineStr">
        <is>
          <t>Obra Wood Mix Tiles</t>
        </is>
      </c>
      <c r="D415" s="1" t="inlineStr">
        <is>
          <t>300x300x8mm</t>
        </is>
      </c>
      <c r="E415" s="1" t="n">
        <v>29.95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68</v>
      </c>
      <c r="K415" t="inlineStr"/>
      <c r="L415" t="n">
        <v>68</v>
      </c>
    </row>
    <row r="416">
      <c r="A416" s="1">
        <f>Hyperlink("https://www.wallsandfloors.co.uk/oasis-tiles-grey-haven-tiles","Product")</f>
        <v/>
      </c>
      <c r="B416" s="1" t="inlineStr">
        <is>
          <t>14694</t>
        </is>
      </c>
      <c r="C416" s="1" t="inlineStr">
        <is>
          <t>Oasis Haven Matt Grey Tiles</t>
        </is>
      </c>
      <c r="D416" s="1" t="inlineStr">
        <is>
          <t>600x300x10mm</t>
        </is>
      </c>
      <c r="E416" s="1" t="n">
        <v>18.95</v>
      </c>
      <c r="F416" s="1" t="n">
        <v>0</v>
      </c>
      <c r="G416" s="1" t="inlineStr">
        <is>
          <t>SQM</t>
        </is>
      </c>
      <c r="H416" s="1" t="inlineStr">
        <is>
          <t>Porcelain</t>
        </is>
      </c>
      <c r="I416" s="1" t="inlineStr">
        <is>
          <t>Matt</t>
        </is>
      </c>
      <c r="J416" t="n">
        <v>253</v>
      </c>
      <c r="K416" t="n">
        <v>253</v>
      </c>
      <c r="L416" t="n">
        <v>253</v>
      </c>
    </row>
    <row r="417">
      <c r="A417" s="1">
        <f>Hyperlink("https://www.wallsandfloors.co.uk/oasis-tiles-grey-haven-mosaic-tiles","Product")</f>
        <v/>
      </c>
      <c r="B417" s="1" t="inlineStr">
        <is>
          <t>14692</t>
        </is>
      </c>
      <c r="C417" s="1" t="inlineStr">
        <is>
          <t>Grey Haven Mosaic Tiles</t>
        </is>
      </c>
      <c r="D417" s="1" t="inlineStr">
        <is>
          <t>300x300x10mm</t>
        </is>
      </c>
      <c r="E417" s="1" t="n">
        <v>7.95</v>
      </c>
      <c r="F417" s="1" t="n">
        <v>0</v>
      </c>
      <c r="G417" s="1" t="inlineStr">
        <is>
          <t>Sheet</t>
        </is>
      </c>
      <c r="H417" s="1" t="inlineStr">
        <is>
          <t>Porcelain</t>
        </is>
      </c>
      <c r="I417" s="1" t="inlineStr">
        <is>
          <t>Matt</t>
        </is>
      </c>
      <c r="J417" t="inlineStr">
        <is>
          <t>In Stock</t>
        </is>
      </c>
      <c r="K417" t="inlineStr">
        <is>
          <t>In Stock</t>
        </is>
      </c>
      <c r="L417" t="inlineStr">
        <is>
          <t>In Stock</t>
        </is>
      </c>
    </row>
    <row r="418">
      <c r="A418" s="1">
        <f>Hyperlink("https://www.wallsandfloors.co.uk/oasis-tiles-cream-haven-tiles","Product")</f>
        <v/>
      </c>
      <c r="B418" s="1" t="inlineStr">
        <is>
          <t>14693</t>
        </is>
      </c>
      <c r="C418" s="1" t="inlineStr">
        <is>
          <t>Oasis Haven Matt Cream Tiles</t>
        </is>
      </c>
      <c r="D418" s="1" t="inlineStr">
        <is>
          <t>600x300x10mm</t>
        </is>
      </c>
      <c r="E418" s="1" t="n">
        <v>18.95</v>
      </c>
      <c r="F418" s="1" t="n">
        <v>0</v>
      </c>
      <c r="G418" s="1" t="inlineStr">
        <is>
          <t>SQM</t>
        </is>
      </c>
      <c r="H418" s="1" t="inlineStr">
        <is>
          <t>Porcelain</t>
        </is>
      </c>
      <c r="I418" s="1" t="inlineStr">
        <is>
          <t>Matt</t>
        </is>
      </c>
      <c r="J418" t="n">
        <v>195</v>
      </c>
      <c r="K418" t="inlineStr"/>
      <c r="L418" t="n">
        <v>196</v>
      </c>
    </row>
    <row r="419">
      <c r="A419" s="1">
        <f>Hyperlink("https://www.wallsandfloors.co.uk/oasis-tiles-cream-haven-mosaic-tiles","Product")</f>
        <v/>
      </c>
      <c r="B419" s="1" t="inlineStr">
        <is>
          <t>14691</t>
        </is>
      </c>
      <c r="C419" s="1" t="inlineStr">
        <is>
          <t>Cream Haven Mosaic Tiles</t>
        </is>
      </c>
      <c r="D419" s="1" t="inlineStr">
        <is>
          <t>300x300x10mm</t>
        </is>
      </c>
      <c r="E419" s="1" t="n">
        <v>7.95</v>
      </c>
      <c r="F419" s="1" t="n">
        <v>0</v>
      </c>
      <c r="G419" s="1" t="inlineStr">
        <is>
          <t>Sheet</t>
        </is>
      </c>
      <c r="H419" s="1" t="inlineStr">
        <is>
          <t>Porcelain</t>
        </is>
      </c>
      <c r="I419" s="1" t="inlineStr">
        <is>
          <t>Matt</t>
        </is>
      </c>
      <c r="J419" t="inlineStr">
        <is>
          <t>In Stock</t>
        </is>
      </c>
      <c r="K419" t="inlineStr">
        <is>
          <t>In Stock</t>
        </is>
      </c>
      <c r="L419" t="inlineStr">
        <is>
          <t>In Stock</t>
        </is>
      </c>
    </row>
    <row r="420">
      <c r="A420" s="1">
        <f>Hyperlink("https://www.wallsandfloors.co.uk/ornato-bella-tiles-bella-decor-tile","Product")</f>
        <v/>
      </c>
      <c r="B420" s="1" t="inlineStr">
        <is>
          <t>15217</t>
        </is>
      </c>
      <c r="C420" s="1" t="inlineStr">
        <is>
          <t>Ornato Bella Decor Tile</t>
        </is>
      </c>
      <c r="D420" s="1" t="inlineStr">
        <is>
          <t>200x200x10mm</t>
        </is>
      </c>
      <c r="E420" s="1" t="n">
        <v>50.95</v>
      </c>
      <c r="F420" s="1" t="n">
        <v>0</v>
      </c>
      <c r="G420" s="1" t="inlineStr">
        <is>
          <t>SQM</t>
        </is>
      </c>
      <c r="H420" s="1" t="inlineStr">
        <is>
          <t>Porcelain</t>
        </is>
      </c>
      <c r="I420" s="1" t="inlineStr">
        <is>
          <t>Matt</t>
        </is>
      </c>
      <c r="J420" t="n">
        <v>138</v>
      </c>
      <c r="K420" t="n">
        <v>138</v>
      </c>
      <c r="L420" t="n">
        <v>138</v>
      </c>
    </row>
    <row r="421">
      <c r="A421" s="1">
        <f>Hyperlink("https://www.wallsandfloors.co.uk/pale-blue-squares-70mm-tiles","Product")</f>
        <v/>
      </c>
      <c r="B421" s="1" t="inlineStr">
        <is>
          <t>990064</t>
        </is>
      </c>
      <c r="C421" s="1" t="inlineStr">
        <is>
          <t>Pale Blue Squares 70mm Tiles</t>
        </is>
      </c>
      <c r="D421" s="1" t="inlineStr">
        <is>
          <t>70x70x9-10mm</t>
        </is>
      </c>
      <c r="E421" s="1" t="n">
        <v>1.3</v>
      </c>
      <c r="F421" s="1" t="n">
        <v>0</v>
      </c>
      <c r="G421" s="1" t="inlineStr">
        <is>
          <t>SQM</t>
        </is>
      </c>
      <c r="H421" s="1" t="inlineStr">
        <is>
          <t>Porcelain</t>
        </is>
      </c>
      <c r="I421" s="1" t="inlineStr">
        <is>
          <t>Matt</t>
        </is>
      </c>
      <c r="J421" t="n">
        <v>694</v>
      </c>
      <c r="K421" t="n">
        <v>694</v>
      </c>
      <c r="L421" t="n">
        <v>694</v>
      </c>
    </row>
    <row r="422">
      <c r="A422" s="1">
        <f>Hyperlink("https://www.wallsandfloors.co.uk/ornato-bella-tiles-bianca-opaco-tile","Product")</f>
        <v/>
      </c>
      <c r="B422" s="1" t="inlineStr">
        <is>
          <t>15216</t>
        </is>
      </c>
      <c r="C422" s="1" t="inlineStr">
        <is>
          <t>Ornato Bianca Opaco Tile</t>
        </is>
      </c>
      <c r="D422" s="1" t="inlineStr">
        <is>
          <t>200x200x10mm</t>
        </is>
      </c>
      <c r="E422" s="1" t="n">
        <v>40.95</v>
      </c>
      <c r="F422" s="1" t="n">
        <v>0</v>
      </c>
      <c r="G422" s="1" t="inlineStr">
        <is>
          <t>SQM</t>
        </is>
      </c>
      <c r="H422" s="1" t="inlineStr">
        <is>
          <t>Porcelain</t>
        </is>
      </c>
      <c r="I422" s="1" t="inlineStr">
        <is>
          <t>Matt</t>
        </is>
      </c>
      <c r="J422" t="inlineStr">
        <is>
          <t>In Stock</t>
        </is>
      </c>
      <c r="K422" t="inlineStr">
        <is>
          <t>In Stock</t>
        </is>
      </c>
      <c r="L422" t="inlineStr">
        <is>
          <t>In Stock</t>
        </is>
      </c>
    </row>
    <row r="423">
      <c r="A423" s="1">
        <f>Hyperlink("https://www.wallsandfloors.co.uk/ornato-bella-tiles-grigio-opaco-tile","Product")</f>
        <v/>
      </c>
      <c r="B423" s="1" t="inlineStr">
        <is>
          <t>15214</t>
        </is>
      </c>
      <c r="C423" s="1" t="inlineStr">
        <is>
          <t>Ornato Grigio Opaco Tile</t>
        </is>
      </c>
      <c r="D423" s="1" t="inlineStr">
        <is>
          <t>200x200x10mm</t>
        </is>
      </c>
      <c r="E423" s="1" t="n">
        <v>40.95</v>
      </c>
      <c r="F423" s="1" t="n">
        <v>0</v>
      </c>
      <c r="G423" s="1" t="inlineStr">
        <is>
          <t>SQM</t>
        </is>
      </c>
      <c r="H423" s="1" t="inlineStr">
        <is>
          <t>Porcelain</t>
        </is>
      </c>
      <c r="I423" s="1" t="inlineStr">
        <is>
          <t>Matt</t>
        </is>
      </c>
      <c r="J423" t="inlineStr"/>
      <c r="K423" t="inlineStr">
        <is>
          <t>In Stock</t>
        </is>
      </c>
      <c r="L423" t="inlineStr">
        <is>
          <t>In Stock</t>
        </is>
      </c>
    </row>
    <row r="424">
      <c r="A424" s="1">
        <f>Hyperlink("https://www.wallsandfloors.co.uk/norcros-wall-grout-white-3-5kg","Product")</f>
        <v/>
      </c>
      <c r="B424" s="1" t="inlineStr">
        <is>
          <t>33560</t>
        </is>
      </c>
      <c r="C424" s="1" t="inlineStr">
        <is>
          <t>Norcros White Wall Tile Grout</t>
        </is>
      </c>
      <c r="D424" s="1" t="inlineStr">
        <is>
          <t>3.5kg</t>
        </is>
      </c>
      <c r="E424" s="1" t="n">
        <v>14.95</v>
      </c>
      <c r="F424" s="1" t="n">
        <v>0</v>
      </c>
      <c r="G424" s="1" t="inlineStr">
        <is>
          <t>Unit</t>
        </is>
      </c>
      <c r="H424" s="1" t="inlineStr">
        <is>
          <t>Grout</t>
        </is>
      </c>
      <c r="I424" s="1" t="inlineStr">
        <is>
          <t>-</t>
        </is>
      </c>
      <c r="J424" t="inlineStr">
        <is>
          <t>In Stock</t>
        </is>
      </c>
      <c r="K424" t="inlineStr">
        <is>
          <t>In Stock</t>
        </is>
      </c>
      <c r="L424" t="inlineStr">
        <is>
          <t>In Stock</t>
        </is>
      </c>
    </row>
    <row r="425">
      <c r="A425" s="1">
        <f>Hyperlink("https://www.wallsandfloors.co.uk/p-v-c-straight-edge-trim-white-08mm-46751","Product")</f>
        <v/>
      </c>
      <c r="B425" s="1" t="inlineStr">
        <is>
          <t>9476</t>
        </is>
      </c>
      <c r="C425" s="1" t="inlineStr">
        <is>
          <t>White 8mm PVC Straight Edge Tile Trim</t>
        </is>
      </c>
      <c r="D425" s="1" t="inlineStr">
        <is>
          <t>2.5m Length x 8mm Depth</t>
        </is>
      </c>
      <c r="E425" s="1" t="n">
        <v>2.95</v>
      </c>
      <c r="F425" s="1" t="n">
        <v>0</v>
      </c>
      <c r="G425" s="1" t="inlineStr">
        <is>
          <t>Unit</t>
        </is>
      </c>
      <c r="H425" s="1" t="inlineStr">
        <is>
          <t>P.V.C.</t>
        </is>
      </c>
      <c r="I425" s="1" t="inlineStr">
        <is>
          <t>-</t>
        </is>
      </c>
      <c r="J425" t="inlineStr"/>
      <c r="K425" t="inlineStr"/>
      <c r="L425" t="inlineStr">
        <is>
          <t>In Stock</t>
        </is>
      </c>
    </row>
    <row r="426">
      <c r="A426" s="1">
        <f>Hyperlink("https://www.wallsandfloors.co.uk/norcross-one-part-flexible-grey-20kg","Product")</f>
        <v/>
      </c>
      <c r="B426" s="1" t="inlineStr">
        <is>
          <t>33496</t>
        </is>
      </c>
      <c r="C426" s="1" t="inlineStr">
        <is>
          <t>Norcros One Part Flexible Grey Tile Adhesive</t>
        </is>
      </c>
      <c r="D426" s="1" t="inlineStr">
        <is>
          <t>20kg</t>
        </is>
      </c>
      <c r="E426" s="1" t="n">
        <v>16.95</v>
      </c>
      <c r="F426" s="1" t="n">
        <v>0</v>
      </c>
      <c r="G426" s="1" t="inlineStr">
        <is>
          <t>Unit</t>
        </is>
      </c>
      <c r="H426" s="1" t="inlineStr">
        <is>
          <t>Adhesive</t>
        </is>
      </c>
      <c r="I426" s="1" t="inlineStr">
        <is>
          <t>-</t>
        </is>
      </c>
      <c r="J426" t="inlineStr"/>
      <c r="K426" t="inlineStr">
        <is>
          <t>In Stock</t>
        </is>
      </c>
      <c r="L426" t="inlineStr">
        <is>
          <t>In Stock</t>
        </is>
      </c>
    </row>
    <row r="427">
      <c r="A427" s="1">
        <f>Hyperlink("https://www.wallsandfloors.co.uk/p-v-c-economic-tile-edge-trim-06mm-depth-white-trim","Product")</f>
        <v/>
      </c>
      <c r="B427" s="1" t="inlineStr">
        <is>
          <t>9419</t>
        </is>
      </c>
      <c r="C427" s="1" t="inlineStr">
        <is>
          <t>White PVC Tile Trim</t>
        </is>
      </c>
      <c r="D427" s="1" t="inlineStr">
        <is>
          <t>2.5m Length x 6mm Depth</t>
        </is>
      </c>
      <c r="E427" s="1" t="n">
        <v>3.99</v>
      </c>
      <c r="F427" s="1" t="n">
        <v>0</v>
      </c>
      <c r="G427" s="1" t="inlineStr">
        <is>
          <t>Unit</t>
        </is>
      </c>
      <c r="H427" s="1" t="inlineStr">
        <is>
          <t>P.V.C.</t>
        </is>
      </c>
      <c r="I427" s="1" t="inlineStr">
        <is>
          <t>-</t>
        </is>
      </c>
      <c r="J427" t="n">
        <v>601</v>
      </c>
      <c r="K427" t="n">
        <v>601</v>
      </c>
      <c r="L427" t="n">
        <v>601</v>
      </c>
    </row>
    <row r="428">
      <c r="A428" s="1">
        <f>Hyperlink("https://www.wallsandfloors.co.uk/otono-tiles-white-gloss-marble-effect-wall-tiles","Product")</f>
        <v/>
      </c>
      <c r="B428" s="1" t="inlineStr">
        <is>
          <t>12135</t>
        </is>
      </c>
      <c r="C428" s="1" t="inlineStr">
        <is>
          <t>Otono White Gloss Marble Effect Wall Tiles</t>
        </is>
      </c>
      <c r="D428" s="1" t="inlineStr">
        <is>
          <t>400x250x8mm</t>
        </is>
      </c>
      <c r="E428" s="1" t="n">
        <v>18.95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Gloss</t>
        </is>
      </c>
      <c r="J428" t="n">
        <v>100</v>
      </c>
      <c r="K428" t="n">
        <v>100</v>
      </c>
      <c r="L428" t="n">
        <v>100</v>
      </c>
    </row>
    <row r="429">
      <c r="A429" s="1">
        <f>Hyperlink("https://www.wallsandfloors.co.uk/ornato-carino-tiles-taupe-opaco-tile","Product")</f>
        <v/>
      </c>
      <c r="B429" s="1" t="inlineStr">
        <is>
          <t>15215</t>
        </is>
      </c>
      <c r="C429" s="1" t="inlineStr">
        <is>
          <t>Taupe Opaco Tile</t>
        </is>
      </c>
      <c r="D429" s="1" t="inlineStr">
        <is>
          <t>200x200x10mm</t>
        </is>
      </c>
      <c r="E429" s="1" t="n">
        <v>40.95</v>
      </c>
      <c r="F429" s="1" t="n">
        <v>0</v>
      </c>
      <c r="G429" s="1" t="inlineStr">
        <is>
          <t>SQM</t>
        </is>
      </c>
      <c r="H429" s="1" t="inlineStr">
        <is>
          <t>Porcelain</t>
        </is>
      </c>
      <c r="I429" s="1" t="inlineStr">
        <is>
          <t>Matt</t>
        </is>
      </c>
      <c r="J429" t="n">
        <v>56</v>
      </c>
      <c r="K429" t="n">
        <v>56</v>
      </c>
      <c r="L429" t="n">
        <v>56</v>
      </c>
    </row>
    <row r="430">
      <c r="A430" s="1">
        <f>Hyperlink("https://www.wallsandfloors.co.uk/ornato-carino-tiles-signorile-taupe-tile","Product")</f>
        <v/>
      </c>
      <c r="B430" s="1" t="inlineStr">
        <is>
          <t>15224</t>
        </is>
      </c>
      <c r="C430" s="1" t="inlineStr">
        <is>
          <t>Signorile Taupe Tile</t>
        </is>
      </c>
      <c r="D430" s="1" t="inlineStr">
        <is>
          <t>200x200x10mm</t>
        </is>
      </c>
      <c r="E430" s="1" t="n">
        <v>50.95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n">
        <v>65</v>
      </c>
      <c r="K430" t="inlineStr"/>
      <c r="L430" t="n">
        <v>65</v>
      </c>
    </row>
    <row r="431">
      <c r="A431" s="1">
        <f>Hyperlink("https://www.wallsandfloors.co.uk/ornato-carino-tiles-crema-opaco-tile","Product")</f>
        <v/>
      </c>
      <c r="B431" s="1" t="inlineStr">
        <is>
          <t>15213</t>
        </is>
      </c>
      <c r="C431" s="1" t="inlineStr">
        <is>
          <t>Crema Opaco Tile</t>
        </is>
      </c>
      <c r="D431" s="1" t="inlineStr">
        <is>
          <t>200x200x10mm</t>
        </is>
      </c>
      <c r="E431" s="1" t="n">
        <v>40.95</v>
      </c>
      <c r="F431" s="1" t="n">
        <v>0</v>
      </c>
      <c r="G431" s="1" t="inlineStr">
        <is>
          <t>SQM</t>
        </is>
      </c>
      <c r="H431" s="1" t="inlineStr">
        <is>
          <t>Porcelain</t>
        </is>
      </c>
      <c r="I431" s="1" t="inlineStr">
        <is>
          <t>Matt</t>
        </is>
      </c>
      <c r="J431" t="n">
        <v>312</v>
      </c>
      <c r="K431" t="inlineStr"/>
      <c r="L431" t="n">
        <v>312</v>
      </c>
    </row>
    <row r="432">
      <c r="A432" s="1">
        <f>Hyperlink("https://www.wallsandfloors.co.uk/ornato-carino-tiles-carino-decor-tile","Product")</f>
        <v/>
      </c>
      <c r="B432" s="1" t="inlineStr">
        <is>
          <t>15221</t>
        </is>
      </c>
      <c r="C432" s="1" t="inlineStr">
        <is>
          <t>Carino Decor Tile</t>
        </is>
      </c>
      <c r="D432" s="1" t="inlineStr">
        <is>
          <t>200x200x10mm</t>
        </is>
      </c>
      <c r="E432" s="1" t="n">
        <v>50.95</v>
      </c>
      <c r="F432" s="1" t="n">
        <v>0</v>
      </c>
      <c r="G432" s="1" t="inlineStr">
        <is>
          <t>SQM</t>
        </is>
      </c>
      <c r="H432" s="1" t="inlineStr">
        <is>
          <t>Porcelain</t>
        </is>
      </c>
      <c r="I432" s="1" t="inlineStr">
        <is>
          <t>Matt</t>
        </is>
      </c>
      <c r="J432" t="inlineStr">
        <is>
          <t>Out of Stock</t>
        </is>
      </c>
      <c r="K432" t="inlineStr">
        <is>
          <t>Out of Stock</t>
        </is>
      </c>
      <c r="L432" t="inlineStr">
        <is>
          <t>Out of Stock</t>
        </is>
      </c>
    </row>
    <row r="433">
      <c r="A433" s="1">
        <f>Hyperlink("https://www.wallsandfloors.co.uk/ornato-carino-tiles-carino-corner-tile","Product")</f>
        <v/>
      </c>
      <c r="B433" s="1" t="inlineStr">
        <is>
          <t>15222</t>
        </is>
      </c>
      <c r="C433" s="1" t="inlineStr">
        <is>
          <t>Ornato Carino Corner Tile</t>
        </is>
      </c>
      <c r="D433" s="1" t="inlineStr">
        <is>
          <t>200x200x10mm</t>
        </is>
      </c>
      <c r="E433" s="1" t="n">
        <v>5.45</v>
      </c>
      <c r="F433" s="1" t="n">
        <v>0</v>
      </c>
      <c r="G433" s="1" t="inlineStr">
        <is>
          <t>SQM</t>
        </is>
      </c>
      <c r="H433" s="1" t="inlineStr">
        <is>
          <t>Porcelain</t>
        </is>
      </c>
      <c r="I433" s="1" t="inlineStr">
        <is>
          <t>Matt</t>
        </is>
      </c>
      <c r="J433" t="n">
        <v>74</v>
      </c>
      <c r="K433" t="n">
        <v>74</v>
      </c>
      <c r="L433" t="n">
        <v>74</v>
      </c>
    </row>
    <row r="434">
      <c r="A434" s="1">
        <f>Hyperlink("https://www.wallsandfloors.co.uk/ornato-carino-tiles-carino-border-tile","Product")</f>
        <v/>
      </c>
      <c r="B434" s="1" t="inlineStr">
        <is>
          <t>15223</t>
        </is>
      </c>
      <c r="C434" s="1" t="inlineStr">
        <is>
          <t>Ornato Carino Border Tile</t>
        </is>
      </c>
      <c r="D434" s="1" t="inlineStr">
        <is>
          <t>200x200x10mm</t>
        </is>
      </c>
      <c r="E434" s="1" t="n">
        <v>3.95</v>
      </c>
      <c r="F434" s="1" t="n">
        <v>0</v>
      </c>
      <c r="G434" s="1" t="inlineStr">
        <is>
          <t>Tile</t>
        </is>
      </c>
      <c r="H434" s="1" t="inlineStr">
        <is>
          <t>Porcelain</t>
        </is>
      </c>
      <c r="I434" s="1" t="inlineStr">
        <is>
          <t>Matt</t>
        </is>
      </c>
      <c r="J434" t="inlineStr">
        <is>
          <t>In Stock</t>
        </is>
      </c>
      <c r="K434" t="inlineStr">
        <is>
          <t>In Stock</t>
        </is>
      </c>
      <c r="L434" t="inlineStr">
        <is>
          <t>In Stock</t>
        </is>
      </c>
    </row>
    <row r="435">
      <c r="A435" s="1">
        <f>Hyperlink("https://www.wallsandfloors.co.uk/ornato-blochetto-tiles-blochetto-decor-tile","Product")</f>
        <v/>
      </c>
      <c r="B435" s="1" t="inlineStr">
        <is>
          <t>15225</t>
        </is>
      </c>
      <c r="C435" s="1" t="inlineStr">
        <is>
          <t>Blochetto Decor Tile</t>
        </is>
      </c>
      <c r="D435" s="1" t="inlineStr">
        <is>
          <t>200x200x10mm</t>
        </is>
      </c>
      <c r="E435" s="1" t="n">
        <v>50.95</v>
      </c>
      <c r="F435" s="1" t="n">
        <v>0</v>
      </c>
      <c r="G435" s="1" t="inlineStr">
        <is>
          <t>SQM</t>
        </is>
      </c>
      <c r="H435" s="1" t="inlineStr">
        <is>
          <t>Porcelain</t>
        </is>
      </c>
      <c r="I435" s="1" t="inlineStr">
        <is>
          <t>Matt</t>
        </is>
      </c>
      <c r="J435" t="inlineStr">
        <is>
          <t>In Stock</t>
        </is>
      </c>
      <c r="K435" t="inlineStr">
        <is>
          <t>In Stock</t>
        </is>
      </c>
      <c r="L435" t="inlineStr">
        <is>
          <t>In Stock</t>
        </is>
      </c>
    </row>
    <row r="436">
      <c r="A436" s="1">
        <f>Hyperlink("https://www.wallsandfloors.co.uk/ornato-blochetto-tiles-blochetto-corner-tile","Product")</f>
        <v/>
      </c>
      <c r="B436" s="1" t="inlineStr">
        <is>
          <t>15226</t>
        </is>
      </c>
      <c r="C436" s="1" t="inlineStr">
        <is>
          <t>Blochetto Corner Tile</t>
        </is>
      </c>
      <c r="D436" s="1" t="inlineStr">
        <is>
          <t>200x200x10mm</t>
        </is>
      </c>
      <c r="E436" s="1" t="n">
        <v>5.45</v>
      </c>
      <c r="F436" s="1" t="n">
        <v>0</v>
      </c>
      <c r="G436" s="1" t="inlineStr">
        <is>
          <t>Tile</t>
        </is>
      </c>
      <c r="H436" s="1" t="inlineStr">
        <is>
          <t>Porcelain</t>
        </is>
      </c>
      <c r="I436" s="1" t="inlineStr">
        <is>
          <t>Matt</t>
        </is>
      </c>
      <c r="J436" t="inlineStr"/>
      <c r="K436" t="inlineStr"/>
      <c r="L436" t="inlineStr">
        <is>
          <t>In Stock</t>
        </is>
      </c>
    </row>
    <row r="437">
      <c r="A437" s="1">
        <f>Hyperlink("https://www.wallsandfloors.co.uk/ornato-blochetto-tiles-blochetto-border-tile","Product")</f>
        <v/>
      </c>
      <c r="B437" s="1" t="inlineStr">
        <is>
          <t>15227</t>
        </is>
      </c>
      <c r="C437" s="1" t="inlineStr">
        <is>
          <t>Blochetto Border Tile</t>
        </is>
      </c>
      <c r="D437" s="1" t="inlineStr">
        <is>
          <t>200x200x10mm</t>
        </is>
      </c>
      <c r="E437" s="1" t="n">
        <v>3.95</v>
      </c>
      <c r="F437" s="1" t="n">
        <v>0</v>
      </c>
      <c r="G437" s="1" t="inlineStr">
        <is>
          <t>Tile</t>
        </is>
      </c>
      <c r="H437" s="1" t="inlineStr">
        <is>
          <t>Porcelain</t>
        </is>
      </c>
      <c r="I437" s="1" t="inlineStr">
        <is>
          <t>Matt</t>
        </is>
      </c>
      <c r="J437" t="inlineStr">
        <is>
          <t>In Stock</t>
        </is>
      </c>
      <c r="K437" t="inlineStr">
        <is>
          <t>In Stock</t>
        </is>
      </c>
      <c r="L437" t="inlineStr">
        <is>
          <t>In Stock</t>
        </is>
      </c>
    </row>
    <row r="438">
      <c r="A438" s="1">
        <f>Hyperlink("https://www.wallsandfloors.co.uk/noroke-dawn-taupe-60-60-tiles","Product")</f>
        <v/>
      </c>
      <c r="B438" s="1" t="inlineStr">
        <is>
          <t>35432</t>
        </is>
      </c>
      <c r="C438" s="1" t="inlineStr">
        <is>
          <t>Noroke Dawn Taupe Tiles</t>
        </is>
      </c>
      <c r="D438" s="1" t="inlineStr">
        <is>
          <t>597x597x9mm</t>
        </is>
      </c>
      <c r="E438" s="1" t="n">
        <v>21.65</v>
      </c>
      <c r="F438" s="1" t="n">
        <v>0</v>
      </c>
      <c r="G438" s="1" t="inlineStr">
        <is>
          <t>SQM</t>
        </is>
      </c>
      <c r="H438" s="1" t="inlineStr">
        <is>
          <t>Porcelain</t>
        </is>
      </c>
      <c r="I438" s="1" t="inlineStr">
        <is>
          <t>Matt</t>
        </is>
      </c>
      <c r="J438" t="n">
        <v>52</v>
      </c>
      <c r="K438" t="n">
        <v>52</v>
      </c>
      <c r="L438" t="n">
        <v>52</v>
      </c>
    </row>
    <row r="439">
      <c r="A439" s="1">
        <f>Hyperlink("https://www.wallsandfloors.co.uk/ornato-bella-tiles-signorile-bianca-tile","Product")</f>
        <v/>
      </c>
      <c r="B439" s="1" t="inlineStr">
        <is>
          <t>15220</t>
        </is>
      </c>
      <c r="C439" s="1" t="inlineStr">
        <is>
          <t>Ornato Signorile Bianca Tile</t>
        </is>
      </c>
      <c r="D439" s="1" t="inlineStr">
        <is>
          <t>200x200x10mm</t>
        </is>
      </c>
      <c r="E439" s="1" t="n">
        <v>50.95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Matt</t>
        </is>
      </c>
      <c r="J439" t="inlineStr">
        <is>
          <t>In Stock</t>
        </is>
      </c>
      <c r="K439" t="inlineStr">
        <is>
          <t>In Stock</t>
        </is>
      </c>
      <c r="L439" t="inlineStr">
        <is>
          <t>In Stock</t>
        </is>
      </c>
    </row>
    <row r="440">
      <c r="A440" s="1">
        <f>Hyperlink("https://www.wallsandfloors.co.uk/ornato-bella-tiles-nero-opaco-tiles","Product")</f>
        <v/>
      </c>
      <c r="B440" s="1" t="inlineStr">
        <is>
          <t>15212</t>
        </is>
      </c>
      <c r="C440" s="1" t="inlineStr">
        <is>
          <t>Ornato Nero Opaco Tiles</t>
        </is>
      </c>
      <c r="D440" s="1" t="inlineStr">
        <is>
          <t>200x200x10mm</t>
        </is>
      </c>
      <c r="E440" s="1" t="n">
        <v>40.95</v>
      </c>
      <c r="F440" s="1" t="n">
        <v>0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inlineStr">
        <is>
          <t>In Stock</t>
        </is>
      </c>
      <c r="K440" t="inlineStr">
        <is>
          <t>In Stock</t>
        </is>
      </c>
      <c r="L440" t="inlineStr">
        <is>
          <t>In Stock</t>
        </is>
      </c>
    </row>
    <row r="441">
      <c r="A441" s="1">
        <f>Hyperlink("https://www.wallsandfloors.co.uk/noroke-dawn-taupe-60x30-tiles","Product")</f>
        <v/>
      </c>
      <c r="B441" s="1" t="inlineStr">
        <is>
          <t>35433</t>
        </is>
      </c>
      <c r="C441" s="1" t="inlineStr">
        <is>
          <t>Noroke Dawn Taupe Tiles</t>
        </is>
      </c>
      <c r="D441" s="1" t="inlineStr">
        <is>
          <t>297x597x9mm</t>
        </is>
      </c>
      <c r="E441" s="1" t="n">
        <v>17.69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Matt</t>
        </is>
      </c>
      <c r="J441" t="inlineStr">
        <is>
          <t>In Stock</t>
        </is>
      </c>
      <c r="K441" t="inlineStr">
        <is>
          <t>In Stock</t>
        </is>
      </c>
      <c r="L441" t="inlineStr">
        <is>
          <t>In Stock</t>
        </is>
      </c>
    </row>
    <row r="442">
      <c r="A442" s="1">
        <f>Hyperlink("https://www.wallsandfloors.co.uk/petticoat-lane-tiles-gloss-silver-travertine-effect-tiles","Product")</f>
        <v/>
      </c>
      <c r="B442" s="1" t="inlineStr">
        <is>
          <t>15564</t>
        </is>
      </c>
      <c r="C442" s="1" t="inlineStr">
        <is>
          <t>Petticoat Gloss Silver Travertine Effect Tiles</t>
        </is>
      </c>
      <c r="D442" s="1" t="inlineStr">
        <is>
          <t>300x200x9mm</t>
        </is>
      </c>
      <c r="E442" s="1" t="n">
        <v>30.95</v>
      </c>
      <c r="F442" s="1" t="n">
        <v>0</v>
      </c>
      <c r="G442" s="1" t="inlineStr">
        <is>
          <t>SQM</t>
        </is>
      </c>
      <c r="H442" s="1" t="inlineStr">
        <is>
          <t>Ceramic</t>
        </is>
      </c>
      <c r="I442" s="1" t="inlineStr">
        <is>
          <t>Gloss</t>
        </is>
      </c>
      <c r="J442" t="inlineStr"/>
      <c r="K442" t="inlineStr">
        <is>
          <t>In Stock</t>
        </is>
      </c>
      <c r="L442" t="inlineStr">
        <is>
          <t>In Stock</t>
        </is>
      </c>
    </row>
    <row r="443">
      <c r="A443" s="1">
        <f>Hyperlink("https://www.wallsandfloors.co.uk/niebla-mosaic-tiles-urumea-mix-tiles","Product")</f>
        <v/>
      </c>
      <c r="B443" s="1" t="inlineStr">
        <is>
          <t>12028</t>
        </is>
      </c>
      <c r="C443" s="1" t="inlineStr">
        <is>
          <t>Niebla Urumea Blue Mosaic Tiles</t>
        </is>
      </c>
      <c r="D443" s="1" t="inlineStr">
        <is>
          <t>333x333x5mm</t>
        </is>
      </c>
      <c r="E443" s="1" t="n">
        <v>10.95</v>
      </c>
      <c r="F443" s="1" t="n">
        <v>0</v>
      </c>
      <c r="G443" s="1" t="inlineStr">
        <is>
          <t>Sheet</t>
        </is>
      </c>
      <c r="H443" s="1" t="inlineStr">
        <is>
          <t>Glass</t>
        </is>
      </c>
      <c r="I443" s="1" t="inlineStr">
        <is>
          <t>Matt</t>
        </is>
      </c>
      <c r="J443" t="inlineStr">
        <is>
          <t>In Stock</t>
        </is>
      </c>
      <c r="K443" t="inlineStr">
        <is>
          <t>In Stock</t>
        </is>
      </c>
      <c r="L443" t="inlineStr">
        <is>
          <t>In Stock</t>
        </is>
      </c>
    </row>
    <row r="444">
      <c r="A444" s="1">
        <f>Hyperlink("https://www.wallsandfloors.co.uk/petticoat-lane-tiles-satin-silver-travertine-effect-tiles","Product")</f>
        <v/>
      </c>
      <c r="B444" s="1" t="inlineStr">
        <is>
          <t>15565</t>
        </is>
      </c>
      <c r="C444" s="1" t="inlineStr">
        <is>
          <t>Petticoat Satin Silver Travertine Effect Tiles</t>
        </is>
      </c>
      <c r="D444" s="1" t="inlineStr">
        <is>
          <t>300x200x9mm</t>
        </is>
      </c>
      <c r="E444" s="1" t="n">
        <v>30.95</v>
      </c>
      <c r="F444" s="1" t="n">
        <v>0</v>
      </c>
      <c r="G444" s="1" t="inlineStr">
        <is>
          <t>SQM</t>
        </is>
      </c>
      <c r="H444" s="1" t="inlineStr">
        <is>
          <t>Ceramic</t>
        </is>
      </c>
      <c r="I444" s="1" t="inlineStr">
        <is>
          <t>Satin</t>
        </is>
      </c>
      <c r="J444" t="n">
        <v>151</v>
      </c>
      <c r="K444" t="n">
        <v>151</v>
      </c>
      <c r="L444" t="n">
        <v>151</v>
      </c>
    </row>
    <row r="445">
      <c r="A445" s="1">
        <f>Hyperlink("https://www.wallsandfloors.co.uk/polished-light-grey-tiles-600x600","Product")</f>
        <v/>
      </c>
      <c r="B445" s="1" t="inlineStr">
        <is>
          <t>11198</t>
        </is>
      </c>
      <c r="C445" s="1" t="inlineStr">
        <is>
          <t>Lounge Polished Light Grey Tiles</t>
        </is>
      </c>
      <c r="D445" s="1" t="inlineStr">
        <is>
          <t>600x600x9mm</t>
        </is>
      </c>
      <c r="E445" s="1" t="n">
        <v>29.95</v>
      </c>
      <c r="F445" s="1" t="n">
        <v>0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Polished</t>
        </is>
      </c>
      <c r="J445" t="n">
        <v>429</v>
      </c>
      <c r="K445" t="n">
        <v>429</v>
      </c>
      <c r="L445" t="n">
        <v>429</v>
      </c>
    </row>
    <row r="446">
      <c r="A446" s="1">
        <f>Hyperlink("https://www.wallsandfloors.co.uk/plush-velvet-tiles","Product")</f>
        <v/>
      </c>
      <c r="B446" s="1" t="inlineStr">
        <is>
          <t>37869</t>
        </is>
      </c>
      <c r="C446" s="1" t="inlineStr">
        <is>
          <t>Plush Velvet Matt Tiles</t>
        </is>
      </c>
      <c r="D446" s="1" t="inlineStr">
        <is>
          <t>225x75x6mm</t>
        </is>
      </c>
      <c r="E446" s="1" t="n">
        <v>40.95</v>
      </c>
      <c r="F446" s="1" t="n">
        <v>0</v>
      </c>
      <c r="G446" s="1" t="inlineStr">
        <is>
          <t>SQM</t>
        </is>
      </c>
      <c r="H446" s="1" t="inlineStr">
        <is>
          <t>Ceramic</t>
        </is>
      </c>
      <c r="I446" s="1" t="inlineStr">
        <is>
          <t>Matt</t>
        </is>
      </c>
      <c r="J446" t="n">
        <v>56</v>
      </c>
      <c r="K446" t="inlineStr"/>
      <c r="L446" t="n">
        <v>56</v>
      </c>
    </row>
    <row r="447">
      <c r="A447" s="1">
        <f>Hyperlink("https://www.wallsandfloors.co.uk/plush-velvet-shine-tiles","Product")</f>
        <v/>
      </c>
      <c r="B447" s="1" t="inlineStr">
        <is>
          <t>37868</t>
        </is>
      </c>
      <c r="C447" s="1" t="inlineStr">
        <is>
          <t>Plush Velvet Shine Tiles</t>
        </is>
      </c>
      <c r="D447" s="1" t="inlineStr">
        <is>
          <t>225x75x6mm</t>
        </is>
      </c>
      <c r="E447" s="1" t="n">
        <v>40.95</v>
      </c>
      <c r="F447" s="1" t="n">
        <v>0</v>
      </c>
      <c r="G447" s="1" t="inlineStr">
        <is>
          <t>SQM</t>
        </is>
      </c>
      <c r="H447" s="1" t="inlineStr">
        <is>
          <t>Ceramic</t>
        </is>
      </c>
      <c r="I447" s="1" t="inlineStr">
        <is>
          <t>Gloss</t>
        </is>
      </c>
      <c r="J447" t="inlineStr"/>
      <c r="K447" t="inlineStr"/>
      <c r="L447" t="n">
        <v>60</v>
      </c>
    </row>
    <row r="448">
      <c r="A448" s="1">
        <f>Hyperlink("https://www.wallsandfloors.co.uk/plush-silk-tiles","Product")</f>
        <v/>
      </c>
      <c r="B448" s="1" t="inlineStr">
        <is>
          <t>37875</t>
        </is>
      </c>
      <c r="C448" s="1" t="inlineStr">
        <is>
          <t>Plush Silk Matt Tiles</t>
        </is>
      </c>
      <c r="D448" s="1" t="inlineStr">
        <is>
          <t>225x75x6mm</t>
        </is>
      </c>
      <c r="E448" s="1" t="n">
        <v>40.95</v>
      </c>
      <c r="F448" s="1" t="n">
        <v>0</v>
      </c>
      <c r="G448" s="1" t="inlineStr">
        <is>
          <t>SQM</t>
        </is>
      </c>
      <c r="H448" s="1" t="inlineStr">
        <is>
          <t>Ceramic</t>
        </is>
      </c>
      <c r="I448" s="1" t="inlineStr">
        <is>
          <t>Matt</t>
        </is>
      </c>
      <c r="J448" t="inlineStr"/>
      <c r="K448" t="n">
        <v>147</v>
      </c>
      <c r="L448" t="n">
        <v>147</v>
      </c>
    </row>
    <row r="449">
      <c r="A449" s="1">
        <f>Hyperlink("https://www.wallsandfloors.co.uk/plush-silk-shine-tiles","Product")</f>
        <v/>
      </c>
      <c r="B449" s="1" t="inlineStr">
        <is>
          <t>37874</t>
        </is>
      </c>
      <c r="C449" s="1" t="inlineStr">
        <is>
          <t>Plush Silk Shine Tiles</t>
        </is>
      </c>
      <c r="D449" s="1" t="inlineStr">
        <is>
          <t>225x75x6mm</t>
        </is>
      </c>
      <c r="E449" s="1" t="n">
        <v>40.95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inlineStr">
        <is>
          <t>In Stock</t>
        </is>
      </c>
      <c r="K449" t="inlineStr">
        <is>
          <t>In Stock</t>
        </is>
      </c>
      <c r="L449" t="inlineStr">
        <is>
          <t>In Stock</t>
        </is>
      </c>
    </row>
    <row r="450">
      <c r="A450" s="1">
        <f>Hyperlink("https://www.wallsandfloors.co.uk/plush-cocktail-tiles","Product")</f>
        <v/>
      </c>
      <c r="B450" s="1" t="inlineStr">
        <is>
          <t>37871</t>
        </is>
      </c>
      <c r="C450" s="1" t="inlineStr">
        <is>
          <t>Plush Cocktail Matt Tiles</t>
        </is>
      </c>
      <c r="D450" s="1" t="inlineStr">
        <is>
          <t>225x75x6mm</t>
        </is>
      </c>
      <c r="E450" s="1" t="n">
        <v>40.95</v>
      </c>
      <c r="F450" s="1" t="n">
        <v>0</v>
      </c>
      <c r="G450" s="1" t="inlineStr">
        <is>
          <t>SQM</t>
        </is>
      </c>
      <c r="H450" s="1" t="inlineStr">
        <is>
          <t>Ceramic</t>
        </is>
      </c>
      <c r="I450" s="1" t="inlineStr">
        <is>
          <t>Matt</t>
        </is>
      </c>
      <c r="J450" t="n">
        <v>111</v>
      </c>
      <c r="K450" t="n">
        <v>111</v>
      </c>
      <c r="L450" t="n">
        <v>111</v>
      </c>
    </row>
    <row r="451">
      <c r="A451" s="1">
        <f>Hyperlink("https://www.wallsandfloors.co.uk/plush-cocktail-shine-tiles","Product")</f>
        <v/>
      </c>
      <c r="B451" s="1" t="inlineStr">
        <is>
          <t>37870</t>
        </is>
      </c>
      <c r="C451" s="1" t="inlineStr">
        <is>
          <t>Plush Cocktail Shine Tiles</t>
        </is>
      </c>
      <c r="D451" s="1" t="inlineStr">
        <is>
          <t>225x75x6mm</t>
        </is>
      </c>
      <c r="E451" s="1" t="n">
        <v>40.95</v>
      </c>
      <c r="F451" s="1" t="n">
        <v>0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Gloss</t>
        </is>
      </c>
      <c r="J451" t="n">
        <v>68</v>
      </c>
      <c r="K451" t="n">
        <v>68</v>
      </c>
      <c r="L451" t="n">
        <v>68</v>
      </c>
    </row>
    <row r="452">
      <c r="A452" s="1">
        <f>Hyperlink("https://www.wallsandfloors.co.uk/plush-champagne-tiles","Product")</f>
        <v/>
      </c>
      <c r="B452" s="1" t="inlineStr">
        <is>
          <t>37873</t>
        </is>
      </c>
      <c r="C452" s="1" t="inlineStr">
        <is>
          <t>Plush Champagne Matt Tiles</t>
        </is>
      </c>
      <c r="D452" s="1" t="inlineStr">
        <is>
          <t>225x75x6mm</t>
        </is>
      </c>
      <c r="E452" s="1" t="n">
        <v>40.95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Matt</t>
        </is>
      </c>
      <c r="J452" t="n">
        <v>154</v>
      </c>
      <c r="K452" t="n">
        <v>154</v>
      </c>
      <c r="L452" t="n">
        <v>154</v>
      </c>
    </row>
    <row r="453">
      <c r="A453" s="1">
        <f>Hyperlink("https://www.wallsandfloors.co.uk/plush-champagne-shine-tiles","Product")</f>
        <v/>
      </c>
      <c r="B453" s="1" t="inlineStr">
        <is>
          <t>37872</t>
        </is>
      </c>
      <c r="C453" s="1" t="inlineStr">
        <is>
          <t>Plush Champagne Shine Tiles</t>
        </is>
      </c>
      <c r="D453" s="1" t="inlineStr">
        <is>
          <t>225x75x6mm</t>
        </is>
      </c>
      <c r="E453" s="1" t="n">
        <v>40.95</v>
      </c>
      <c r="F453" s="1" t="n">
        <v>0</v>
      </c>
      <c r="G453" s="1" t="inlineStr">
        <is>
          <t>SQM</t>
        </is>
      </c>
      <c r="H453" s="1" t="inlineStr">
        <is>
          <t>Ceramic</t>
        </is>
      </c>
      <c r="I453" s="1" t="inlineStr">
        <is>
          <t>Gloss</t>
        </is>
      </c>
      <c r="J453" t="n">
        <v>79</v>
      </c>
      <c r="K453" t="n">
        <v>79</v>
      </c>
      <c r="L453" t="n">
        <v>79</v>
      </c>
    </row>
    <row r="454">
      <c r="A454" s="1">
        <f>Hyperlink("https://www.wallsandfloors.co.uk/plush-antique-tiles","Product")</f>
        <v/>
      </c>
      <c r="B454" s="1" t="inlineStr">
        <is>
          <t>37867</t>
        </is>
      </c>
      <c r="C454" s="1" t="inlineStr">
        <is>
          <t>Plush Antique Matt Tiles</t>
        </is>
      </c>
      <c r="D454" s="1" t="inlineStr">
        <is>
          <t>225x75x6mm</t>
        </is>
      </c>
      <c r="E454" s="1" t="n">
        <v>40.95</v>
      </c>
      <c r="F454" s="1" t="n">
        <v>0</v>
      </c>
      <c r="G454" s="1" t="inlineStr">
        <is>
          <t>SQM</t>
        </is>
      </c>
      <c r="H454" s="1" t="inlineStr">
        <is>
          <t>Ceramic</t>
        </is>
      </c>
      <c r="I454" s="1" t="inlineStr">
        <is>
          <t>Matt</t>
        </is>
      </c>
      <c r="J454" t="inlineStr"/>
      <c r="K454" t="inlineStr">
        <is>
          <t>In Stock</t>
        </is>
      </c>
      <c r="L454" t="inlineStr">
        <is>
          <t>In Stock</t>
        </is>
      </c>
    </row>
    <row r="455">
      <c r="A455" s="1">
        <f>Hyperlink("https://www.wallsandfloors.co.uk/nacre-mosaic-tiles-keshi-mosaic-tiles","Product")</f>
        <v/>
      </c>
      <c r="B455" s="1" t="inlineStr">
        <is>
          <t>13241</t>
        </is>
      </c>
      <c r="C455" s="1" t="inlineStr">
        <is>
          <t>Keshi Mosaic Tiles</t>
        </is>
      </c>
      <c r="D455" s="1" t="inlineStr">
        <is>
          <t>300x300x8mm</t>
        </is>
      </c>
      <c r="E455" s="1" t="n">
        <v>11.95</v>
      </c>
      <c r="F455" s="1" t="n">
        <v>0</v>
      </c>
      <c r="G455" s="1" t="inlineStr">
        <is>
          <t>Sheet</t>
        </is>
      </c>
      <c r="H455" s="1" t="inlineStr">
        <is>
          <t>Glass</t>
        </is>
      </c>
      <c r="I455" s="1" t="inlineStr">
        <is>
          <t>Mixed</t>
        </is>
      </c>
      <c r="J455" t="inlineStr"/>
      <c r="K455" t="n">
        <v>6</v>
      </c>
      <c r="L455" t="n">
        <v>6</v>
      </c>
    </row>
    <row r="456">
      <c r="A456" s="1">
        <f>Hyperlink("https://www.wallsandfloors.co.uk/nantlle-valley-midnight-charcoal-slate-effect-mosaic-tiles","Product")</f>
        <v/>
      </c>
      <c r="B456" s="1" t="inlineStr">
        <is>
          <t>40288</t>
        </is>
      </c>
      <c r="C456" s="1" t="inlineStr">
        <is>
          <t>Nantlle Valley Midnight Charcoal Slate Effect Mosaic Tiles</t>
        </is>
      </c>
      <c r="D456" s="1" t="inlineStr">
        <is>
          <t>300x300x10.3mm</t>
        </is>
      </c>
      <c r="E456" s="1" t="n">
        <v>10.95</v>
      </c>
      <c r="F456" s="1" t="n">
        <v>0</v>
      </c>
      <c r="G456" s="1" t="inlineStr">
        <is>
          <t>Sheet</t>
        </is>
      </c>
      <c r="H456" s="1" t="inlineStr">
        <is>
          <t>Porcelain</t>
        </is>
      </c>
      <c r="I456" s="1" t="inlineStr">
        <is>
          <t>Matt</t>
        </is>
      </c>
      <c r="J456" t="inlineStr">
        <is>
          <t>In Stock</t>
        </is>
      </c>
      <c r="K456" t="inlineStr">
        <is>
          <t>In Stock</t>
        </is>
      </c>
      <c r="L456" t="inlineStr">
        <is>
          <t>In Stock</t>
        </is>
      </c>
    </row>
    <row r="457">
      <c r="A457" s="1">
        <f>Hyperlink("https://www.wallsandfloors.co.uk/plastic-tub-black-color-n-3-40-l","Product")</f>
        <v/>
      </c>
      <c r="B457" s="1" t="inlineStr">
        <is>
          <t>40422</t>
        </is>
      </c>
      <c r="C457" s="1" t="inlineStr">
        <is>
          <t>Plastic tub Black 40Ltr</t>
        </is>
      </c>
      <c r="D457" s="1" t="inlineStr">
        <is>
          <t>40Ltr</t>
        </is>
      </c>
      <c r="E457" s="1" t="n">
        <v>5.58</v>
      </c>
      <c r="F457" s="1" t="n">
        <v>0</v>
      </c>
      <c r="G457" s="1" t="inlineStr">
        <is>
          <t>Unit</t>
        </is>
      </c>
      <c r="H457" s="1" t="inlineStr">
        <is>
          <t>Tools</t>
        </is>
      </c>
      <c r="I457" s="1" t="inlineStr">
        <is>
          <t>-</t>
        </is>
      </c>
      <c r="J457" t="inlineStr">
        <is>
          <t>In Stock</t>
        </is>
      </c>
      <c r="K457" t="inlineStr">
        <is>
          <t>In Stock</t>
        </is>
      </c>
      <c r="L457" t="inlineStr">
        <is>
          <t>In Stock</t>
        </is>
      </c>
    </row>
    <row r="458">
      <c r="A458" s="1">
        <f>Hyperlink("https://www.wallsandfloors.co.uk/planet-plaster-60x30-tiles","Product")</f>
        <v/>
      </c>
      <c r="B458" s="1" t="inlineStr">
        <is>
          <t>34710</t>
        </is>
      </c>
      <c r="C458" s="1" t="inlineStr">
        <is>
          <t>Planet Plaster Beige Tiles</t>
        </is>
      </c>
      <c r="D458" s="1" t="inlineStr">
        <is>
          <t>600x300x10mm</t>
        </is>
      </c>
      <c r="E458" s="1" t="n">
        <v>15</v>
      </c>
      <c r="F458" s="1" t="n">
        <v>0</v>
      </c>
      <c r="G458" s="1" t="inlineStr">
        <is>
          <t>SQM</t>
        </is>
      </c>
      <c r="H458" s="1" t="inlineStr">
        <is>
          <t>Porcelain</t>
        </is>
      </c>
      <c r="I458" s="1" t="inlineStr">
        <is>
          <t>Matt</t>
        </is>
      </c>
      <c r="J458" t="n">
        <v>125</v>
      </c>
      <c r="K458" t="n">
        <v>125</v>
      </c>
      <c r="L458" t="n">
        <v>125</v>
      </c>
    </row>
    <row r="459">
      <c r="A459" s="1">
        <f>Hyperlink("https://www.wallsandfloors.co.uk/planate-plaster-beige-60x60-2-slab-tiles","Product")</f>
        <v/>
      </c>
      <c r="B459" s="1" t="inlineStr">
        <is>
          <t>44176</t>
        </is>
      </c>
      <c r="C459" s="1" t="inlineStr">
        <is>
          <t>Planate Plaster Beige Porcelain Paving Slabs</t>
        </is>
      </c>
      <c r="D459" s="1" t="inlineStr">
        <is>
          <t>600x600x20mm</t>
        </is>
      </c>
      <c r="E459" s="1" t="n">
        <v>37.95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Matt</t>
        </is>
      </c>
      <c r="J459" t="inlineStr"/>
      <c r="K459" t="n">
        <v>237</v>
      </c>
      <c r="L459" t="n">
        <v>237</v>
      </c>
    </row>
    <row r="460">
      <c r="A460" s="1">
        <f>Hyperlink("https://www.wallsandfloors.co.uk/planate-plaster-beige-60x30-tiles","Product")</f>
        <v/>
      </c>
      <c r="B460" s="1" t="inlineStr">
        <is>
          <t>44107</t>
        </is>
      </c>
      <c r="C460" s="1" t="inlineStr">
        <is>
          <t>Planate Plaster Beige Tiles</t>
        </is>
      </c>
      <c r="D460" s="1" t="inlineStr">
        <is>
          <t>600x300x9.5mm</t>
        </is>
      </c>
      <c r="E460" s="1" t="n">
        <v>19.95</v>
      </c>
      <c r="F460" s="1" t="n">
        <v>0</v>
      </c>
      <c r="G460" s="1" t="inlineStr">
        <is>
          <t>SQM</t>
        </is>
      </c>
      <c r="H460" s="1" t="inlineStr">
        <is>
          <t>Porcelain</t>
        </is>
      </c>
      <c r="I460" s="1" t="inlineStr">
        <is>
          <t>Matt</t>
        </is>
      </c>
      <c r="J460" t="n">
        <v>223</v>
      </c>
      <c r="K460" t="n">
        <v>223</v>
      </c>
      <c r="L460" t="n">
        <v>223</v>
      </c>
    </row>
    <row r="461">
      <c r="A461" s="1">
        <f>Hyperlink("https://www.wallsandfloors.co.uk/planate-liquorice-charcoal-60x60-tiles","Product")</f>
        <v/>
      </c>
      <c r="B461" s="1" t="inlineStr">
        <is>
          <t>44105</t>
        </is>
      </c>
      <c r="C461" s="1" t="inlineStr">
        <is>
          <t>Planate Liquorice Charcoal Tiles</t>
        </is>
      </c>
      <c r="D461" s="1" t="inlineStr">
        <is>
          <t>600x600x9.5mm</t>
        </is>
      </c>
      <c r="E461" s="1" t="n">
        <v>20.95</v>
      </c>
      <c r="F461" s="1" t="n">
        <v>0</v>
      </c>
      <c r="G461" s="1" t="inlineStr">
        <is>
          <t>SQM</t>
        </is>
      </c>
      <c r="H461" s="1" t="inlineStr">
        <is>
          <t>Porcelain</t>
        </is>
      </c>
      <c r="I461" s="1" t="inlineStr">
        <is>
          <t>Matt</t>
        </is>
      </c>
      <c r="J461" t="n">
        <v>937</v>
      </c>
      <c r="K461" t="inlineStr"/>
      <c r="L461" t="n">
        <v>937</v>
      </c>
    </row>
    <row r="462">
      <c r="A462" s="1">
        <f>Hyperlink("https://www.wallsandfloors.co.uk/polished-marble-mosaic-tiles-carrara-polished-tiles","Product")</f>
        <v/>
      </c>
      <c r="B462" s="1" t="inlineStr">
        <is>
          <t>11481</t>
        </is>
      </c>
      <c r="C462" s="1" t="inlineStr">
        <is>
          <t>Polished Carrara Marble Mosaic Tiles</t>
        </is>
      </c>
      <c r="D462" s="1" t="inlineStr">
        <is>
          <t>305x305x9mm</t>
        </is>
      </c>
      <c r="E462" s="1" t="n">
        <v>6.23</v>
      </c>
      <c r="F462" s="1" t="n">
        <v>0</v>
      </c>
      <c r="G462" s="1" t="inlineStr">
        <is>
          <t>Sheet</t>
        </is>
      </c>
      <c r="H462" s="1" t="inlineStr">
        <is>
          <t>Marble</t>
        </is>
      </c>
      <c r="I462" s="1" t="inlineStr">
        <is>
          <t>Semi-Polished</t>
        </is>
      </c>
      <c r="J462" t="n">
        <v>8</v>
      </c>
      <c r="K462" t="n">
        <v>8</v>
      </c>
      <c r="L462" t="n">
        <v>8</v>
      </c>
    </row>
    <row r="463">
      <c r="A463" s="1">
        <f>Hyperlink("https://www.wallsandfloors.co.uk/planate-liquorice-charcoal-60x60-2-slab-tiles","Product")</f>
        <v/>
      </c>
      <c r="B463" s="1" t="inlineStr">
        <is>
          <t>44110</t>
        </is>
      </c>
      <c r="C463" s="1" t="inlineStr">
        <is>
          <t>Planate Liquorice Charcoal Porcelain Paving Slabs</t>
        </is>
      </c>
      <c r="D463" s="1" t="inlineStr">
        <is>
          <t>600x600x20mm</t>
        </is>
      </c>
      <c r="E463" s="1" t="n">
        <v>37.95</v>
      </c>
      <c r="F463" s="1" t="n">
        <v>0</v>
      </c>
      <c r="G463" s="1" t="inlineStr">
        <is>
          <t>SQM</t>
        </is>
      </c>
      <c r="H463" s="1" t="inlineStr">
        <is>
          <t>Porcelain</t>
        </is>
      </c>
      <c r="I463" s="1" t="inlineStr">
        <is>
          <t>Matt</t>
        </is>
      </c>
      <c r="J463" t="inlineStr">
        <is>
          <t>Out of Stock</t>
        </is>
      </c>
      <c r="K463" t="inlineStr">
        <is>
          <t>Out of Stock</t>
        </is>
      </c>
      <c r="L463" t="inlineStr">
        <is>
          <t>Out of Stock</t>
        </is>
      </c>
    </row>
    <row r="464">
      <c r="A464" s="1">
        <f>Hyperlink("https://www.wallsandfloors.co.uk/pressed-patina-steel-tiles","Product")</f>
        <v/>
      </c>
      <c r="B464" s="1" t="inlineStr">
        <is>
          <t>24745</t>
        </is>
      </c>
      <c r="C464" s="1" t="inlineStr">
        <is>
          <t>Pressed Patina Steel Tiles</t>
        </is>
      </c>
      <c r="D464" s="1" t="inlineStr">
        <is>
          <t>330x330x9.5mm</t>
        </is>
      </c>
      <c r="E464" s="1" t="n">
        <v>27.95</v>
      </c>
      <c r="F464" s="1" t="n">
        <v>0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Matt</t>
        </is>
      </c>
      <c r="J464" t="inlineStr"/>
      <c r="K464" t="n">
        <v>134</v>
      </c>
      <c r="L464" t="n">
        <v>134</v>
      </c>
    </row>
    <row r="465">
      <c r="A465" s="1">
        <f>Hyperlink("https://www.wallsandfloors.co.uk/prismatics-gloss-blue-aqua-tiles-harebell-gloss-medium-prg32-tiles","Product")</f>
        <v/>
      </c>
      <c r="B465" s="1" t="inlineStr">
        <is>
          <t>4708</t>
        </is>
      </c>
      <c r="C465" s="1" t="inlineStr">
        <is>
          <t>Prismatics Gloss PRG32 Harebell Light Blue Wall Tiles</t>
        </is>
      </c>
      <c r="D465" s="1" t="inlineStr">
        <is>
          <t>150x150x6.5mm</t>
        </is>
      </c>
      <c r="E465" s="1" t="n">
        <v>34.06</v>
      </c>
      <c r="F465" s="1" t="n">
        <v>0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Gloss</t>
        </is>
      </c>
      <c r="J465" t="inlineStr"/>
      <c r="K465" t="inlineStr">
        <is>
          <t>Out of Stock</t>
        </is>
      </c>
      <c r="L465" t="inlineStr">
        <is>
          <t>Out of Stock</t>
        </is>
      </c>
    </row>
    <row r="466">
      <c r="A466" s="1">
        <f>Hyperlink("https://www.wallsandfloors.co.uk/oasis-tiles-beige-haven-tiles","Product")</f>
        <v/>
      </c>
      <c r="B466" s="1" t="inlineStr">
        <is>
          <t>14689</t>
        </is>
      </c>
      <c r="C466" s="1" t="inlineStr">
        <is>
          <t>Oasis Haven Matt Beige Tiles</t>
        </is>
      </c>
      <c r="D466" s="1" t="inlineStr">
        <is>
          <t>600x300x10mm</t>
        </is>
      </c>
      <c r="E466" s="1" t="n">
        <v>19.95</v>
      </c>
      <c r="F466" s="1" t="n">
        <v>0</v>
      </c>
      <c r="G466" s="1" t="inlineStr">
        <is>
          <t>SQM</t>
        </is>
      </c>
      <c r="H466" s="1" t="inlineStr">
        <is>
          <t>Porcelain</t>
        </is>
      </c>
      <c r="I466" s="1" t="inlineStr">
        <is>
          <t>Matt</t>
        </is>
      </c>
      <c r="J466" t="inlineStr"/>
      <c r="K466" t="n">
        <v>105</v>
      </c>
      <c r="L466" t="n">
        <v>105</v>
      </c>
    </row>
    <row r="467">
      <c r="A467" s="1">
        <f>Hyperlink("https://www.wallsandfloors.co.uk/prismatics-gloss-natural-tiles-suede-gloss-medium-prg104-tiles","Product")</f>
        <v/>
      </c>
      <c r="B467" s="1" t="inlineStr">
        <is>
          <t>15041</t>
        </is>
      </c>
      <c r="C467" s="1" t="inlineStr">
        <is>
          <t>Prismatics Gloss PRG104 Suede Greige Tiles</t>
        </is>
      </c>
      <c r="D467" s="1" t="inlineStr">
        <is>
          <t>150x150x6.5mm</t>
        </is>
      </c>
      <c r="E467" s="1" t="n">
        <v>32.71</v>
      </c>
      <c r="F467" s="1" t="n">
        <v>0</v>
      </c>
      <c r="G467" s="1" t="inlineStr"/>
      <c r="H467" s="1" t="inlineStr">
        <is>
          <t>Ceramic</t>
        </is>
      </c>
      <c r="I467" s="1" t="inlineStr">
        <is>
          <t>Gloss</t>
        </is>
      </c>
      <c r="J467" t="inlineStr">
        <is>
          <t>In Stock</t>
        </is>
      </c>
      <c r="K467" t="inlineStr">
        <is>
          <t>In Stock</t>
        </is>
      </c>
      <c r="L467" t="inlineStr">
        <is>
          <t>In Stock</t>
        </is>
      </c>
    </row>
    <row r="468">
      <c r="A468" s="1">
        <f>Hyperlink("https://www.wallsandfloors.co.uk/prismatics-gloss-natural-tiles-magnolia-gloss-medium-prg20-tiles","Product")</f>
        <v/>
      </c>
      <c r="B468" s="1" t="inlineStr">
        <is>
          <t>5337</t>
        </is>
      </c>
      <c r="C468" s="1" t="inlineStr">
        <is>
          <t>Prismatics Gloss PRG20 Magnolia Wall Tiles</t>
        </is>
      </c>
      <c r="D468" s="1" t="inlineStr">
        <is>
          <t>150x150x6.5mm</t>
        </is>
      </c>
      <c r="E468" s="1" t="n">
        <v>32.71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inlineStr">
        <is>
          <t>In Stock</t>
        </is>
      </c>
      <c r="K468" t="inlineStr">
        <is>
          <t>In Stock</t>
        </is>
      </c>
      <c r="L468" t="inlineStr">
        <is>
          <t>In Stock</t>
        </is>
      </c>
    </row>
    <row r="469">
      <c r="A469" s="1">
        <f>Hyperlink("https://www.wallsandfloors.co.uk/moorland-bronze-slate-effect-tiles","Product")</f>
        <v/>
      </c>
      <c r="B469" s="1" t="inlineStr">
        <is>
          <t>15613</t>
        </is>
      </c>
      <c r="C469" s="1" t="inlineStr">
        <is>
          <t>Bronze Slate Effect Tiles</t>
        </is>
      </c>
      <c r="D469" s="1" t="inlineStr">
        <is>
          <t>600x300x9.7mm</t>
        </is>
      </c>
      <c r="E469" s="1" t="n">
        <v>20.95</v>
      </c>
      <c r="F469" s="1" t="n">
        <v>0</v>
      </c>
      <c r="G469" s="1" t="inlineStr"/>
      <c r="H469" s="1" t="inlineStr">
        <is>
          <t>Porcelain</t>
        </is>
      </c>
      <c r="I469" s="1" t="inlineStr">
        <is>
          <t>Matt</t>
        </is>
      </c>
      <c r="J469" t="inlineStr">
        <is>
          <t>In Stock</t>
        </is>
      </c>
      <c r="K469" t="inlineStr">
        <is>
          <t>In Stock</t>
        </is>
      </c>
      <c r="L469" t="inlineStr">
        <is>
          <t>In Stock</t>
        </is>
      </c>
    </row>
    <row r="470">
      <c r="A470" s="1">
        <f>Hyperlink("https://www.wallsandfloors.co.uk/prismatics-gloss-monochrome-tiles-white-gloss-small-prg1-tiles","Product")</f>
        <v/>
      </c>
      <c r="B470" s="1" t="inlineStr">
        <is>
          <t>533</t>
        </is>
      </c>
      <c r="C470" s="1" t="inlineStr">
        <is>
          <t>Prismatics Gloss PRG1 White Wall Tiles</t>
        </is>
      </c>
      <c r="D470" s="1" t="inlineStr">
        <is>
          <t>100x100x6.5mm</t>
        </is>
      </c>
      <c r="E470" s="1" t="n">
        <v>33.95</v>
      </c>
      <c r="F470" s="1" t="n">
        <v>0</v>
      </c>
      <c r="G470" s="1" t="inlineStr">
        <is>
          <t>SQM</t>
        </is>
      </c>
      <c r="H470" s="1" t="inlineStr">
        <is>
          <t>Ceramic</t>
        </is>
      </c>
      <c r="I470" s="1" t="inlineStr">
        <is>
          <t>Gloss</t>
        </is>
      </c>
      <c r="J470" t="inlineStr">
        <is>
          <t>In Stock</t>
        </is>
      </c>
      <c r="K470" t="inlineStr">
        <is>
          <t>In Stock</t>
        </is>
      </c>
      <c r="L470" t="inlineStr">
        <is>
          <t>In Stock</t>
        </is>
      </c>
    </row>
    <row r="471">
      <c r="A471" s="1">
        <f>Hyperlink("https://www.wallsandfloors.co.uk/moorland-burnished-slate-effect-tiles","Product")</f>
        <v/>
      </c>
      <c r="B471" s="1" t="inlineStr">
        <is>
          <t>15614</t>
        </is>
      </c>
      <c r="C471" s="1" t="inlineStr">
        <is>
          <t>Burnished Slate Effect Tiles</t>
        </is>
      </c>
      <c r="D471" s="1" t="inlineStr">
        <is>
          <t>600x300x9.7mm</t>
        </is>
      </c>
      <c r="E471" s="1" t="n">
        <v>20.95</v>
      </c>
      <c r="F471" s="1" t="n">
        <v>0</v>
      </c>
      <c r="G471" s="1" t="inlineStr">
        <is>
          <t>SQM</t>
        </is>
      </c>
      <c r="H471" s="1" t="inlineStr">
        <is>
          <t>Porcelain</t>
        </is>
      </c>
      <c r="I471" s="1" t="inlineStr">
        <is>
          <t>Matt</t>
        </is>
      </c>
      <c r="J471" t="n">
        <v>270</v>
      </c>
      <c r="K471" t="n">
        <v>270</v>
      </c>
      <c r="L471" t="n">
        <v>270</v>
      </c>
    </row>
    <row r="472">
      <c r="A472" s="1">
        <f>Hyperlink("https://www.wallsandfloors.co.uk/prismatics-gloss-monochrome-tiles-white-gloss-oblong-prg1-wall-tiles","Product")</f>
        <v/>
      </c>
      <c r="B472" s="1" t="inlineStr">
        <is>
          <t>4599</t>
        </is>
      </c>
      <c r="C472" s="1" t="inlineStr">
        <is>
          <t>White Gloss Oblong (PRG1) Wall Tiles</t>
        </is>
      </c>
      <c r="D472" s="1" t="inlineStr">
        <is>
          <t>200x100x6.5mm</t>
        </is>
      </c>
      <c r="E472" s="1" t="n">
        <v>33.95</v>
      </c>
      <c r="F472" s="1" t="n">
        <v>0</v>
      </c>
      <c r="G472" s="1" t="inlineStr">
        <is>
          <t>SQM</t>
        </is>
      </c>
      <c r="H472" s="1" t="inlineStr">
        <is>
          <t>Ceramic</t>
        </is>
      </c>
      <c r="I472" s="1" t="inlineStr">
        <is>
          <t>Gloss</t>
        </is>
      </c>
      <c r="J472" t="inlineStr">
        <is>
          <t>In Stock</t>
        </is>
      </c>
      <c r="K472" t="inlineStr">
        <is>
          <t>In Stock</t>
        </is>
      </c>
      <c r="L472" t="inlineStr">
        <is>
          <t>In Stock</t>
        </is>
      </c>
    </row>
    <row r="473">
      <c r="A473" s="1">
        <f>Hyperlink("https://www.wallsandfloors.co.uk/mortar-mixer-paddle-m-120-r-3h","Product")</f>
        <v/>
      </c>
      <c r="B473" s="1" t="inlineStr">
        <is>
          <t>40420</t>
        </is>
      </c>
      <c r="C473" s="1" t="inlineStr">
        <is>
          <t>Mortar Mixer Paddle M-120-R 3H</t>
        </is>
      </c>
      <c r="D473" s="1" t="inlineStr">
        <is>
          <t>600x120mm</t>
        </is>
      </c>
      <c r="E473" s="1" t="n">
        <v>25.34</v>
      </c>
      <c r="F473" s="1" t="n">
        <v>0</v>
      </c>
      <c r="G473" s="1" t="inlineStr">
        <is>
          <t>Unit</t>
        </is>
      </c>
      <c r="H473" s="1" t="inlineStr">
        <is>
          <t>Tools</t>
        </is>
      </c>
      <c r="I473" s="1" t="inlineStr">
        <is>
          <t>-</t>
        </is>
      </c>
      <c r="J473" t="inlineStr"/>
      <c r="K473" t="inlineStr">
        <is>
          <t>Out of Stock</t>
        </is>
      </c>
      <c r="L473" t="inlineStr">
        <is>
          <t>Out of Stock</t>
        </is>
      </c>
    </row>
    <row r="474">
      <c r="A474" s="1">
        <f>Hyperlink("https://www.wallsandfloors.co.uk/prismatics-gloss-monochrome-tiles-white-gloss-medium-prg1-tiles","Product")</f>
        <v/>
      </c>
      <c r="B474" s="1" t="inlineStr">
        <is>
          <t>4600</t>
        </is>
      </c>
      <c r="C474" s="1" t="inlineStr">
        <is>
          <t>Prismatics Gloss PRG1 White Wall Tiles</t>
        </is>
      </c>
      <c r="D474" s="1" t="inlineStr">
        <is>
          <t>150x150x6.5mm</t>
        </is>
      </c>
      <c r="E474" s="1" t="n">
        <v>22.95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Gloss</t>
        </is>
      </c>
      <c r="J474" t="inlineStr"/>
      <c r="K474" t="n">
        <v>235</v>
      </c>
      <c r="L474" t="n">
        <v>235</v>
      </c>
    </row>
    <row r="475">
      <c r="A475" s="1">
        <f>Hyperlink("https://www.wallsandfloors.co.uk/prismatics-gloss-monochrome-tiles-storm-grey-gloss-medium-prg24-tiles","Product")</f>
        <v/>
      </c>
      <c r="B475" s="1" t="inlineStr">
        <is>
          <t>5240</t>
        </is>
      </c>
      <c r="C475" s="1" t="inlineStr">
        <is>
          <t>Prismatics Gloss PRG24 Storm Grey Wall Tiles</t>
        </is>
      </c>
      <c r="D475" s="1" t="inlineStr">
        <is>
          <t>150x150x6.5mm</t>
        </is>
      </c>
      <c r="E475" s="1" t="n">
        <v>35.06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Gloss</t>
        </is>
      </c>
      <c r="J475" t="inlineStr">
        <is>
          <t>In Stock</t>
        </is>
      </c>
      <c r="K475" t="inlineStr">
        <is>
          <t>In Stock</t>
        </is>
      </c>
      <c r="L475" t="inlineStr">
        <is>
          <t>In Stock</t>
        </is>
      </c>
    </row>
    <row r="476">
      <c r="A476" s="1">
        <f>Hyperlink("https://www.wallsandfloors.co.uk/mosaic-black-hexagon-gloss-50x50-48191","Product")</f>
        <v/>
      </c>
      <c r="B476" s="1" t="inlineStr">
        <is>
          <t>40054</t>
        </is>
      </c>
      <c r="C476" s="1" t="inlineStr">
        <is>
          <t>Bijou Gloss Black Hexagon Mosaic Tiles</t>
        </is>
      </c>
      <c r="D476" s="1" t="inlineStr">
        <is>
          <t>321x278x5.3mm</t>
        </is>
      </c>
      <c r="E476" s="1" t="n">
        <v>2.07</v>
      </c>
      <c r="F476" s="1" t="n">
        <v>0</v>
      </c>
      <c r="G476" s="1" t="inlineStr">
        <is>
          <t>Sheet</t>
        </is>
      </c>
      <c r="H476" s="1" t="inlineStr">
        <is>
          <t>Porcelain</t>
        </is>
      </c>
      <c r="I476" s="1" t="inlineStr">
        <is>
          <t>Gloss</t>
        </is>
      </c>
      <c r="J476" t="inlineStr"/>
      <c r="K476" t="n">
        <v>19</v>
      </c>
      <c r="L476" t="n">
        <v>19</v>
      </c>
    </row>
    <row r="477">
      <c r="A477" s="1">
        <f>Hyperlink("https://www.wallsandfloors.co.uk/mr-jones-dove-grey","Product")</f>
        <v/>
      </c>
      <c r="B477" s="1" t="inlineStr">
        <is>
          <t>43099</t>
        </is>
      </c>
      <c r="C477" s="1" t="inlineStr">
        <is>
          <t>Mr Jones Ash Tiles</t>
        </is>
      </c>
      <c r="D477" s="1" t="inlineStr">
        <is>
          <t>450x450x9mm</t>
        </is>
      </c>
      <c r="E477" s="1" t="n">
        <v>17.95</v>
      </c>
      <c r="F477" s="1" t="n">
        <v>0</v>
      </c>
      <c r="G477" s="1" t="inlineStr">
        <is>
          <t>SQM</t>
        </is>
      </c>
      <c r="H477" s="1" t="inlineStr">
        <is>
          <t>Ceramic</t>
        </is>
      </c>
      <c r="I477" s="1" t="inlineStr">
        <is>
          <t>Matt</t>
        </is>
      </c>
      <c r="J477" t="inlineStr"/>
      <c r="K477" t="n">
        <v>738</v>
      </c>
      <c r="L477" t="n">
        <v>738</v>
      </c>
    </row>
    <row r="478">
      <c r="A478" s="1">
        <f>Hyperlink("https://www.wallsandfloors.co.uk/multidrill-guide-max-o-83-mm","Product")</f>
        <v/>
      </c>
      <c r="B478" s="1" t="inlineStr">
        <is>
          <t>40412</t>
        </is>
      </c>
      <c r="C478" s="1" t="inlineStr">
        <is>
          <t>Multidrill Guide</t>
        </is>
      </c>
      <c r="D478" s="1" t="inlineStr">
        <is>
          <t>83mm</t>
        </is>
      </c>
      <c r="E478" s="1" t="n">
        <v>28.55</v>
      </c>
      <c r="F478" s="1" t="n">
        <v>0</v>
      </c>
      <c r="G478" s="1" t="inlineStr">
        <is>
          <t>Unit</t>
        </is>
      </c>
      <c r="H478" s="1" t="inlineStr">
        <is>
          <t>Accessories</t>
        </is>
      </c>
      <c r="I478" s="1" t="inlineStr">
        <is>
          <t>-</t>
        </is>
      </c>
      <c r="J478" t="inlineStr"/>
      <c r="K478" t="inlineStr">
        <is>
          <t>In Stock</t>
        </is>
      </c>
      <c r="L478" t="inlineStr">
        <is>
          <t>In Stock</t>
        </is>
      </c>
    </row>
    <row r="479">
      <c r="A479" s="1">
        <f>Hyperlink("https://www.wallsandfloors.co.uk/prismatics-gloss-monochrome-tiles-shark-gloss-medium-prg11-tiles","Product")</f>
        <v/>
      </c>
      <c r="B479" s="1" t="inlineStr">
        <is>
          <t>5176</t>
        </is>
      </c>
      <c r="C479" s="1" t="inlineStr">
        <is>
          <t>Prismatics Gloss PRG11 Shark Grey Wall Tiles</t>
        </is>
      </c>
      <c r="D479" s="1" t="inlineStr">
        <is>
          <t>150x150x6.5mm</t>
        </is>
      </c>
      <c r="E479" s="1" t="n">
        <v>35.06</v>
      </c>
      <c r="F479" s="1" t="n">
        <v>0</v>
      </c>
      <c r="G479" s="1" t="inlineStr">
        <is>
          <t>SQM</t>
        </is>
      </c>
      <c r="H479" s="1" t="inlineStr">
        <is>
          <t>Ceramic</t>
        </is>
      </c>
      <c r="I479" s="1" t="inlineStr">
        <is>
          <t>Gloss</t>
        </is>
      </c>
      <c r="J479" t="n">
        <v>226</v>
      </c>
      <c r="K479" t="inlineStr"/>
      <c r="L479" t="n">
        <v>226</v>
      </c>
    </row>
    <row r="480">
      <c r="A480" s="1">
        <f>Hyperlink("https://www.wallsandfloors.co.uk/prismatics-gloss-green-tiles-victoria-green-gloss-medium-prv5-tiles","Product")</f>
        <v/>
      </c>
      <c r="B480" s="1" t="inlineStr">
        <is>
          <t>5173</t>
        </is>
      </c>
      <c r="C480" s="1" t="inlineStr">
        <is>
          <t>Prismatics Gloss PRV5 Victoria Green Wall Tiles</t>
        </is>
      </c>
      <c r="D480" s="1" t="inlineStr">
        <is>
          <t>150x150x6.5mm</t>
        </is>
      </c>
      <c r="E480" s="1" t="n">
        <v>44.95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Gloss</t>
        </is>
      </c>
      <c r="J480" t="n">
        <v>68</v>
      </c>
      <c r="K480" t="n">
        <v>68</v>
      </c>
      <c r="L480" t="n">
        <v>68</v>
      </c>
    </row>
    <row r="481">
      <c r="A481" s="1">
        <f>Hyperlink("https://www.wallsandfloors.co.uk/prismatics-gloss-blue-aqua-tiles-victoria-blue-gloss-medium-prv3-tiles","Product")</f>
        <v/>
      </c>
      <c r="B481" s="1" t="inlineStr">
        <is>
          <t>4723</t>
        </is>
      </c>
      <c r="C481" s="1" t="inlineStr">
        <is>
          <t>Prismatics Gloss PRV3 Victoria Blue Wall Tiles</t>
        </is>
      </c>
      <c r="D481" s="1" t="inlineStr">
        <is>
          <t>150x150x6.5mm</t>
        </is>
      </c>
      <c r="E481" s="1" t="n">
        <v>44.95</v>
      </c>
      <c r="F481" s="1" t="n">
        <v>0</v>
      </c>
      <c r="G481" s="1" t="inlineStr"/>
      <c r="H481" s="1" t="inlineStr">
        <is>
          <t>Ceramic</t>
        </is>
      </c>
      <c r="I481" s="1" t="inlineStr">
        <is>
          <t>Gloss</t>
        </is>
      </c>
      <c r="J481" t="inlineStr">
        <is>
          <t>In Stock</t>
        </is>
      </c>
      <c r="K481" t="inlineStr">
        <is>
          <t>In Stock</t>
        </is>
      </c>
      <c r="L481" t="inlineStr">
        <is>
          <t>In Stock</t>
        </is>
      </c>
    </row>
    <row r="482">
      <c r="A482" s="1">
        <f>Hyperlink("https://www.wallsandfloors.co.uk/muniellos-c-honey-oak-15x90-tiles","Product")</f>
        <v/>
      </c>
      <c r="B482" s="1" t="inlineStr">
        <is>
          <t>43155</t>
        </is>
      </c>
      <c r="C482" s="1" t="inlineStr">
        <is>
          <t>Muniellos Honey Oak Wood Effect Tiles</t>
        </is>
      </c>
      <c r="D482" s="1" t="inlineStr">
        <is>
          <t>900x150x10mm</t>
        </is>
      </c>
      <c r="E482" s="1" t="n">
        <v>30.95</v>
      </c>
      <c r="F482" s="1" t="n">
        <v>0</v>
      </c>
      <c r="G482" s="1" t="inlineStr">
        <is>
          <t>SQM</t>
        </is>
      </c>
      <c r="H482" s="1" t="inlineStr">
        <is>
          <t>Porcelain</t>
        </is>
      </c>
      <c r="I482" s="1" t="inlineStr">
        <is>
          <t>Matt</t>
        </is>
      </c>
      <c r="J482" t="n">
        <v>357</v>
      </c>
      <c r="K482" t="n">
        <v>357</v>
      </c>
      <c r="L482" t="n">
        <v>357</v>
      </c>
    </row>
    <row r="483">
      <c r="A483" s="1">
        <f>Hyperlink("https://www.wallsandfloors.co.uk/n-cleaning-block","Product")</f>
        <v/>
      </c>
      <c r="B483" s="1" t="inlineStr">
        <is>
          <t>40414</t>
        </is>
      </c>
      <c r="C483" s="1" t="inlineStr">
        <is>
          <t>N-Cleaning Block</t>
        </is>
      </c>
      <c r="D483" s="1" t="n">
        <v>1</v>
      </c>
      <c r="E483" s="1" t="n">
        <v>16.95</v>
      </c>
      <c r="F483" s="1" t="n">
        <v>0</v>
      </c>
      <c r="G483" s="1" t="inlineStr">
        <is>
          <t>Unit</t>
        </is>
      </c>
      <c r="H483" s="1" t="inlineStr">
        <is>
          <t>Accessories</t>
        </is>
      </c>
      <c r="I483" s="1" t="inlineStr">
        <is>
          <t>-</t>
        </is>
      </c>
      <c r="J483" t="inlineStr"/>
      <c r="K483" t="inlineStr"/>
      <c r="L483" t="inlineStr">
        <is>
          <t>In Stock</t>
        </is>
      </c>
    </row>
    <row r="484">
      <c r="A484" s="1">
        <f>Hyperlink("https://www.wallsandfloors.co.uk/planate-liquorice-charcoal-60x30-tiles","Product")</f>
        <v/>
      </c>
      <c r="B484" s="1" t="inlineStr">
        <is>
          <t>44108</t>
        </is>
      </c>
      <c r="C484" s="1" t="inlineStr">
        <is>
          <t>Planate Liquorice Charcoal Tiles</t>
        </is>
      </c>
      <c r="D484" s="1" t="inlineStr">
        <is>
          <t>600x300x9.5mm</t>
        </is>
      </c>
      <c r="E484" s="1" t="n">
        <v>20.95</v>
      </c>
      <c r="F484" s="1" t="n">
        <v>0</v>
      </c>
      <c r="G484" s="1" t="inlineStr">
        <is>
          <t>SQM</t>
        </is>
      </c>
      <c r="H484" s="1" t="inlineStr">
        <is>
          <t>Porcelain</t>
        </is>
      </c>
      <c r="I484" s="1" t="inlineStr">
        <is>
          <t>Matt</t>
        </is>
      </c>
      <c r="J484" t="inlineStr"/>
      <c r="K484" t="n">
        <v>254</v>
      </c>
      <c r="L484" t="n">
        <v>254</v>
      </c>
    </row>
    <row r="485">
      <c r="A485" s="1">
        <f>Hyperlink("https://www.wallsandfloors.co.uk/nantlle-valley-urban-grey-stone-effect-mosaic-tiles","Product")</f>
        <v/>
      </c>
      <c r="B485" s="1" t="inlineStr">
        <is>
          <t>41517</t>
        </is>
      </c>
      <c r="C485" s="1" t="inlineStr">
        <is>
          <t>Nantlle Valley Urban Grey Stone Effect Mosaic Tiles</t>
        </is>
      </c>
      <c r="D485" s="1" t="inlineStr">
        <is>
          <t>300x300x10.3mm</t>
        </is>
      </c>
      <c r="E485" s="1" t="n">
        <v>6.95</v>
      </c>
      <c r="F485" s="1" t="n">
        <v>0</v>
      </c>
      <c r="G485" s="1" t="inlineStr">
        <is>
          <t>Sheet</t>
        </is>
      </c>
      <c r="H485" s="1" t="inlineStr">
        <is>
          <t>Porcelain</t>
        </is>
      </c>
      <c r="I485" s="1" t="inlineStr">
        <is>
          <t>Matt</t>
        </is>
      </c>
      <c r="J485" t="n">
        <v>29</v>
      </c>
      <c r="K485" t="inlineStr"/>
      <c r="L485" t="n">
        <v>29</v>
      </c>
    </row>
    <row r="486">
      <c r="A486" s="1">
        <f>Hyperlink("https://www.wallsandfloors.co.uk/planate-liquorice-charcoal-120x60-tiles","Product")</f>
        <v/>
      </c>
      <c r="B486" s="1" t="inlineStr">
        <is>
          <t>44109</t>
        </is>
      </c>
      <c r="C486" s="1" t="inlineStr">
        <is>
          <t>Planate Liquorice Charcoal Tiles</t>
        </is>
      </c>
      <c r="D486" s="1" t="inlineStr">
        <is>
          <t>1200x600x9.5mm</t>
        </is>
      </c>
      <c r="E486" s="1" t="n">
        <v>32.95</v>
      </c>
      <c r="F486" s="1" t="n">
        <v>0</v>
      </c>
      <c r="G486" s="1" t="inlineStr">
        <is>
          <t>SQM</t>
        </is>
      </c>
      <c r="H486" s="1" t="inlineStr">
        <is>
          <t>Porcelain</t>
        </is>
      </c>
      <c r="I486" s="1" t="inlineStr">
        <is>
          <t>Matt</t>
        </is>
      </c>
      <c r="J486" t="n">
        <v>68</v>
      </c>
      <c r="K486" t="n">
        <v>68</v>
      </c>
      <c r="L486" t="n">
        <v>68</v>
      </c>
    </row>
    <row r="487">
      <c r="A487" s="1">
        <f>Hyperlink("https://www.wallsandfloors.co.uk/navarra-tiles-blanco-tiles-10419","Product")</f>
        <v/>
      </c>
      <c r="B487" s="1" t="inlineStr">
        <is>
          <t>10419</t>
        </is>
      </c>
      <c r="C487" s="1" t="inlineStr">
        <is>
          <t>Navarra Blanco Tiles</t>
        </is>
      </c>
      <c r="D487" s="1" t="inlineStr">
        <is>
          <t>600x600x11mm</t>
        </is>
      </c>
      <c r="E487" s="1" t="n">
        <v>50.95</v>
      </c>
      <c r="F487" s="1" t="n">
        <v>0</v>
      </c>
      <c r="G487" s="1" t="inlineStr">
        <is>
          <t>SQM</t>
        </is>
      </c>
      <c r="H487" s="1" t="inlineStr">
        <is>
          <t>Porcelain</t>
        </is>
      </c>
      <c r="I487" s="1" t="inlineStr">
        <is>
          <t>Satin</t>
        </is>
      </c>
      <c r="J487" t="n">
        <v>206</v>
      </c>
      <c r="K487" t="n">
        <v>206</v>
      </c>
      <c r="L487" t="n">
        <v>206</v>
      </c>
    </row>
    <row r="488">
      <c r="A488" s="1">
        <f>Hyperlink("https://www.wallsandfloors.co.uk/navarra-tiles-metallic-bronze-tiles","Product")</f>
        <v/>
      </c>
      <c r="B488" s="1" t="inlineStr">
        <is>
          <t>1138</t>
        </is>
      </c>
      <c r="C488" s="1" t="inlineStr">
        <is>
          <t>Navarra Metallic Bronze Tiles</t>
        </is>
      </c>
      <c r="D488" s="1" t="inlineStr">
        <is>
          <t>596x296x9mm</t>
        </is>
      </c>
      <c r="E488" s="1" t="n">
        <v>50.95</v>
      </c>
      <c r="F488" s="1" t="n">
        <v>0</v>
      </c>
      <c r="G488" s="1" t="inlineStr">
        <is>
          <t>SQM</t>
        </is>
      </c>
      <c r="H488" s="1" t="inlineStr">
        <is>
          <t>Porcelain</t>
        </is>
      </c>
      <c r="I488" s="1" t="inlineStr">
        <is>
          <t>Satin</t>
        </is>
      </c>
      <c r="J488" t="n">
        <v>132</v>
      </c>
      <c r="K488" t="n">
        <v>132</v>
      </c>
      <c r="L488" t="n">
        <v>132</v>
      </c>
    </row>
    <row r="489">
      <c r="A489" s="1">
        <f>Hyperlink("https://www.wallsandfloors.co.uk/piquancy-tiles-felicity-white-tiles","Product")</f>
        <v/>
      </c>
      <c r="B489" s="1" t="inlineStr">
        <is>
          <t>24734</t>
        </is>
      </c>
      <c r="C489" s="1" t="inlineStr">
        <is>
          <t>Felicity White Tiles</t>
        </is>
      </c>
      <c r="D489" s="1" t="inlineStr">
        <is>
          <t>450x450x10.5mm</t>
        </is>
      </c>
      <c r="E489" s="1" t="n">
        <v>26.95</v>
      </c>
      <c r="F489" s="1" t="n">
        <v>0</v>
      </c>
      <c r="G489" s="1" t="inlineStr">
        <is>
          <t>SQM</t>
        </is>
      </c>
      <c r="H489" s="1" t="inlineStr">
        <is>
          <t>Ceramic</t>
        </is>
      </c>
      <c r="I489" s="1" t="inlineStr">
        <is>
          <t>Matt</t>
        </is>
      </c>
      <c r="J489" t="inlineStr"/>
      <c r="K489" t="n">
        <v>304</v>
      </c>
      <c r="L489" t="n">
        <v>304</v>
      </c>
    </row>
    <row r="490">
      <c r="A490" s="1">
        <f>Hyperlink("https://www.wallsandfloors.co.uk/navarra-tiles-metallic-bronze-tiles-4316","Product")</f>
        <v/>
      </c>
      <c r="B490" s="1" t="inlineStr">
        <is>
          <t>4316</t>
        </is>
      </c>
      <c r="C490" s="1" t="inlineStr">
        <is>
          <t>Navarra Metallic Bronze Tiles</t>
        </is>
      </c>
      <c r="D490" s="1" t="inlineStr">
        <is>
          <t>596x596x11mm</t>
        </is>
      </c>
      <c r="E490" s="1" t="n">
        <v>50.95</v>
      </c>
      <c r="F490" s="1" t="n">
        <v>0</v>
      </c>
      <c r="G490" s="1" t="inlineStr">
        <is>
          <t>SQM</t>
        </is>
      </c>
      <c r="H490" s="1" t="inlineStr">
        <is>
          <t>Porcelain</t>
        </is>
      </c>
      <c r="I490" s="1" t="inlineStr">
        <is>
          <t>Satin</t>
        </is>
      </c>
      <c r="J490" t="inlineStr"/>
      <c r="K490" t="inlineStr">
        <is>
          <t>In Stock</t>
        </is>
      </c>
      <c r="L490" t="inlineStr">
        <is>
          <t>In Stock</t>
        </is>
      </c>
    </row>
    <row r="491">
      <c r="A491" s="1">
        <f>Hyperlink("https://www.wallsandfloors.co.uk/piquancy-gambol-tiles","Product")</f>
        <v/>
      </c>
      <c r="B491" s="1" t="inlineStr">
        <is>
          <t>34759</t>
        </is>
      </c>
      <c r="C491" s="1" t="inlineStr">
        <is>
          <t>Gambol Vintage Pattern Tiles</t>
        </is>
      </c>
      <c r="D491" s="1" t="inlineStr">
        <is>
          <t>450x450x11.5mm</t>
        </is>
      </c>
      <c r="E491" s="1" t="n">
        <v>26.95</v>
      </c>
      <c r="F491" s="1" t="n">
        <v>0</v>
      </c>
      <c r="G491" s="1" t="inlineStr">
        <is>
          <t>SQM</t>
        </is>
      </c>
      <c r="H491" s="1" t="inlineStr">
        <is>
          <t>Ceramic</t>
        </is>
      </c>
      <c r="I491" s="1" t="inlineStr">
        <is>
          <t>Matt</t>
        </is>
      </c>
      <c r="J491" t="n">
        <v>129</v>
      </c>
      <c r="K491" t="inlineStr"/>
      <c r="L491" t="n">
        <v>129</v>
      </c>
    </row>
    <row r="492">
      <c r="A492" s="1">
        <f>Hyperlink("https://www.wallsandfloors.co.uk/navarra-tiles-metallic-silver-tiles","Product")</f>
        <v/>
      </c>
      <c r="B492" s="1" t="inlineStr">
        <is>
          <t>1136</t>
        </is>
      </c>
      <c r="C492" s="1" t="inlineStr">
        <is>
          <t>Navarra Metallic Silver Tiles</t>
        </is>
      </c>
      <c r="D492" s="1" t="inlineStr">
        <is>
          <t>596x296x9mm</t>
        </is>
      </c>
      <c r="E492" s="1" t="n">
        <v>50.95</v>
      </c>
      <c r="F492" s="1" t="n">
        <v>0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Satin</t>
        </is>
      </c>
      <c r="J492" t="n">
        <v>61</v>
      </c>
      <c r="K492" t="n">
        <v>61</v>
      </c>
      <c r="L492" t="n">
        <v>61</v>
      </c>
    </row>
    <row r="493">
      <c r="A493" s="1">
        <f>Hyperlink("https://www.wallsandfloors.co.uk/pinoso-marble-effect-silver-tiles","Product")</f>
        <v/>
      </c>
      <c r="B493" s="1" t="inlineStr">
        <is>
          <t>41063</t>
        </is>
      </c>
      <c r="C493" s="1" t="inlineStr">
        <is>
          <t>Pinoso Marble Effect Silver Tiles</t>
        </is>
      </c>
      <c r="D493" s="1" t="inlineStr">
        <is>
          <t>600x600x9mm</t>
        </is>
      </c>
      <c r="E493" s="1" t="n">
        <v>12.95</v>
      </c>
      <c r="F493" s="1" t="n">
        <v>0</v>
      </c>
      <c r="G493" s="1" t="inlineStr">
        <is>
          <t>SQM</t>
        </is>
      </c>
      <c r="H493" s="1" t="inlineStr">
        <is>
          <t>Porcelain</t>
        </is>
      </c>
      <c r="I493" s="1" t="inlineStr">
        <is>
          <t>Gloss</t>
        </is>
      </c>
      <c r="J493" t="n">
        <v>633</v>
      </c>
      <c r="K493" t="n">
        <v>633</v>
      </c>
      <c r="L493" t="n">
        <v>633</v>
      </c>
    </row>
    <row r="494">
      <c r="A494" s="1">
        <f>Hyperlink("https://www.wallsandfloors.co.uk/navarra-tiles-metallic-silver-tiles-4317","Product")</f>
        <v/>
      </c>
      <c r="B494" s="1" t="inlineStr">
        <is>
          <t>4317</t>
        </is>
      </c>
      <c r="C494" s="1" t="inlineStr">
        <is>
          <t>Navarra Metallic Silver Tiles</t>
        </is>
      </c>
      <c r="D494" s="1" t="inlineStr">
        <is>
          <t>596x596x11mm</t>
        </is>
      </c>
      <c r="E494" s="1" t="n">
        <v>50.95</v>
      </c>
      <c r="F494" s="1" t="n">
        <v>0</v>
      </c>
      <c r="G494" s="1" t="inlineStr">
        <is>
          <t>SQM</t>
        </is>
      </c>
      <c r="H494" s="1" t="inlineStr">
        <is>
          <t>Porcelain</t>
        </is>
      </c>
      <c r="I494" s="1" t="inlineStr">
        <is>
          <t>Satin</t>
        </is>
      </c>
      <c r="J494" t="inlineStr">
        <is>
          <t>In Stock</t>
        </is>
      </c>
      <c r="K494" t="inlineStr"/>
      <c r="L494" t="inlineStr">
        <is>
          <t>In Stock</t>
        </is>
      </c>
    </row>
    <row r="495">
      <c r="A495" s="1">
        <f>Hyperlink("https://www.wallsandfloors.co.uk/pinoso-marble-effect-seashell-tiles","Product")</f>
        <v/>
      </c>
      <c r="B495" s="1" t="inlineStr">
        <is>
          <t>41062</t>
        </is>
      </c>
      <c r="C495" s="1" t="inlineStr">
        <is>
          <t>Pinoso Marble Effect Seashell Tiles</t>
        </is>
      </c>
      <c r="D495" s="1" t="inlineStr">
        <is>
          <t>600x600x9mm</t>
        </is>
      </c>
      <c r="E495" s="1" t="n">
        <v>12.95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Gloss</t>
        </is>
      </c>
      <c r="J495" t="inlineStr"/>
      <c r="K495" t="n">
        <v>2160</v>
      </c>
      <c r="L495" t="n">
        <v>2160</v>
      </c>
    </row>
    <row r="496">
      <c r="A496" s="1">
        <f>Hyperlink("https://www.wallsandfloors.co.uk/navarra-tiles-silver-black-mosaic-tiles","Product")</f>
        <v/>
      </c>
      <c r="B496" s="1" t="inlineStr">
        <is>
          <t>3048</t>
        </is>
      </c>
      <c r="C496" s="1" t="inlineStr">
        <is>
          <t>Navarra Silver Black Mosaic Tiles</t>
        </is>
      </c>
      <c r="D496" s="1" t="inlineStr">
        <is>
          <t>300x300x9mm</t>
        </is>
      </c>
      <c r="E496" s="1" t="n">
        <v>19.95</v>
      </c>
      <c r="F496" s="1" t="n">
        <v>0</v>
      </c>
      <c r="G496" s="1" t="inlineStr">
        <is>
          <t>Sheet</t>
        </is>
      </c>
      <c r="H496" s="1" t="inlineStr">
        <is>
          <t>Porcelain</t>
        </is>
      </c>
      <c r="I496" s="1" t="inlineStr">
        <is>
          <t>Satin</t>
        </is>
      </c>
      <c r="J496" t="inlineStr">
        <is>
          <t>In Stock</t>
        </is>
      </c>
      <c r="K496" t="inlineStr">
        <is>
          <t>In Stock</t>
        </is>
      </c>
      <c r="L496" t="inlineStr">
        <is>
          <t>In Stock</t>
        </is>
      </c>
    </row>
    <row r="497">
      <c r="A497" s="1">
        <f>Hyperlink("https://www.wallsandfloors.co.uk/picket-bevelled-snow-tiles","Product")</f>
        <v/>
      </c>
      <c r="B497" s="1" t="inlineStr">
        <is>
          <t>44235</t>
        </is>
      </c>
      <c r="C497" s="1" t="inlineStr">
        <is>
          <t>Pickett™ Bevelled Snow Tiles</t>
        </is>
      </c>
      <c r="D497" s="1" t="inlineStr">
        <is>
          <t>300x100x8.2mm</t>
        </is>
      </c>
      <c r="E497" s="1" t="n">
        <v>34.95</v>
      </c>
      <c r="F497" s="1" t="n">
        <v>0</v>
      </c>
      <c r="G497" s="1" t="inlineStr">
        <is>
          <t>SQM</t>
        </is>
      </c>
      <c r="H497" s="1" t="inlineStr">
        <is>
          <t>Ceramic</t>
        </is>
      </c>
      <c r="I497" s="1" t="inlineStr">
        <is>
          <t>Gloss</t>
        </is>
      </c>
      <c r="J497" t="n">
        <v>144</v>
      </c>
      <c r="K497" t="n">
        <v>144</v>
      </c>
      <c r="L497" t="n">
        <v>145</v>
      </c>
    </row>
    <row r="498">
      <c r="A498" s="1">
        <f>Hyperlink("https://www.wallsandfloors.co.uk/picket-bevelled-petal-pink-tiles","Product")</f>
        <v/>
      </c>
      <c r="B498" s="1" t="inlineStr">
        <is>
          <t>44239</t>
        </is>
      </c>
      <c r="C498" s="1" t="inlineStr">
        <is>
          <t>Pickett™ Bevelled Petal Pink Tiles</t>
        </is>
      </c>
      <c r="D498" s="1" t="inlineStr">
        <is>
          <t>300x100x8.2mm</t>
        </is>
      </c>
      <c r="E498" s="1" t="n">
        <v>34.95</v>
      </c>
      <c r="F498" s="1" t="n">
        <v>0</v>
      </c>
      <c r="G498" s="1" t="inlineStr">
        <is>
          <t>SQM</t>
        </is>
      </c>
      <c r="H498" s="1" t="inlineStr">
        <is>
          <t>Ceramic</t>
        </is>
      </c>
      <c r="I498" s="1" t="inlineStr">
        <is>
          <t>Gloss</t>
        </is>
      </c>
      <c r="J498" t="n">
        <v>128</v>
      </c>
      <c r="K498" t="n">
        <v>128</v>
      </c>
      <c r="L498" t="n">
        <v>128</v>
      </c>
    </row>
    <row r="499">
      <c r="A499" s="1">
        <f>Hyperlink("https://www.wallsandfloors.co.uk/newton-rope-profile-strip-tiles-azul-rope-tiles","Product")</f>
        <v/>
      </c>
      <c r="B499" s="1" t="inlineStr">
        <is>
          <t>449</t>
        </is>
      </c>
      <c r="C499" s="1" t="inlineStr">
        <is>
          <t>Azul Rope Tiles</t>
        </is>
      </c>
      <c r="D499" s="1" t="inlineStr">
        <is>
          <t>200x30x7mm</t>
        </is>
      </c>
      <c r="E499" s="1" t="n">
        <v>2.95</v>
      </c>
      <c r="F499" s="1" t="n">
        <v>0</v>
      </c>
      <c r="G499" s="1" t="inlineStr">
        <is>
          <t>SQM</t>
        </is>
      </c>
      <c r="H499" s="1" t="inlineStr">
        <is>
          <t>Ceramic</t>
        </is>
      </c>
      <c r="I499" s="1" t="inlineStr">
        <is>
          <t>Gloss</t>
        </is>
      </c>
      <c r="J499" t="n">
        <v>1</v>
      </c>
      <c r="K499" t="n">
        <v>1</v>
      </c>
      <c r="L499" t="n">
        <v>1</v>
      </c>
    </row>
    <row r="500">
      <c r="A500" s="1">
        <f>Hyperlink("https://www.wallsandfloors.co.uk/niebla-mosaic-tiles-foggy-dark-blue-tiles","Product")</f>
        <v/>
      </c>
      <c r="B500" s="1" t="inlineStr">
        <is>
          <t>1819</t>
        </is>
      </c>
      <c r="C500" s="1" t="inlineStr">
        <is>
          <t>Niebla Foggy Dark Blue Mosaic Tiles</t>
        </is>
      </c>
      <c r="D500" s="1" t="inlineStr">
        <is>
          <t>333x333x5mm</t>
        </is>
      </c>
      <c r="E500" s="1" t="n">
        <v>10.95</v>
      </c>
      <c r="F500" s="1" t="n">
        <v>0</v>
      </c>
      <c r="G500" s="1" t="inlineStr">
        <is>
          <t>Sheet</t>
        </is>
      </c>
      <c r="H500" s="1" t="inlineStr">
        <is>
          <t>Glass</t>
        </is>
      </c>
      <c r="I500" s="1" t="inlineStr">
        <is>
          <t>Matt</t>
        </is>
      </c>
      <c r="J500" t="inlineStr"/>
      <c r="K500" t="inlineStr">
        <is>
          <t>In Stock</t>
        </is>
      </c>
      <c r="L500" t="inlineStr">
        <is>
          <t>In Stock</t>
        </is>
      </c>
    </row>
    <row r="501">
      <c r="A501" s="1">
        <f>Hyperlink("https://www.wallsandfloors.co.uk/niebla-mosaic-tiles-foggy-light-blue-anti-slip-tiles","Product")</f>
        <v/>
      </c>
      <c r="B501" s="1" t="inlineStr">
        <is>
          <t>1824</t>
        </is>
      </c>
      <c r="C501" s="1" t="inlineStr">
        <is>
          <t>Niebla Foggy Light Blue Anti-Slip Mosaic Tiles</t>
        </is>
      </c>
      <c r="D501" s="1" t="inlineStr">
        <is>
          <t>333x333x5mm</t>
        </is>
      </c>
      <c r="E501" s="1" t="n">
        <v>10.95</v>
      </c>
      <c r="F501" s="1" t="n">
        <v>0</v>
      </c>
      <c r="G501" s="1" t="inlineStr">
        <is>
          <t>Sheet</t>
        </is>
      </c>
      <c r="H501" s="1" t="inlineStr">
        <is>
          <t>Glass</t>
        </is>
      </c>
      <c r="I501" s="1" t="inlineStr">
        <is>
          <t>Matt</t>
        </is>
      </c>
      <c r="J501" t="inlineStr">
        <is>
          <t>In Stock</t>
        </is>
      </c>
      <c r="K501" t="inlineStr">
        <is>
          <t>In Stock</t>
        </is>
      </c>
      <c r="L501" t="inlineStr">
        <is>
          <t>In Stock</t>
        </is>
      </c>
    </row>
    <row r="502">
      <c r="A502" s="1">
        <f>Hyperlink("https://www.wallsandfloors.co.uk/niebla-mosaic-tiles-oria-mix-tiles","Product")</f>
        <v/>
      </c>
      <c r="B502" s="1" t="inlineStr">
        <is>
          <t>12027</t>
        </is>
      </c>
      <c r="C502" s="1" t="inlineStr">
        <is>
          <t>Niebla Oria Blue Mosaic Tiles</t>
        </is>
      </c>
      <c r="D502" s="1" t="inlineStr">
        <is>
          <t>333x333x5mm</t>
        </is>
      </c>
      <c r="E502" s="1" t="n">
        <v>10.95</v>
      </c>
      <c r="F502" s="1" t="n">
        <v>0</v>
      </c>
      <c r="G502" s="1" t="inlineStr"/>
      <c r="H502" s="1" t="inlineStr">
        <is>
          <t>Glass</t>
        </is>
      </c>
      <c r="I502" s="1" t="inlineStr">
        <is>
          <t>Matt</t>
        </is>
      </c>
      <c r="J502" t="inlineStr">
        <is>
          <t>In Stock</t>
        </is>
      </c>
      <c r="K502" t="inlineStr">
        <is>
          <t>In Stock</t>
        </is>
      </c>
      <c r="L502" t="inlineStr">
        <is>
          <t>In Stock</t>
        </is>
      </c>
    </row>
    <row r="503">
      <c r="A503" s="1">
        <f>Hyperlink("https://www.wallsandfloors.co.uk/pfp01-140-mm-5-1-2","Product")</f>
        <v/>
      </c>
      <c r="B503" s="1" t="inlineStr">
        <is>
          <t>40419</t>
        </is>
      </c>
      <c r="C503" s="1" t="inlineStr">
        <is>
          <t>Bucket Trowel PFP01-140 mm</t>
        </is>
      </c>
      <c r="D503" s="1" t="inlineStr">
        <is>
          <t>140mm</t>
        </is>
      </c>
      <c r="E503" s="1" t="n">
        <v>12.49</v>
      </c>
      <c r="F503" s="1" t="n">
        <v>0</v>
      </c>
      <c r="G503" s="1" t="inlineStr">
        <is>
          <t>Unit</t>
        </is>
      </c>
      <c r="H503" s="1" t="inlineStr">
        <is>
          <t>Tools</t>
        </is>
      </c>
      <c r="I503" s="1" t="inlineStr">
        <is>
          <t>-</t>
        </is>
      </c>
      <c r="J503" t="inlineStr">
        <is>
          <t>Out of Stock</t>
        </is>
      </c>
      <c r="K503" t="inlineStr">
        <is>
          <t>Out of Stock</t>
        </is>
      </c>
      <c r="L503" t="inlineStr">
        <is>
          <t>Out of Stock</t>
        </is>
      </c>
    </row>
    <row r="504">
      <c r="A504" s="1">
        <f>Hyperlink("https://www.wallsandfloors.co.uk/natural-wood-effect-tiles-silver-birch-tiles","Product")</f>
        <v/>
      </c>
      <c r="B504" s="1" t="inlineStr">
        <is>
          <t>11920</t>
        </is>
      </c>
      <c r="C504" s="1" t="inlineStr">
        <is>
          <t>Natural Silver Birch Wood Effect Tiles</t>
        </is>
      </c>
      <c r="D504" s="1" t="inlineStr">
        <is>
          <t>615x205x8mm</t>
        </is>
      </c>
      <c r="E504" s="1" t="n">
        <v>15.45</v>
      </c>
      <c r="F504" s="1" t="n">
        <v>0</v>
      </c>
      <c r="G504" s="1" t="inlineStr">
        <is>
          <t>SQM</t>
        </is>
      </c>
      <c r="H504" s="1" t="inlineStr">
        <is>
          <t>Ceramic</t>
        </is>
      </c>
      <c r="I504" s="1" t="inlineStr">
        <is>
          <t>Matt</t>
        </is>
      </c>
      <c r="J504" t="n">
        <v>126</v>
      </c>
      <c r="K504" t="n">
        <v>126</v>
      </c>
      <c r="L504" t="n">
        <v>235</v>
      </c>
    </row>
    <row r="505">
      <c r="A505" s="1">
        <f>Hyperlink("https://www.wallsandfloors.co.uk/natural-wood-effect-tiles-bavarian-beech-tiles","Product")</f>
        <v/>
      </c>
      <c r="B505" s="1" t="inlineStr">
        <is>
          <t>11411</t>
        </is>
      </c>
      <c r="C505" s="1" t="inlineStr">
        <is>
          <t>Natural Bavarian Beech Wood Effect Tiles</t>
        </is>
      </c>
      <c r="D505" s="1" t="inlineStr">
        <is>
          <t>615x205x8mm</t>
        </is>
      </c>
      <c r="E505" s="1" t="n">
        <v>15.45</v>
      </c>
      <c r="F505" s="1" t="n">
        <v>0</v>
      </c>
      <c r="G505" s="1" t="inlineStr">
        <is>
          <t>SQM</t>
        </is>
      </c>
      <c r="H505" s="1" t="inlineStr">
        <is>
          <t>Ceramic</t>
        </is>
      </c>
      <c r="I505" s="1" t="inlineStr">
        <is>
          <t>Matt</t>
        </is>
      </c>
      <c r="J505" t="n">
        <v>148</v>
      </c>
      <c r="K505" t="inlineStr"/>
      <c r="L505" t="n">
        <v>311</v>
      </c>
    </row>
    <row r="506">
      <c r="A506" s="1">
        <f>Hyperlink("https://www.wallsandfloors.co.uk/natural-stone-glass-mosaic-tiles-marble-glass-chocolate-tiles","Product")</f>
        <v/>
      </c>
      <c r="B506" s="1" t="inlineStr">
        <is>
          <t>8558</t>
        </is>
      </c>
      <c r="C506" s="1" t="inlineStr">
        <is>
          <t>Natural Stone Marble and Glass Chocolate Mosaic Tiles</t>
        </is>
      </c>
      <c r="D506" s="1" t="inlineStr">
        <is>
          <t>300x300x8mm</t>
        </is>
      </c>
      <c r="E506" s="1" t="n">
        <v>5.84</v>
      </c>
      <c r="F506" s="1" t="n">
        <v>0</v>
      </c>
      <c r="G506" s="1" t="inlineStr">
        <is>
          <t>Sheet</t>
        </is>
      </c>
      <c r="H506" s="1" t="inlineStr">
        <is>
          <t>Glass, Marble</t>
        </is>
      </c>
      <c r="I506" s="1" t="inlineStr">
        <is>
          <t>Mixed</t>
        </is>
      </c>
      <c r="J506" t="n">
        <v>12</v>
      </c>
      <c r="K506" t="n">
        <v>12</v>
      </c>
      <c r="L506" t="n">
        <v>12</v>
      </c>
    </row>
    <row r="507">
      <c r="A507" s="1">
        <f>Hyperlink("https://www.wallsandfloors.co.uk/natural-silver-slate-effect-mosaic-tiles","Product")</f>
        <v/>
      </c>
      <c r="B507" s="1" t="inlineStr">
        <is>
          <t>41516</t>
        </is>
      </c>
      <c r="C507" s="1" t="inlineStr">
        <is>
          <t>Nantlle Valley Natural Silver Slate Effect Mosaic Tiles</t>
        </is>
      </c>
      <c r="D507" s="1" t="inlineStr">
        <is>
          <t>300x300x10.3mm</t>
        </is>
      </c>
      <c r="E507" s="1" t="n">
        <v>10.95</v>
      </c>
      <c r="F507" s="1" t="n">
        <v>0</v>
      </c>
      <c r="G507" s="1" t="inlineStr">
        <is>
          <t>Sheet</t>
        </is>
      </c>
      <c r="H507" s="1" t="inlineStr">
        <is>
          <t>Porcelain</t>
        </is>
      </c>
      <c r="I507" s="1" t="inlineStr">
        <is>
          <t>Matt</t>
        </is>
      </c>
      <c r="J507" t="inlineStr">
        <is>
          <t>In Stock</t>
        </is>
      </c>
      <c r="K507" t="inlineStr">
        <is>
          <t>In Stock</t>
        </is>
      </c>
      <c r="L507" t="inlineStr">
        <is>
          <t>In Stock</t>
        </is>
      </c>
    </row>
    <row r="508">
      <c r="A508" s="1">
        <f>Hyperlink("https://www.wallsandfloors.co.uk/planate-gunmetal-grey-60x60-tiles","Product")</f>
        <v/>
      </c>
      <c r="B508" s="1" t="inlineStr">
        <is>
          <t>44106</t>
        </is>
      </c>
      <c r="C508" s="1" t="inlineStr">
        <is>
          <t>Planate Gunmetal Grey Tiles</t>
        </is>
      </c>
      <c r="D508" s="1" t="inlineStr">
        <is>
          <t>600x600x9.5mm</t>
        </is>
      </c>
      <c r="E508" s="1" t="n">
        <v>20.95</v>
      </c>
      <c r="F508" s="1" t="n">
        <v>0</v>
      </c>
      <c r="G508" s="1" t="inlineStr">
        <is>
          <t>SQM</t>
        </is>
      </c>
      <c r="H508" s="1" t="inlineStr">
        <is>
          <t>Porcelain</t>
        </is>
      </c>
      <c r="I508" s="1" t="inlineStr">
        <is>
          <t>Matt</t>
        </is>
      </c>
      <c r="J508" t="inlineStr"/>
      <c r="K508" t="inlineStr"/>
      <c r="L508" t="inlineStr">
        <is>
          <t>Out of Stock</t>
        </is>
      </c>
    </row>
    <row r="509">
      <c r="A509" s="1">
        <f>Hyperlink("https://www.wallsandfloors.co.uk/planate-gunmetal-grey-60x60-2-0-slab-tiles","Product")</f>
        <v/>
      </c>
      <c r="B509" s="1" t="inlineStr">
        <is>
          <t>44113</t>
        </is>
      </c>
      <c r="C509" s="1" t="inlineStr">
        <is>
          <t>Planate Gunmetal Grey Porcelain Paving Slabs</t>
        </is>
      </c>
      <c r="D509" s="1" t="inlineStr">
        <is>
          <t>600x600x20mm</t>
        </is>
      </c>
      <c r="E509" s="1" t="n">
        <v>29.95</v>
      </c>
      <c r="F509" s="1" t="n">
        <v>0</v>
      </c>
      <c r="G509" s="1" t="inlineStr">
        <is>
          <t>SQM</t>
        </is>
      </c>
      <c r="H509" s="1" t="inlineStr">
        <is>
          <t>Porcelain</t>
        </is>
      </c>
      <c r="I509" s="1" t="inlineStr">
        <is>
          <t>Matt</t>
        </is>
      </c>
      <c r="J509" t="inlineStr"/>
      <c r="K509" t="inlineStr"/>
      <c r="L509" t="n">
        <v>1687</v>
      </c>
    </row>
    <row r="510">
      <c r="A510" s="1">
        <f>Hyperlink("https://www.wallsandfloors.co.uk/planate-gunmetal-grey-120x60-tiles","Product")</f>
        <v/>
      </c>
      <c r="B510" s="1" t="inlineStr">
        <is>
          <t>44112</t>
        </is>
      </c>
      <c r="C510" s="1" t="inlineStr">
        <is>
          <t>Planate Gunmetal Grey Tiles</t>
        </is>
      </c>
      <c r="D510" s="1" t="inlineStr">
        <is>
          <t>1200x600x9.5mm</t>
        </is>
      </c>
      <c r="E510" s="1" t="n">
        <v>32.95</v>
      </c>
      <c r="F510" s="1" t="n">
        <v>0</v>
      </c>
      <c r="G510" s="1" t="inlineStr">
        <is>
          <t>SQM</t>
        </is>
      </c>
      <c r="H510" s="1" t="inlineStr">
        <is>
          <t>Porcelain</t>
        </is>
      </c>
      <c r="I510" s="1" t="inlineStr">
        <is>
          <t>Matt</t>
        </is>
      </c>
      <c r="J510" t="inlineStr"/>
      <c r="K510" t="inlineStr">
        <is>
          <t>In Stock</t>
        </is>
      </c>
      <c r="L510" t="inlineStr">
        <is>
          <t>In Stock</t>
        </is>
      </c>
    </row>
    <row r="511">
      <c r="A511" s="1">
        <f>Hyperlink("https://www.wallsandfloors.co.uk/planate-fossil-grey-60x60-tiles","Product")</f>
        <v/>
      </c>
      <c r="B511" s="1" t="inlineStr">
        <is>
          <t>44037</t>
        </is>
      </c>
      <c r="C511" s="1" t="inlineStr">
        <is>
          <t>Planate Fossil Grey Tiles</t>
        </is>
      </c>
      <c r="D511" s="1" t="inlineStr">
        <is>
          <t>600x600x9mm</t>
        </is>
      </c>
      <c r="E511" s="1" t="n">
        <v>20.95</v>
      </c>
      <c r="F511" s="1" t="n">
        <v>0</v>
      </c>
      <c r="G511" s="1" t="inlineStr">
        <is>
          <t>SQM</t>
        </is>
      </c>
      <c r="H511" s="1" t="inlineStr">
        <is>
          <t>Porcelain</t>
        </is>
      </c>
      <c r="I511" s="1" t="inlineStr">
        <is>
          <t>Matt</t>
        </is>
      </c>
      <c r="J511" t="inlineStr"/>
      <c r="K511" t="inlineStr">
        <is>
          <t>Out of Stock</t>
        </is>
      </c>
      <c r="L511" t="inlineStr">
        <is>
          <t>Out of Stock</t>
        </is>
      </c>
    </row>
    <row r="512">
      <c r="A512" s="1">
        <f>Hyperlink("https://www.wallsandfloors.co.uk/planate-fossil-grey-60x60-2-0-slab-tiles","Product")</f>
        <v/>
      </c>
      <c r="B512" s="1" t="inlineStr">
        <is>
          <t>44039</t>
        </is>
      </c>
      <c r="C512" s="1" t="inlineStr">
        <is>
          <t>Planate Fossil Grey Porcelain Paving Slabs</t>
        </is>
      </c>
      <c r="D512" s="1" t="inlineStr">
        <is>
          <t>600x600x20mm</t>
        </is>
      </c>
      <c r="E512" s="1" t="n">
        <v>36.95</v>
      </c>
      <c r="F512" s="1" t="n">
        <v>0</v>
      </c>
      <c r="G512" s="1" t="inlineStr">
        <is>
          <t>SQM</t>
        </is>
      </c>
      <c r="H512" s="1" t="inlineStr">
        <is>
          <t>Porcelain</t>
        </is>
      </c>
      <c r="I512" s="1" t="inlineStr">
        <is>
          <t>Matt</t>
        </is>
      </c>
      <c r="J512" t="inlineStr">
        <is>
          <t>Out of Stock</t>
        </is>
      </c>
      <c r="K512" t="inlineStr"/>
      <c r="L512" t="inlineStr">
        <is>
          <t>Out of Stock</t>
        </is>
      </c>
    </row>
    <row r="513">
      <c r="A513" s="1">
        <f>Hyperlink("https://www.wallsandfloors.co.uk/planate-fossil-grey-60x30-tiles","Product")</f>
        <v/>
      </c>
      <c r="B513" s="1" t="inlineStr">
        <is>
          <t>44038</t>
        </is>
      </c>
      <c r="C513" s="1" t="inlineStr">
        <is>
          <t>Planate Fossil Grey Tiles</t>
        </is>
      </c>
      <c r="D513" s="1" t="inlineStr">
        <is>
          <t>600x300x9.5mm</t>
        </is>
      </c>
      <c r="E513" s="1" t="n">
        <v>20.95</v>
      </c>
      <c r="F513" s="1" t="n">
        <v>0</v>
      </c>
      <c r="G513" s="1" t="inlineStr">
        <is>
          <t>SQM</t>
        </is>
      </c>
      <c r="H513" s="1" t="inlineStr">
        <is>
          <t>Porcelain</t>
        </is>
      </c>
      <c r="I513" s="1" t="inlineStr">
        <is>
          <t>-</t>
        </is>
      </c>
      <c r="J513" t="n">
        <v>964</v>
      </c>
      <c r="K513" t="inlineStr"/>
      <c r="L513" t="n">
        <v>964</v>
      </c>
    </row>
    <row r="514">
      <c r="A514" s="1">
        <f>Hyperlink("https://www.wallsandfloors.co.uk/planate-fossil-grey-120x60-tiles","Product")</f>
        <v/>
      </c>
      <c r="B514" s="1" t="inlineStr">
        <is>
          <t>44040</t>
        </is>
      </c>
      <c r="C514" s="1" t="inlineStr">
        <is>
          <t>Planate Fossil Grey Tiles</t>
        </is>
      </c>
      <c r="D514" s="1" t="inlineStr">
        <is>
          <t>1200x600x9.5mm</t>
        </is>
      </c>
      <c r="E514" s="1" t="n">
        <v>32.95</v>
      </c>
      <c r="F514" s="1" t="n">
        <v>0</v>
      </c>
      <c r="G514" s="1" t="inlineStr">
        <is>
          <t>SQM</t>
        </is>
      </c>
      <c r="H514" s="1" t="inlineStr">
        <is>
          <t>Porcelain</t>
        </is>
      </c>
      <c r="I514" s="1" t="inlineStr">
        <is>
          <t>Matt</t>
        </is>
      </c>
      <c r="J514" t="n">
        <v>323</v>
      </c>
      <c r="K514" t="n">
        <v>323</v>
      </c>
      <c r="L514" t="n">
        <v>323</v>
      </c>
    </row>
    <row r="515">
      <c r="A515" s="1">
        <f>Hyperlink("https://www.wallsandfloors.co.uk/placid-marble-effect-tiles","Product")</f>
        <v/>
      </c>
      <c r="B515" s="1" t="inlineStr">
        <is>
          <t>40281</t>
        </is>
      </c>
      <c r="C515" s="1" t="inlineStr">
        <is>
          <t>Boketto Placid Marble Effect Tiles</t>
        </is>
      </c>
      <c r="D515" s="1" t="inlineStr">
        <is>
          <t>750x750x11mm</t>
        </is>
      </c>
      <c r="E515" s="1" t="n">
        <v>29.95</v>
      </c>
      <c r="F515" s="1" t="n">
        <v>0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inlineStr"/>
      <c r="K515" t="inlineStr"/>
      <c r="L515" t="inlineStr">
        <is>
          <t>In Stock</t>
        </is>
      </c>
    </row>
    <row r="516">
      <c r="A516" s="1">
        <f>Hyperlink("https://www.wallsandfloors.co.uk/prismatics-gloss-orange-yellow-tiles-lemon-ice-gloss-medium-prg53-tiles","Product")</f>
        <v/>
      </c>
      <c r="B516" s="1" t="inlineStr">
        <is>
          <t>5255</t>
        </is>
      </c>
      <c r="C516" s="1" t="inlineStr">
        <is>
          <t>Prismatics Gloss PRG53 Lemon Ice Yellow Wall Tiles</t>
        </is>
      </c>
      <c r="D516" s="1" t="inlineStr">
        <is>
          <t>150x150x6.5mm</t>
        </is>
      </c>
      <c r="E516" s="1" t="n">
        <v>35.06</v>
      </c>
      <c r="F516" s="1" t="n">
        <v>0</v>
      </c>
      <c r="G516" s="1" t="inlineStr">
        <is>
          <t>SQM</t>
        </is>
      </c>
      <c r="H516" s="1" t="inlineStr">
        <is>
          <t>Ceramic</t>
        </is>
      </c>
      <c r="I516" s="1" t="inlineStr">
        <is>
          <t>Gloss</t>
        </is>
      </c>
      <c r="J516" t="inlineStr">
        <is>
          <t>In Stock</t>
        </is>
      </c>
      <c r="K516" t="inlineStr">
        <is>
          <t>In Stock</t>
        </is>
      </c>
      <c r="L516" t="inlineStr">
        <is>
          <t>In Stock</t>
        </is>
      </c>
    </row>
    <row r="517">
      <c r="A517" s="1">
        <f>Hyperlink("https://www.wallsandfloors.co.uk/nantlle-valley-urban-grey-stone-effect-tiles","Product")</f>
        <v/>
      </c>
      <c r="B517" s="1" t="inlineStr">
        <is>
          <t>41502</t>
        </is>
      </c>
      <c r="C517" s="1" t="inlineStr">
        <is>
          <t>Nantlle Valley Urban Grey Stone Effect Tiles</t>
        </is>
      </c>
      <c r="D517" s="1" t="inlineStr">
        <is>
          <t>600x300x10.3mm</t>
        </is>
      </c>
      <c r="E517" s="1" t="n">
        <v>18.95</v>
      </c>
      <c r="F517" s="1" t="n">
        <v>0</v>
      </c>
      <c r="G517" s="1" t="inlineStr">
        <is>
          <t>SQM</t>
        </is>
      </c>
      <c r="H517" s="1" t="inlineStr">
        <is>
          <t>Porcelain</t>
        </is>
      </c>
      <c r="I517" s="1" t="inlineStr">
        <is>
          <t>Matt</t>
        </is>
      </c>
      <c r="J517" t="inlineStr"/>
      <c r="K517" t="n">
        <v>41</v>
      </c>
      <c r="L517" t="n">
        <v>41</v>
      </c>
    </row>
    <row r="518">
      <c r="A518" s="1">
        <f>Hyperlink("https://www.wallsandfloors.co.uk/natural-carrara-marble-60x30-tiles","Product")</f>
        <v/>
      </c>
      <c r="B518" s="1" t="inlineStr">
        <is>
          <t>36897</t>
        </is>
      </c>
      <c r="C518" s="1" t="inlineStr">
        <is>
          <t>Natural Polished Carrara Marble Tiles</t>
        </is>
      </c>
      <c r="D518" s="1" t="inlineStr">
        <is>
          <t>610x305x10mm</t>
        </is>
      </c>
      <c r="E518" s="1" t="n">
        <v>76.95</v>
      </c>
      <c r="F518" s="1" t="n">
        <v>0</v>
      </c>
      <c r="G518" s="1" t="inlineStr">
        <is>
          <t>SQM</t>
        </is>
      </c>
      <c r="H518" s="1" t="inlineStr">
        <is>
          <t>Marble</t>
        </is>
      </c>
      <c r="I518" s="1" t="inlineStr">
        <is>
          <t>Polished</t>
        </is>
      </c>
      <c r="J518" t="inlineStr">
        <is>
          <t>In Stock</t>
        </is>
      </c>
      <c r="K518" t="inlineStr"/>
      <c r="L518" t="inlineStr">
        <is>
          <t>In Stock</t>
        </is>
      </c>
    </row>
    <row r="519">
      <c r="A519" s="1">
        <f>Hyperlink("https://www.wallsandfloors.co.uk/pixel-sea-blend-mosaic-tiles","Product")</f>
        <v/>
      </c>
      <c r="B519" s="1" t="inlineStr">
        <is>
          <t>44555</t>
        </is>
      </c>
      <c r="C519" s="1" t="inlineStr">
        <is>
          <t>Pixel Sea Blend 25x25 Mosaic Tiles</t>
        </is>
      </c>
      <c r="D519" s="1" t="inlineStr">
        <is>
          <t>303x303x6mm</t>
        </is>
      </c>
      <c r="E519" s="1" t="n">
        <v>4.95</v>
      </c>
      <c r="F519" s="1" t="n">
        <v>0</v>
      </c>
      <c r="G519" s="1" t="inlineStr">
        <is>
          <t>Sheet</t>
        </is>
      </c>
      <c r="H519" s="1" t="inlineStr">
        <is>
          <t>Porcelain</t>
        </is>
      </c>
      <c r="I519" s="1" t="inlineStr">
        <is>
          <t>Gloss</t>
        </is>
      </c>
      <c r="J519" t="n">
        <v>63</v>
      </c>
      <c r="K519" t="n">
        <v>63</v>
      </c>
      <c r="L519" t="n">
        <v>63</v>
      </c>
    </row>
    <row r="520">
      <c r="A520" s="1">
        <f>Hyperlink("https://www.wallsandfloors.co.uk/natural-oak-910x153-tiles","Product")</f>
        <v/>
      </c>
      <c r="B520" s="1" t="inlineStr">
        <is>
          <t>36544</t>
        </is>
      </c>
      <c r="C520" s="1" t="inlineStr">
        <is>
          <t>Muniellos Natural Oak Wood Effect Tiles</t>
        </is>
      </c>
      <c r="D520" s="1" t="inlineStr">
        <is>
          <t>900x150x10.5mm</t>
        </is>
      </c>
      <c r="E520" s="1" t="n">
        <v>30.95</v>
      </c>
      <c r="F520" s="1" t="n">
        <v>0</v>
      </c>
      <c r="G520" s="1" t="inlineStr">
        <is>
          <t>SQM</t>
        </is>
      </c>
      <c r="H520" s="1" t="inlineStr">
        <is>
          <t>Porcelain</t>
        </is>
      </c>
      <c r="I520" s="1" t="inlineStr">
        <is>
          <t>Matt</t>
        </is>
      </c>
      <c r="J520" t="n">
        <v>332</v>
      </c>
      <c r="K520" t="inlineStr"/>
      <c r="L520" t="n">
        <v>332</v>
      </c>
    </row>
    <row r="521">
      <c r="A521" s="1">
        <f>Hyperlink("https://www.wallsandfloors.co.uk/pistachio-squares-70mm-tiles","Product")</f>
        <v/>
      </c>
      <c r="B521" s="1" t="inlineStr">
        <is>
          <t>990070</t>
        </is>
      </c>
      <c r="C521" s="1" t="inlineStr">
        <is>
          <t>Pistachio Squares 70mm Tiles</t>
        </is>
      </c>
      <c r="D521" s="1" t="inlineStr">
        <is>
          <t>70x70x9-10mm</t>
        </is>
      </c>
      <c r="E521" s="1" t="n">
        <v>0.85</v>
      </c>
      <c r="F521" s="1" t="n">
        <v>0</v>
      </c>
      <c r="G521" s="1" t="inlineStr">
        <is>
          <t>SQM</t>
        </is>
      </c>
      <c r="H521" s="1" t="inlineStr">
        <is>
          <t>Porcelain</t>
        </is>
      </c>
      <c r="I521" s="1" t="inlineStr">
        <is>
          <t>Matt</t>
        </is>
      </c>
      <c r="J521" t="n">
        <v>85</v>
      </c>
      <c r="K521" t="n">
        <v>85</v>
      </c>
      <c r="L521" t="n">
        <v>85</v>
      </c>
    </row>
    <row r="522">
      <c r="A522" s="1">
        <f>Hyperlink("https://www.wallsandfloors.co.uk/pistachio-squares-100mm-tiles","Product")</f>
        <v/>
      </c>
      <c r="B522" s="1" t="inlineStr">
        <is>
          <t>990045</t>
        </is>
      </c>
      <c r="C522" s="1" t="inlineStr">
        <is>
          <t>Pistachio Squares 100mm Tiles</t>
        </is>
      </c>
      <c r="D522" s="1" t="inlineStr">
        <is>
          <t>100x100x9-10mm</t>
        </is>
      </c>
      <c r="E522" s="1" t="n">
        <v>1.62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n">
        <v>320</v>
      </c>
      <c r="K522" t="inlineStr"/>
      <c r="L522" t="n">
        <v>320</v>
      </c>
    </row>
    <row r="523">
      <c r="A523" s="1">
        <f>Hyperlink("https://www.wallsandfloors.co.uk/natural-oak-skirt-tiles","Product")</f>
        <v/>
      </c>
      <c r="B523" s="1" t="inlineStr">
        <is>
          <t>36820</t>
        </is>
      </c>
      <c r="C523" s="1" t="inlineStr">
        <is>
          <t>Muniellos Natural Oak Wood Effect Skirt Tiles</t>
        </is>
      </c>
      <c r="D523" s="1" t="inlineStr">
        <is>
          <t>450x75x10.5mm</t>
        </is>
      </c>
      <c r="E523" s="1" t="n">
        <v>7.95</v>
      </c>
      <c r="F523" s="1" t="n">
        <v>0</v>
      </c>
      <c r="G523" s="1" t="inlineStr">
        <is>
          <t>Tile</t>
        </is>
      </c>
      <c r="H523" s="1" t="inlineStr">
        <is>
          <t>Porcelain</t>
        </is>
      </c>
      <c r="I523" s="1" t="inlineStr">
        <is>
          <t>Matt</t>
        </is>
      </c>
      <c r="J523" t="inlineStr">
        <is>
          <t>In Stock</t>
        </is>
      </c>
      <c r="K523" t="inlineStr">
        <is>
          <t>In Stock</t>
        </is>
      </c>
      <c r="L523" t="inlineStr">
        <is>
          <t>In Stock</t>
        </is>
      </c>
    </row>
    <row r="524">
      <c r="A524" s="1">
        <f>Hyperlink("https://www.wallsandfloors.co.uk/pistachio-aquarelle-tiles","Product")</f>
        <v/>
      </c>
      <c r="B524" s="1" t="inlineStr">
        <is>
          <t>15404</t>
        </is>
      </c>
      <c r="C524" s="1" t="inlineStr">
        <is>
          <t>Aquarelle Pistachio Green Tiles</t>
        </is>
      </c>
      <c r="D524" s="1" t="inlineStr">
        <is>
          <t>300x100x8mm</t>
        </is>
      </c>
      <c r="E524" s="1" t="n">
        <v>29.95</v>
      </c>
      <c r="F524" s="1" t="n">
        <v>0</v>
      </c>
      <c r="G524" s="1" t="inlineStr">
        <is>
          <t>SQM</t>
        </is>
      </c>
      <c r="H524" s="1" t="inlineStr">
        <is>
          <t>Ceramic</t>
        </is>
      </c>
      <c r="I524" s="1" t="inlineStr">
        <is>
          <t>Gloss</t>
        </is>
      </c>
      <c r="J524" t="n">
        <v>601</v>
      </c>
      <c r="K524" t="n">
        <v>601</v>
      </c>
      <c r="L524" t="n">
        <v>601</v>
      </c>
    </row>
    <row r="525">
      <c r="A525" s="1">
        <f>Hyperlink("https://www.wallsandfloors.co.uk/natural-patched-bark-tiles","Product")</f>
        <v/>
      </c>
      <c r="B525" s="1" t="inlineStr">
        <is>
          <t>37007</t>
        </is>
      </c>
      <c r="C525" s="1" t="inlineStr">
        <is>
          <t>Natural Patched Bark Tiles</t>
        </is>
      </c>
      <c r="D525" s="1" t="inlineStr">
        <is>
          <t>905x295x10.5mm</t>
        </is>
      </c>
      <c r="E525" s="1" t="n">
        <v>31.95</v>
      </c>
      <c r="F525" s="1" t="n">
        <v>0</v>
      </c>
      <c r="G525" s="1" t="inlineStr">
        <is>
          <t>SQM</t>
        </is>
      </c>
      <c r="H525" s="1" t="inlineStr">
        <is>
          <t>Cork</t>
        </is>
      </c>
      <c r="I525" s="1" t="inlineStr">
        <is>
          <t>Matt</t>
        </is>
      </c>
      <c r="J525" t="n">
        <v>158</v>
      </c>
      <c r="K525" t="n">
        <v>158</v>
      </c>
      <c r="L525" t="n">
        <v>158</v>
      </c>
    </row>
    <row r="526">
      <c r="A526" s="1">
        <f>Hyperlink("https://www.wallsandfloors.co.uk/pizzazz-hexagon-mosaic-tiles-spirit-white-carrara-marble-mosaic-tiles","Product")</f>
        <v/>
      </c>
      <c r="B526" s="1" t="inlineStr">
        <is>
          <t>14100</t>
        </is>
      </c>
      <c r="C526" s="1" t="inlineStr">
        <is>
          <t>Spirit White Carrara Marble Mosaic Tiles</t>
        </is>
      </c>
      <c r="D526" s="1" t="inlineStr">
        <is>
          <t>301x290x4.4mm</t>
        </is>
      </c>
      <c r="E526" s="1" t="n">
        <v>13.95</v>
      </c>
      <c r="F526" s="1" t="n">
        <v>0</v>
      </c>
      <c r="G526" s="1" t="inlineStr">
        <is>
          <t>Sheet</t>
        </is>
      </c>
      <c r="H526" s="1" t="inlineStr">
        <is>
          <t>Glass</t>
        </is>
      </c>
      <c r="I526" s="1" t="inlineStr">
        <is>
          <t>Matt</t>
        </is>
      </c>
      <c r="J526" t="inlineStr">
        <is>
          <t>In Stock</t>
        </is>
      </c>
      <c r="K526" t="inlineStr">
        <is>
          <t>In Stock</t>
        </is>
      </c>
      <c r="L526" t="inlineStr">
        <is>
          <t>In Stock</t>
        </is>
      </c>
    </row>
    <row r="527">
      <c r="A527" s="1">
        <f>Hyperlink("https://www.wallsandfloors.co.uk/ritz-tiles-steel-gloss-20x10-tiles","Product")</f>
        <v/>
      </c>
      <c r="B527" s="1" t="inlineStr">
        <is>
          <t>13023</t>
        </is>
      </c>
      <c r="C527" s="1" t="inlineStr">
        <is>
          <t>Ritz Steel Gloss Tiles</t>
        </is>
      </c>
      <c r="D527" s="1" t="inlineStr">
        <is>
          <t>200x100x6.5mm</t>
        </is>
      </c>
      <c r="E527" s="1" t="n">
        <v>38.95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Gloss</t>
        </is>
      </c>
      <c r="J527" t="inlineStr">
        <is>
          <t>In Stock</t>
        </is>
      </c>
      <c r="K527" t="inlineStr">
        <is>
          <t>In Stock</t>
        </is>
      </c>
      <c r="L527" t="inlineStr">
        <is>
          <t>In Stock</t>
        </is>
      </c>
    </row>
    <row r="528">
      <c r="A528" s="1">
        <f>Hyperlink("https://www.wallsandfloors.co.uk/1-5mm-lvt-underlay","Product")</f>
        <v/>
      </c>
      <c r="B528" s="1" t="inlineStr">
        <is>
          <t>42770</t>
        </is>
      </c>
      <c r="C528" s="1" t="inlineStr">
        <is>
          <t>LVT Underlay Pack - 9.6 Sqm</t>
        </is>
      </c>
      <c r="D528" s="1" t="inlineStr">
        <is>
          <t>9.6m2</t>
        </is>
      </c>
      <c r="E528" s="1" t="n">
        <v>48</v>
      </c>
      <c r="F528" s="1" t="n">
        <v>0</v>
      </c>
      <c r="G528" s="1" t="inlineStr">
        <is>
          <t>Pack</t>
        </is>
      </c>
      <c r="H528" s="1" t="inlineStr">
        <is>
          <t>XPS Foam</t>
        </is>
      </c>
      <c r="I528" s="1" t="inlineStr">
        <is>
          <t>-</t>
        </is>
      </c>
      <c r="J528" t="inlineStr">
        <is>
          <t>In Stock</t>
        </is>
      </c>
      <c r="K528" t="inlineStr"/>
      <c r="L528" t="inlineStr">
        <is>
          <t>In Stock</t>
        </is>
      </c>
    </row>
    <row r="529">
      <c r="A529" s="1">
        <f>Hyperlink("https://www.wallsandfloors.co.uk/ritz-tiles-steel-gloss-decor-tiles","Product")</f>
        <v/>
      </c>
      <c r="B529" s="1" t="inlineStr">
        <is>
          <t>13025</t>
        </is>
      </c>
      <c r="C529" s="1" t="inlineStr">
        <is>
          <t>Steel Gloss Decor Tiles</t>
        </is>
      </c>
      <c r="D529" s="1" t="inlineStr">
        <is>
          <t>300x100x10mm</t>
        </is>
      </c>
      <c r="E529" s="1" t="n">
        <v>37.95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Gloss</t>
        </is>
      </c>
      <c r="J529" t="inlineStr">
        <is>
          <t>In Stock</t>
        </is>
      </c>
      <c r="K529" t="inlineStr">
        <is>
          <t>In Stock</t>
        </is>
      </c>
      <c r="L529" t="inlineStr">
        <is>
          <t>In Stock</t>
        </is>
      </c>
    </row>
    <row r="530">
      <c r="A530" s="1">
        <f>Hyperlink("https://www.wallsandfloors.co.uk/trax-peppered-taupe-80x40-matt-tiles","Product")</f>
        <v/>
      </c>
      <c r="B530" s="1" t="inlineStr">
        <is>
          <t>38922</t>
        </is>
      </c>
      <c r="C530" s="1" t="inlineStr">
        <is>
          <t>Trax Peppered Taupe Matt Tiles</t>
        </is>
      </c>
      <c r="D530" s="1" t="inlineStr">
        <is>
          <t>797x397x9mm</t>
        </is>
      </c>
      <c r="E530" s="1" t="n">
        <v>25.95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514</v>
      </c>
      <c r="K530" t="n">
        <v>514</v>
      </c>
      <c r="L530" t="n">
        <v>514</v>
      </c>
    </row>
    <row r="531">
      <c r="A531" s="1">
        <f>Hyperlink("https://www.wallsandfloors.co.uk/trax-peppered-taupe-1-8-slab-tiles","Product")</f>
        <v/>
      </c>
      <c r="B531" s="1" t="inlineStr">
        <is>
          <t>40433</t>
        </is>
      </c>
      <c r="C531" s="1" t="inlineStr">
        <is>
          <t>Trax Peppered Taupe Porcelain Paving Slabs</t>
        </is>
      </c>
      <c r="D531" s="1" t="inlineStr">
        <is>
          <t>797x797x18mm</t>
        </is>
      </c>
      <c r="E531" s="1" t="n">
        <v>38.95</v>
      </c>
      <c r="F531" s="1" t="n">
        <v>0</v>
      </c>
      <c r="G531" s="1" t="inlineStr">
        <is>
          <t>SQM</t>
        </is>
      </c>
      <c r="H531" s="1" t="inlineStr">
        <is>
          <t>Porcelain</t>
        </is>
      </c>
      <c r="I531" s="1" t="inlineStr">
        <is>
          <t>Matt</t>
        </is>
      </c>
      <c r="J531" t="n">
        <v>960</v>
      </c>
      <c r="K531" t="n">
        <v>960</v>
      </c>
      <c r="L531" t="n">
        <v>960</v>
      </c>
    </row>
    <row r="532">
      <c r="A532" s="1">
        <f>Hyperlink("https://www.wallsandfloors.co.uk/trax-lake-grey-80x80-matt-tiles","Product")</f>
        <v/>
      </c>
      <c r="B532" s="1" t="inlineStr">
        <is>
          <t>38927</t>
        </is>
      </c>
      <c r="C532" s="1" t="inlineStr">
        <is>
          <t>Trax Lake Grey Matt Tiles</t>
        </is>
      </c>
      <c r="D532" s="1" t="inlineStr">
        <is>
          <t>797x797x9mm</t>
        </is>
      </c>
      <c r="E532" s="1" t="n">
        <v>25.95</v>
      </c>
      <c r="F532" s="1" t="n">
        <v>0</v>
      </c>
      <c r="G532" s="1" t="inlineStr">
        <is>
          <t>SQM</t>
        </is>
      </c>
      <c r="H532" s="1" t="inlineStr">
        <is>
          <t>Porcelain</t>
        </is>
      </c>
      <c r="I532" s="1" t="inlineStr">
        <is>
          <t>Matt</t>
        </is>
      </c>
      <c r="J532" t="n">
        <v>680</v>
      </c>
      <c r="K532" t="inlineStr"/>
      <c r="L532" t="n">
        <v>680</v>
      </c>
    </row>
    <row r="533">
      <c r="A533" s="1">
        <f>Hyperlink("https://www.wallsandfloors.co.uk/trax-lake-grey-80x80-lappato-tiles","Product")</f>
        <v/>
      </c>
      <c r="B533" s="1" t="inlineStr">
        <is>
          <t>38926</t>
        </is>
      </c>
      <c r="C533" s="1" t="inlineStr">
        <is>
          <t>Trax Lake Grey Lappato Tiles</t>
        </is>
      </c>
      <c r="D533" s="1" t="inlineStr">
        <is>
          <t>797x797x9mm</t>
        </is>
      </c>
      <c r="E533" s="1" t="n">
        <v>29.95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Semi-Polished</t>
        </is>
      </c>
      <c r="J533" t="inlineStr"/>
      <c r="K533" t="inlineStr"/>
      <c r="L533" t="n">
        <v>131</v>
      </c>
    </row>
    <row r="534">
      <c r="A534" s="1">
        <f>Hyperlink("https://www.wallsandfloors.co.uk/trax-lake-grey-80x40-matt-tiles","Product")</f>
        <v/>
      </c>
      <c r="B534" s="1" t="inlineStr">
        <is>
          <t>38925</t>
        </is>
      </c>
      <c r="C534" s="1" t="inlineStr">
        <is>
          <t>Trax Lake Grey Matt Tiles</t>
        </is>
      </c>
      <c r="D534" s="1" t="inlineStr">
        <is>
          <t>797x397x9mm</t>
        </is>
      </c>
      <c r="E534" s="1" t="n">
        <v>25.95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Matt</t>
        </is>
      </c>
      <c r="J534" t="inlineStr">
        <is>
          <t>Out of Stock</t>
        </is>
      </c>
      <c r="K534" t="inlineStr">
        <is>
          <t>Out of Stock</t>
        </is>
      </c>
      <c r="L534" t="inlineStr">
        <is>
          <t>Out of Stock</t>
        </is>
      </c>
    </row>
    <row r="535">
      <c r="A535" s="1">
        <f>Hyperlink("https://www.wallsandfloors.co.uk/trax-lake-grey-1-8-slab-tiles","Product")</f>
        <v/>
      </c>
      <c r="B535" s="1" t="inlineStr">
        <is>
          <t>40434</t>
        </is>
      </c>
      <c r="C535" s="1" t="inlineStr">
        <is>
          <t>Trax Lake Grey Porcelain Paving Slabs</t>
        </is>
      </c>
      <c r="D535" s="1" t="inlineStr">
        <is>
          <t>797x797x18mm</t>
        </is>
      </c>
      <c r="E535" s="1" t="n">
        <v>38.95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696</v>
      </c>
      <c r="K535" t="inlineStr"/>
      <c r="L535" t="n">
        <v>696</v>
      </c>
    </row>
    <row r="536">
      <c r="A536" s="1">
        <f>Hyperlink("https://www.wallsandfloors.co.uk/trax-grey-mist-80x80-matt-tiles","Product")</f>
        <v/>
      </c>
      <c r="B536" s="1" t="inlineStr">
        <is>
          <t>38917</t>
        </is>
      </c>
      <c r="C536" s="1" t="inlineStr">
        <is>
          <t>Trax Grey Mist Matt Tiles</t>
        </is>
      </c>
      <c r="D536" s="1" t="inlineStr">
        <is>
          <t>797x797x9mm</t>
        </is>
      </c>
      <c r="E536" s="1" t="n">
        <v>25.95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inlineStr">
        <is>
          <t>Out of Stock</t>
        </is>
      </c>
      <c r="K536" t="inlineStr">
        <is>
          <t>Out of Stock</t>
        </is>
      </c>
      <c r="L536" t="inlineStr">
        <is>
          <t>Out of Stock</t>
        </is>
      </c>
    </row>
    <row r="537">
      <c r="A537" s="1">
        <f>Hyperlink("https://www.wallsandfloors.co.uk/trax-grey-mist-80x80-lappato-tiles","Product")</f>
        <v/>
      </c>
      <c r="B537" s="1" t="inlineStr">
        <is>
          <t>38930</t>
        </is>
      </c>
      <c r="C537" s="1" t="inlineStr">
        <is>
          <t>Trax Grey Mist Lappato Tiles</t>
        </is>
      </c>
      <c r="D537" s="1" t="inlineStr">
        <is>
          <t>797x797x9mm</t>
        </is>
      </c>
      <c r="E537" s="1" t="n">
        <v>29.95</v>
      </c>
      <c r="F537" s="1" t="n">
        <v>0</v>
      </c>
      <c r="G537" s="1" t="inlineStr">
        <is>
          <t>SQM</t>
        </is>
      </c>
      <c r="H537" s="1" t="inlineStr">
        <is>
          <t>Porcelain</t>
        </is>
      </c>
      <c r="I537" s="1" t="inlineStr">
        <is>
          <t>Semi-Polished</t>
        </is>
      </c>
      <c r="J537" t="inlineStr"/>
      <c r="K537" t="n">
        <v>199</v>
      </c>
      <c r="L537" t="n">
        <v>199</v>
      </c>
    </row>
    <row r="538">
      <c r="A538" s="1">
        <f>Hyperlink("https://www.wallsandfloors.co.uk/trax-grey-mist-80x40-matt-tiles","Product")</f>
        <v/>
      </c>
      <c r="B538" s="1" t="inlineStr">
        <is>
          <t>38929</t>
        </is>
      </c>
      <c r="C538" s="1" t="inlineStr">
        <is>
          <t>Trax Grey Mist Matt Tiles</t>
        </is>
      </c>
      <c r="D538" s="1" t="inlineStr">
        <is>
          <t>397x797x9mm</t>
        </is>
      </c>
      <c r="E538" s="1" t="n">
        <v>25.95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54</v>
      </c>
      <c r="K538" t="n">
        <v>54</v>
      </c>
      <c r="L538" t="n">
        <v>54</v>
      </c>
    </row>
    <row r="539">
      <c r="A539" s="1">
        <f>Hyperlink("https://www.wallsandfloors.co.uk/trax-grey-mist-1-8-slab-tile","Product")</f>
        <v/>
      </c>
      <c r="B539" s="1" t="inlineStr">
        <is>
          <t>40435</t>
        </is>
      </c>
      <c r="C539" s="1" t="inlineStr">
        <is>
          <t>Trax Grey Mist Porcelain Paving Slabs</t>
        </is>
      </c>
      <c r="D539" s="1" t="inlineStr">
        <is>
          <t>797x797xx18mm</t>
        </is>
      </c>
      <c r="E539" s="1" t="n">
        <v>38.95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Matt</t>
        </is>
      </c>
      <c r="J539" t="n">
        <v>101</v>
      </c>
      <c r="K539" t="inlineStr"/>
      <c r="L539" t="n">
        <v>101</v>
      </c>
    </row>
    <row r="540">
      <c r="A540" s="1">
        <f>Hyperlink("https://www.wallsandfloors.co.uk/trax-peppered-taupe-80x80-lappato-tiles","Product")</f>
        <v/>
      </c>
      <c r="B540" s="1" t="inlineStr">
        <is>
          <t>38923</t>
        </is>
      </c>
      <c r="C540" s="1" t="inlineStr">
        <is>
          <t>Trax Peppered Taupe Lappato Tiles</t>
        </is>
      </c>
      <c r="D540" s="1" t="inlineStr">
        <is>
          <t>797x797x9mm</t>
        </is>
      </c>
      <c r="E540" s="1" t="n">
        <v>29.95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Semi-Polished</t>
        </is>
      </c>
      <c r="J540" t="inlineStr">
        <is>
          <t>In Stock</t>
        </is>
      </c>
      <c r="K540" t="inlineStr"/>
      <c r="L540" t="n">
        <v>217</v>
      </c>
    </row>
    <row r="541">
      <c r="A541" s="1">
        <f>Hyperlink("https://www.wallsandfloors.co.uk/traditional-wood-floorboard-tiles-peppered-ash-wood-effect-tile","Product")</f>
        <v/>
      </c>
      <c r="B541" s="1" t="inlineStr">
        <is>
          <t>15461</t>
        </is>
      </c>
      <c r="C541" s="1" t="inlineStr">
        <is>
          <t>Traditional Peppered Ash Wood Effect Tiles</t>
        </is>
      </c>
      <c r="D541" s="1" t="inlineStr">
        <is>
          <t>600x150x9mm</t>
        </is>
      </c>
      <c r="E541" s="1" t="n">
        <v>25.95</v>
      </c>
      <c r="F541" s="1" t="n">
        <v>0</v>
      </c>
      <c r="G541" s="1" t="inlineStr">
        <is>
          <t>SQM</t>
        </is>
      </c>
      <c r="H541" s="1" t="inlineStr">
        <is>
          <t>Ceramic</t>
        </is>
      </c>
      <c r="I541" s="1" t="inlineStr">
        <is>
          <t>Matt</t>
        </is>
      </c>
      <c r="J541" t="n">
        <v>56</v>
      </c>
      <c r="K541" t="n">
        <v>56</v>
      </c>
      <c r="L541" t="n">
        <v>56</v>
      </c>
    </row>
    <row r="542">
      <c r="A542" s="1">
        <f>Hyperlink("https://www.wallsandfloors.co.uk/traditional-wood-floorboard-tiles-bleached-oak-wood-effect-tile","Product")</f>
        <v/>
      </c>
      <c r="B542" s="1" t="inlineStr">
        <is>
          <t>15464</t>
        </is>
      </c>
      <c r="C542" s="1" t="inlineStr">
        <is>
          <t>Traditional Bleached Oak Wood Effect Tiles</t>
        </is>
      </c>
      <c r="D542" s="1" t="inlineStr">
        <is>
          <t>600x150x9mm</t>
        </is>
      </c>
      <c r="E542" s="1" t="n">
        <v>25.95</v>
      </c>
      <c r="F542" s="1" t="n">
        <v>0</v>
      </c>
      <c r="G542" s="1" t="inlineStr">
        <is>
          <t>SQM</t>
        </is>
      </c>
      <c r="H542" s="1" t="inlineStr">
        <is>
          <t>Ceramic</t>
        </is>
      </c>
      <c r="I542" s="1" t="inlineStr">
        <is>
          <t>Matt</t>
        </is>
      </c>
      <c r="J542" t="n">
        <v>67</v>
      </c>
      <c r="K542" t="inlineStr"/>
      <c r="L542" t="n">
        <v>67</v>
      </c>
    </row>
    <row r="543">
      <c r="A543" s="1">
        <f>Hyperlink("https://www.wallsandfloors.co.uk/toolshed-tiling-tools-master-tiler-replacement-wheel-9314","Product")</f>
        <v/>
      </c>
      <c r="B543" s="1" t="inlineStr">
        <is>
          <t>9314</t>
        </is>
      </c>
      <c r="C543" s="1" t="inlineStr">
        <is>
          <t>RUBI CPC Continuous Diamond Blade 180</t>
        </is>
      </c>
      <c r="D543" s="1" t="inlineStr">
        <is>
          <t>180 Diameter</t>
        </is>
      </c>
      <c r="E543" s="1" t="n">
        <v>47.95</v>
      </c>
      <c r="F543" s="1" t="n">
        <v>0</v>
      </c>
      <c r="G543" s="1" t="inlineStr">
        <is>
          <t>Pack</t>
        </is>
      </c>
      <c r="H543" s="1" t="inlineStr">
        <is>
          <t>Electric Tile Cutters</t>
        </is>
      </c>
      <c r="I543" s="1" t="inlineStr">
        <is>
          <t>-</t>
        </is>
      </c>
      <c r="J543" t="inlineStr">
        <is>
          <t>In Stock</t>
        </is>
      </c>
      <c r="K543" t="inlineStr">
        <is>
          <t>In Stock</t>
        </is>
      </c>
      <c r="L543" t="inlineStr">
        <is>
          <t>In Stock</t>
        </is>
      </c>
    </row>
    <row r="544">
      <c r="A544" s="1">
        <f>Hyperlink("https://www.wallsandfloors.co.uk/toolshed-tile-adhesive-standard-flex-grey-tile-adhesive","Product")</f>
        <v/>
      </c>
      <c r="B544" s="1" t="inlineStr">
        <is>
          <t>11247</t>
        </is>
      </c>
      <c r="C544" s="1" t="inlineStr">
        <is>
          <t>Standard Flex Grey Tile Adhesive</t>
        </is>
      </c>
      <c r="D544" s="1" t="inlineStr">
        <is>
          <t>20 Kg</t>
        </is>
      </c>
      <c r="E544" s="1" t="n">
        <v>19.95</v>
      </c>
      <c r="F544" s="1" t="n">
        <v>0</v>
      </c>
      <c r="G544" s="1" t="inlineStr">
        <is>
          <t>Unit</t>
        </is>
      </c>
      <c r="H544" s="1" t="inlineStr">
        <is>
          <t>Adhesive</t>
        </is>
      </c>
      <c r="I544" s="1" t="inlineStr">
        <is>
          <t>-</t>
        </is>
      </c>
      <c r="J544" t="inlineStr"/>
      <c r="K544" t="inlineStr"/>
      <c r="L544" t="n">
        <v>521</v>
      </c>
    </row>
    <row r="545">
      <c r="A545" s="1">
        <f>Hyperlink("https://www.wallsandfloors.co.uk/toolshed-tile-adhesive-kwik-flex-white-tile-adhesive","Product")</f>
        <v/>
      </c>
      <c r="B545" s="1" t="inlineStr">
        <is>
          <t>10448</t>
        </is>
      </c>
      <c r="C545" s="1" t="inlineStr">
        <is>
          <t>Kwik Flex White Tile Adhesive</t>
        </is>
      </c>
      <c r="D545" s="1" t="inlineStr">
        <is>
          <t>20 Kg</t>
        </is>
      </c>
      <c r="E545" s="1" t="n">
        <v>19.95</v>
      </c>
      <c r="F545" s="1" t="n">
        <v>0</v>
      </c>
      <c r="G545" s="1" t="inlineStr">
        <is>
          <t>Unit</t>
        </is>
      </c>
      <c r="H545" s="1" t="inlineStr">
        <is>
          <t>Adhesive</t>
        </is>
      </c>
      <c r="I545" s="1" t="inlineStr">
        <is>
          <t>-</t>
        </is>
      </c>
      <c r="J545" t="n">
        <v>472</v>
      </c>
      <c r="K545" t="inlineStr"/>
      <c r="L545" t="n">
        <v>472</v>
      </c>
    </row>
    <row r="546">
      <c r="A546" s="1">
        <f>Hyperlink("https://www.wallsandfloors.co.uk/toolshed-tile-adhesive-kwik-fix-grey-floor-tile-adhesive","Product")</f>
        <v/>
      </c>
      <c r="B546" s="1" t="inlineStr">
        <is>
          <t>9201</t>
        </is>
      </c>
      <c r="C546" s="1" t="inlineStr">
        <is>
          <t>Kwik Fix Grey Floor Tile Adhesive</t>
        </is>
      </c>
      <c r="D546" s="1" t="inlineStr">
        <is>
          <t>20 Kg</t>
        </is>
      </c>
      <c r="E546" s="1" t="n">
        <v>19.95</v>
      </c>
      <c r="F546" s="1" t="n">
        <v>0</v>
      </c>
      <c r="G546" s="1" t="inlineStr">
        <is>
          <t>Unit</t>
        </is>
      </c>
      <c r="H546" s="1" t="inlineStr">
        <is>
          <t>Adhesive</t>
        </is>
      </c>
      <c r="I546" s="1" t="inlineStr">
        <is>
          <t>-</t>
        </is>
      </c>
      <c r="J546" t="inlineStr"/>
      <c r="K546" t="n">
        <v>656</v>
      </c>
      <c r="L546" t="n">
        <v>656</v>
      </c>
    </row>
    <row r="547">
      <c r="A547" s="1">
        <f>Hyperlink("https://www.wallsandfloors.co.uk/toolshed-preparation-products-palace-tilers-primer-1-litre","Product")</f>
        <v/>
      </c>
      <c r="B547" s="1" t="inlineStr">
        <is>
          <t>15379</t>
        </is>
      </c>
      <c r="C547" s="1" t="inlineStr">
        <is>
          <t>Palace Tilers Primer 1 Litre</t>
        </is>
      </c>
      <c r="D547" s="1" t="inlineStr">
        <is>
          <t>1 Ltr</t>
        </is>
      </c>
      <c r="E547" s="1" t="n">
        <v>7.95</v>
      </c>
      <c r="F547" s="1" t="n">
        <v>0</v>
      </c>
      <c r="G547" s="1" t="inlineStr">
        <is>
          <t>Unit</t>
        </is>
      </c>
      <c r="H547" s="1" t="inlineStr">
        <is>
          <t>Silicone</t>
        </is>
      </c>
      <c r="I547" s="1" t="inlineStr">
        <is>
          <t>-</t>
        </is>
      </c>
      <c r="J547" t="inlineStr">
        <is>
          <t>In Stock</t>
        </is>
      </c>
      <c r="K547" t="inlineStr">
        <is>
          <t>In Stock</t>
        </is>
      </c>
      <c r="L547" t="inlineStr">
        <is>
          <t>In Stock</t>
        </is>
      </c>
    </row>
    <row r="548">
      <c r="A548" s="1">
        <f>Hyperlink("https://www.wallsandfloors.co.uk/toolshed-preparation-products-hansil-contractor-gp-clear","Product")</f>
        <v/>
      </c>
      <c r="B548" s="1" t="inlineStr">
        <is>
          <t>10669</t>
        </is>
      </c>
      <c r="C548" s="1" t="inlineStr">
        <is>
          <t>Hansil Contractor GP Clear</t>
        </is>
      </c>
      <c r="D548" s="1" t="inlineStr">
        <is>
          <t>300ml</t>
        </is>
      </c>
      <c r="E548" s="1" t="n">
        <v>6.95</v>
      </c>
      <c r="F548" s="1" t="n">
        <v>0</v>
      </c>
      <c r="G548" s="1" t="inlineStr">
        <is>
          <t>Unit</t>
        </is>
      </c>
      <c r="H548" s="1" t="inlineStr">
        <is>
          <t>Silicone</t>
        </is>
      </c>
      <c r="I548" s="1" t="inlineStr">
        <is>
          <t>-</t>
        </is>
      </c>
      <c r="J548" t="n">
        <v>997</v>
      </c>
      <c r="K548" t="n">
        <v>997</v>
      </c>
      <c r="L548" t="n">
        <v>997</v>
      </c>
    </row>
    <row r="549">
      <c r="A549" s="1">
        <f>Hyperlink("https://www.wallsandfloors.co.uk/toolshed-preparation-products-genesis-mosaic-tile-mesh-300x300","Product")</f>
        <v/>
      </c>
      <c r="B549" s="1" t="inlineStr">
        <is>
          <t>12350</t>
        </is>
      </c>
      <c r="C549" s="1" t="inlineStr">
        <is>
          <t>Genesis Mosaic Tile Mesh 300x300</t>
        </is>
      </c>
      <c r="D549" s="1" t="inlineStr">
        <is>
          <t>300x300x2mm</t>
        </is>
      </c>
      <c r="E549" s="1" t="n">
        <v>2.95</v>
      </c>
      <c r="F549" s="1" t="n">
        <v>0</v>
      </c>
      <c r="G549" s="1" t="inlineStr">
        <is>
          <t>Unit</t>
        </is>
      </c>
      <c r="H549" s="1" t="inlineStr">
        <is>
          <t>Preparation Products</t>
        </is>
      </c>
      <c r="I549" s="1" t="inlineStr">
        <is>
          <t>-</t>
        </is>
      </c>
      <c r="J549" t="inlineStr"/>
      <c r="K549" t="inlineStr"/>
      <c r="L549" t="inlineStr">
        <is>
          <t>In Stock</t>
        </is>
      </c>
    </row>
    <row r="550">
      <c r="A550" s="1">
        <f>Hyperlink("https://www.wallsandfloors.co.uk/toolshed-cleaning-and-maintenance-linseed-oil","Product")</f>
        <v/>
      </c>
      <c r="B550" s="1" t="inlineStr">
        <is>
          <t>9194</t>
        </is>
      </c>
      <c r="C550" s="1" t="inlineStr">
        <is>
          <t>Linseed Oil</t>
        </is>
      </c>
      <c r="D550" s="1" t="inlineStr">
        <is>
          <t>2 Ltr</t>
        </is>
      </c>
      <c r="E550" s="1" t="n">
        <v>36.95</v>
      </c>
      <c r="F550" s="1" t="n">
        <v>0</v>
      </c>
      <c r="G550" s="1" t="inlineStr">
        <is>
          <t>Unit</t>
        </is>
      </c>
      <c r="H550" s="1" t="inlineStr">
        <is>
          <t>Oil</t>
        </is>
      </c>
      <c r="I550" s="1" t="inlineStr">
        <is>
          <t>-</t>
        </is>
      </c>
      <c r="J550" t="inlineStr">
        <is>
          <t>In Stock</t>
        </is>
      </c>
      <c r="K550" t="inlineStr">
        <is>
          <t>In Stock</t>
        </is>
      </c>
      <c r="L550" t="inlineStr">
        <is>
          <t>In Stock</t>
        </is>
      </c>
    </row>
    <row r="551">
      <c r="A551" s="1">
        <f>Hyperlink("https://www.wallsandfloors.co.uk/tones-neutrals-tiles-white-tiles","Product")</f>
        <v/>
      </c>
      <c r="B551" s="1" t="inlineStr">
        <is>
          <t>11319</t>
        </is>
      </c>
      <c r="C551" s="1" t="inlineStr">
        <is>
          <t>Tones White Brick Tiles</t>
        </is>
      </c>
      <c r="D551" s="1" t="inlineStr">
        <is>
          <t>400x150x10mm</t>
        </is>
      </c>
      <c r="E551" s="1" t="n">
        <v>30.95</v>
      </c>
      <c r="F551" s="1" t="n">
        <v>0</v>
      </c>
      <c r="G551" s="1" t="inlineStr">
        <is>
          <t>SQM</t>
        </is>
      </c>
      <c r="H551" s="1" t="inlineStr">
        <is>
          <t>Ceramic</t>
        </is>
      </c>
      <c r="I551" s="1" t="inlineStr">
        <is>
          <t>Matt</t>
        </is>
      </c>
      <c r="J551" t="n">
        <v>93</v>
      </c>
      <c r="K551" t="inlineStr"/>
      <c r="L551" t="n">
        <v>99</v>
      </c>
    </row>
    <row r="552">
      <c r="A552" s="1">
        <f>Hyperlink("https://www.wallsandfloors.co.uk/traditional-wood-floorboard-tiles-dusted-cocoa-wood-effect-tile","Product")</f>
        <v/>
      </c>
      <c r="B552" s="1" t="inlineStr">
        <is>
          <t>15460</t>
        </is>
      </c>
      <c r="C552" s="1" t="inlineStr">
        <is>
          <t>Dusted Cocoa Wood Effect Tile</t>
        </is>
      </c>
      <c r="D552" s="1" t="inlineStr">
        <is>
          <t>600x150x9mm</t>
        </is>
      </c>
      <c r="E552" s="1" t="n">
        <v>25.95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Matt</t>
        </is>
      </c>
      <c r="J552" t="n">
        <v>102</v>
      </c>
      <c r="K552" t="inlineStr"/>
      <c r="L552" t="n">
        <v>102</v>
      </c>
    </row>
    <row r="553">
      <c r="A553" s="1">
        <f>Hyperlink("https://www.wallsandfloors.co.uk/trax-peppered-taupe-80x80-matt-tiles","Product")</f>
        <v/>
      </c>
      <c r="B553" s="1" t="inlineStr">
        <is>
          <t>38916</t>
        </is>
      </c>
      <c r="C553" s="1" t="inlineStr">
        <is>
          <t>Trax Peppered Taupe Matt Tiles</t>
        </is>
      </c>
      <c r="D553" s="1" t="inlineStr">
        <is>
          <t>797x797x9mm</t>
        </is>
      </c>
      <c r="E553" s="1" t="n">
        <v>25.95</v>
      </c>
      <c r="F553" s="1" t="n">
        <v>0</v>
      </c>
      <c r="G553" s="1" t="inlineStr">
        <is>
          <t>SQM</t>
        </is>
      </c>
      <c r="H553" s="1" t="inlineStr">
        <is>
          <t>Porcelain</t>
        </is>
      </c>
      <c r="I553" s="1" t="inlineStr">
        <is>
          <t>Matt</t>
        </is>
      </c>
      <c r="J553" t="inlineStr">
        <is>
          <t>Out of Stock</t>
        </is>
      </c>
      <c r="K553" t="n">
        <v>177</v>
      </c>
      <c r="L553" t="n">
        <v>177</v>
      </c>
    </row>
    <row r="554">
      <c r="A554" s="1">
        <f>Hyperlink("https://www.wallsandfloors.co.uk/trax-velvet-moon-80x40-matt-tiles","Product")</f>
        <v/>
      </c>
      <c r="B554" s="1" t="inlineStr">
        <is>
          <t>38919</t>
        </is>
      </c>
      <c r="C554" s="1" t="inlineStr">
        <is>
          <t>Trax Velvet Moon 80x40 Matt Tiles</t>
        </is>
      </c>
      <c r="D554" s="1" t="inlineStr">
        <is>
          <t>797x397x9mm</t>
        </is>
      </c>
      <c r="E554" s="1" t="n">
        <v>25.95</v>
      </c>
      <c r="F554" s="1" t="n">
        <v>0</v>
      </c>
      <c r="G554" s="1" t="inlineStr">
        <is>
          <t>SQM</t>
        </is>
      </c>
      <c r="H554" s="1" t="inlineStr">
        <is>
          <t>Porcelain</t>
        </is>
      </c>
      <c r="I554" s="1" t="inlineStr">
        <is>
          <t>Matt</t>
        </is>
      </c>
      <c r="J554" t="inlineStr">
        <is>
          <t>Out of Stock</t>
        </is>
      </c>
      <c r="K554" t="inlineStr">
        <is>
          <t>Out of Stock</t>
        </is>
      </c>
      <c r="L554" t="inlineStr">
        <is>
          <t>Out of Stock</t>
        </is>
      </c>
    </row>
    <row r="555">
      <c r="A555" s="1">
        <f>Hyperlink("https://www.wallsandfloors.co.uk/trax-velvet-moon-80x80-lappato-tiles","Product")</f>
        <v/>
      </c>
      <c r="B555" s="1" t="inlineStr">
        <is>
          <t>38920</t>
        </is>
      </c>
      <c r="C555" s="1" t="inlineStr">
        <is>
          <t>Trax Velvet Moon Lappato Tiles</t>
        </is>
      </c>
      <c r="D555" s="1" t="inlineStr">
        <is>
          <t>797x797x9mm</t>
        </is>
      </c>
      <c r="E555" s="1" t="n">
        <v>29.95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Semi-Polished</t>
        </is>
      </c>
      <c r="J555" t="inlineStr"/>
      <c r="K555" t="inlineStr">
        <is>
          <t>Out of Stock</t>
        </is>
      </c>
      <c r="L555" t="inlineStr">
        <is>
          <t>Out of Stock</t>
        </is>
      </c>
    </row>
    <row r="556">
      <c r="A556" s="1">
        <f>Hyperlink("https://www.wallsandfloors.co.uk/trullo-brick-effect-tiles-light-natural-brick-effect-tile","Product")</f>
        <v/>
      </c>
      <c r="B556" s="1" t="inlineStr">
        <is>
          <t>13983</t>
        </is>
      </c>
      <c r="C556" s="1" t="inlineStr">
        <is>
          <t>Light Natural Brick Effect Tile</t>
        </is>
      </c>
      <c r="D556" s="1" t="inlineStr">
        <is>
          <t>600x300x7mm</t>
        </is>
      </c>
      <c r="E556" s="1" t="n">
        <v>33.95</v>
      </c>
      <c r="F556" s="1" t="n">
        <v>0</v>
      </c>
      <c r="G556" s="1" t="inlineStr">
        <is>
          <t>SQM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n">
        <v>83</v>
      </c>
      <c r="L556" t="n">
        <v>83</v>
      </c>
    </row>
    <row r="557">
      <c r="A557" s="1">
        <f>Hyperlink("https://www.wallsandfloors.co.uk/trullo-brick-effect-tiles-dark-natural-brick-effect-tile","Product")</f>
        <v/>
      </c>
      <c r="B557" s="1" t="inlineStr">
        <is>
          <t>13981</t>
        </is>
      </c>
      <c r="C557" s="1" t="inlineStr">
        <is>
          <t>Trullo Dark Natural Beige Brick Effect Porcelain Wall Tiles</t>
        </is>
      </c>
      <c r="D557" s="1" t="inlineStr">
        <is>
          <t>600x300x7mm</t>
        </is>
      </c>
      <c r="E557" s="1" t="n">
        <v>33.95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Matt</t>
        </is>
      </c>
      <c r="J557" t="n">
        <v>57</v>
      </c>
      <c r="K557" t="inlineStr"/>
      <c r="L557" t="n">
        <v>57</v>
      </c>
    </row>
    <row r="558">
      <c r="A558" s="1">
        <f>Hyperlink("https://www.wallsandfloors.co.uk/trullo-brick-effect-tiles-charcoal-brick-effect-tile","Product")</f>
        <v/>
      </c>
      <c r="B558" s="1" t="inlineStr">
        <is>
          <t>13982</t>
        </is>
      </c>
      <c r="C558" s="1" t="inlineStr">
        <is>
          <t>Charcoal Brick Effect Tile</t>
        </is>
      </c>
      <c r="D558" s="1" t="inlineStr">
        <is>
          <t>600x300x7mm</t>
        </is>
      </c>
      <c r="E558" s="1" t="n">
        <v>33.95</v>
      </c>
      <c r="F558" s="1" t="n">
        <v>0</v>
      </c>
      <c r="G558" s="1" t="inlineStr">
        <is>
          <t>SQM</t>
        </is>
      </c>
      <c r="H558" s="1" t="inlineStr">
        <is>
          <t>Porcelain</t>
        </is>
      </c>
      <c r="I558" s="1" t="inlineStr">
        <is>
          <t>Matt</t>
        </is>
      </c>
      <c r="J558" t="inlineStr">
        <is>
          <t>In Stock</t>
        </is>
      </c>
      <c r="K558" t="inlineStr">
        <is>
          <t>In Stock</t>
        </is>
      </c>
      <c r="L558" t="inlineStr">
        <is>
          <t>In Stock</t>
        </is>
      </c>
    </row>
    <row r="559">
      <c r="A559" s="1">
        <f>Hyperlink("https://www.wallsandfloors.co.uk/troverta-smoke-gloss-60x30-tiles","Product")</f>
        <v/>
      </c>
      <c r="B559" s="1" t="inlineStr">
        <is>
          <t>43315</t>
        </is>
      </c>
      <c r="C559" s="1" t="inlineStr">
        <is>
          <t>Ceppo Terrazzo Effect Gloss Tiles</t>
        </is>
      </c>
      <c r="D559" s="1" t="inlineStr">
        <is>
          <t>600x300x8.5mm</t>
        </is>
      </c>
      <c r="E559" s="1" t="n">
        <v>20.95</v>
      </c>
      <c r="F559" s="1" t="n">
        <v>0</v>
      </c>
      <c r="G559" s="1" t="inlineStr">
        <is>
          <t>SQM</t>
        </is>
      </c>
      <c r="H559" s="1" t="inlineStr">
        <is>
          <t>Ceramic</t>
        </is>
      </c>
      <c r="I559" s="1" t="inlineStr">
        <is>
          <t>Gloss</t>
        </is>
      </c>
      <c r="J559" t="n">
        <v>57</v>
      </c>
      <c r="K559" t="n">
        <v>57</v>
      </c>
      <c r="L559" t="n">
        <v>57</v>
      </c>
    </row>
    <row r="560">
      <c r="A560" s="1">
        <f>Hyperlink("https://www.wallsandfloors.co.uk/troverta-smoke-60x60-tiles","Product")</f>
        <v/>
      </c>
      <c r="B560" s="1" t="inlineStr">
        <is>
          <t>43317</t>
        </is>
      </c>
      <c r="C560" s="1" t="inlineStr">
        <is>
          <t>Ceppo Terrazzo Effect Tiles</t>
        </is>
      </c>
      <c r="D560" s="1" t="inlineStr">
        <is>
          <t>600x600x10mm</t>
        </is>
      </c>
      <c r="E560" s="1" t="n">
        <v>25.95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Matt</t>
        </is>
      </c>
      <c r="J560" t="n">
        <v>202</v>
      </c>
      <c r="K560" t="n">
        <v>202</v>
      </c>
      <c r="L560" t="n">
        <v>202</v>
      </c>
    </row>
    <row r="561">
      <c r="A561" s="1">
        <f>Hyperlink("https://www.wallsandfloors.co.uk/troverta-smoke-60x30-tiles","Product")</f>
        <v/>
      </c>
      <c r="B561" s="1" t="inlineStr">
        <is>
          <t>43316</t>
        </is>
      </c>
      <c r="C561" s="1" t="inlineStr">
        <is>
          <t>Ceppo Terrazzo Effect Matt Tiles</t>
        </is>
      </c>
      <c r="D561" s="1" t="inlineStr">
        <is>
          <t>600x300x8.5mm</t>
        </is>
      </c>
      <c r="E561" s="1" t="n">
        <v>20.95</v>
      </c>
      <c r="F561" s="1" t="n">
        <v>0</v>
      </c>
      <c r="G561" s="1" t="inlineStr">
        <is>
          <t>SQM</t>
        </is>
      </c>
      <c r="H561" s="1" t="inlineStr">
        <is>
          <t>Ceramic</t>
        </is>
      </c>
      <c r="I561" s="1" t="inlineStr">
        <is>
          <t>Matt</t>
        </is>
      </c>
      <c r="J561" t="inlineStr"/>
      <c r="K561" t="inlineStr"/>
      <c r="L561" t="n">
        <v>114</v>
      </c>
    </row>
    <row r="562">
      <c r="A562" s="1">
        <f>Hyperlink("https://www.wallsandfloors.co.uk/troverta-muretto-cream-60x30-tiles","Product")</f>
        <v/>
      </c>
      <c r="B562" s="1" t="inlineStr">
        <is>
          <t>43323</t>
        </is>
      </c>
      <c r="C562" s="1" t="inlineStr">
        <is>
          <t>Troverta Muretto Cream Tiles</t>
        </is>
      </c>
      <c r="D562" s="1" t="inlineStr">
        <is>
          <t>600x300x8.5mm</t>
        </is>
      </c>
      <c r="E562" s="1" t="n">
        <v>20.95</v>
      </c>
      <c r="F562" s="1" t="n">
        <v>0</v>
      </c>
      <c r="G562" s="1" t="inlineStr">
        <is>
          <t>SQM</t>
        </is>
      </c>
      <c r="H562" s="1" t="inlineStr">
        <is>
          <t>Ceramic</t>
        </is>
      </c>
      <c r="I562" s="1" t="inlineStr">
        <is>
          <t>Matt</t>
        </is>
      </c>
      <c r="J562" t="n">
        <v>115</v>
      </c>
      <c r="K562" t="n">
        <v>115</v>
      </c>
      <c r="L562" t="n">
        <v>115</v>
      </c>
    </row>
    <row r="563">
      <c r="A563" s="1">
        <f>Hyperlink("https://www.wallsandfloors.co.uk/troverta-muretto-charcoal-60x30-tiles","Product")</f>
        <v/>
      </c>
      <c r="B563" s="1" t="inlineStr">
        <is>
          <t>43324</t>
        </is>
      </c>
      <c r="C563" s="1" t="inlineStr">
        <is>
          <t>Troverta Muretto Charcoal Tiles</t>
        </is>
      </c>
      <c r="D563" s="1" t="inlineStr">
        <is>
          <t>600x300x8.5mm</t>
        </is>
      </c>
      <c r="E563" s="1" t="n">
        <v>20.95</v>
      </c>
      <c r="F563" s="1" t="n">
        <v>0</v>
      </c>
      <c r="G563" s="1" t="inlineStr">
        <is>
          <t>SQM</t>
        </is>
      </c>
      <c r="H563" s="1" t="inlineStr">
        <is>
          <t>Ceramic</t>
        </is>
      </c>
      <c r="I563" s="1" t="inlineStr">
        <is>
          <t>Matt</t>
        </is>
      </c>
      <c r="J563" t="inlineStr"/>
      <c r="K563" t="inlineStr">
        <is>
          <t>In Stock</t>
        </is>
      </c>
      <c r="L563" t="inlineStr">
        <is>
          <t>In Stock</t>
        </is>
      </c>
    </row>
    <row r="564">
      <c r="A564" s="1">
        <f>Hyperlink("https://www.wallsandfloors.co.uk/troverta-cubic-cream-60x30-tiles","Product")</f>
        <v/>
      </c>
      <c r="B564" s="1" t="inlineStr">
        <is>
          <t>43319</t>
        </is>
      </c>
      <c r="C564" s="1" t="inlineStr">
        <is>
          <t>Troverta Cubic Cream Tiles</t>
        </is>
      </c>
      <c r="D564" s="1" t="inlineStr">
        <is>
          <t>600x300x8.5mm</t>
        </is>
      </c>
      <c r="E564" s="1" t="n">
        <v>20.95</v>
      </c>
      <c r="F564" s="1" t="n">
        <v>0</v>
      </c>
      <c r="G564" s="1" t="inlineStr">
        <is>
          <t>SQM</t>
        </is>
      </c>
      <c r="H564" s="1" t="inlineStr">
        <is>
          <t>Ceramic</t>
        </is>
      </c>
      <c r="I564" s="1" t="inlineStr">
        <is>
          <t>Matt</t>
        </is>
      </c>
      <c r="J564" t="inlineStr">
        <is>
          <t>In Stock</t>
        </is>
      </c>
      <c r="K564" t="inlineStr">
        <is>
          <t>In Stock</t>
        </is>
      </c>
      <c r="L564" t="inlineStr">
        <is>
          <t>In Stock</t>
        </is>
      </c>
    </row>
    <row r="565">
      <c r="A565" s="1">
        <f>Hyperlink("https://www.wallsandfloors.co.uk/troverta-cubic-charcoal-60x30-tiles","Product")</f>
        <v/>
      </c>
      <c r="B565" s="1" t="inlineStr">
        <is>
          <t>43318</t>
        </is>
      </c>
      <c r="C565" s="1" t="inlineStr">
        <is>
          <t>Troverta Cubic Charcoal Tiles</t>
        </is>
      </c>
      <c r="D565" s="1" t="inlineStr">
        <is>
          <t>600x300x8.5mm</t>
        </is>
      </c>
      <c r="E565" s="1" t="n">
        <v>20.95</v>
      </c>
      <c r="F565" s="1" t="n">
        <v>0</v>
      </c>
      <c r="G565" s="1" t="inlineStr">
        <is>
          <t>SQM</t>
        </is>
      </c>
      <c r="H565" s="1" t="inlineStr">
        <is>
          <t>Ceramic</t>
        </is>
      </c>
      <c r="I565" s="1" t="inlineStr">
        <is>
          <t>Matt</t>
        </is>
      </c>
      <c r="J565" t="inlineStr"/>
      <c r="K565" t="inlineStr"/>
      <c r="L565" t="n">
        <v>86</v>
      </c>
    </row>
    <row r="566">
      <c r="A566" s="1">
        <f>Hyperlink("https://www.wallsandfloors.co.uk/troverta-cubic-ash-60x30-tiles","Product")</f>
        <v/>
      </c>
      <c r="B566" s="1" t="inlineStr">
        <is>
          <t>43320</t>
        </is>
      </c>
      <c r="C566" s="1" t="inlineStr">
        <is>
          <t>Troverta Cubic Ash Tiles</t>
        </is>
      </c>
      <c r="D566" s="1" t="inlineStr">
        <is>
          <t>300x600x8.5mm</t>
        </is>
      </c>
      <c r="E566" s="1" t="n">
        <v>20.95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112</v>
      </c>
      <c r="K566" t="inlineStr"/>
      <c r="L566" t="n">
        <v>112</v>
      </c>
    </row>
    <row r="567">
      <c r="A567" s="1">
        <f>Hyperlink("https://www.wallsandfloors.co.uk/troverta-cream-gloss-60x30-tiles","Product")</f>
        <v/>
      </c>
      <c r="B567" s="1" t="inlineStr">
        <is>
          <t>43313</t>
        </is>
      </c>
      <c r="C567" s="1" t="inlineStr">
        <is>
          <t>Troverta Cream Gloss Tiles</t>
        </is>
      </c>
      <c r="D567" s="1" t="inlineStr">
        <is>
          <t>600x300x8.5mm</t>
        </is>
      </c>
      <c r="E567" s="1" t="n">
        <v>30.95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Gloss</t>
        </is>
      </c>
      <c r="J567" t="n">
        <v>282</v>
      </c>
      <c r="K567" t="n">
        <v>282</v>
      </c>
      <c r="L567" t="n">
        <v>282</v>
      </c>
    </row>
    <row r="568">
      <c r="A568" s="1">
        <f>Hyperlink("https://www.wallsandfloors.co.uk/troverta-cream-60x60-tiles","Product")</f>
        <v/>
      </c>
      <c r="B568" s="1" t="inlineStr">
        <is>
          <t>43311</t>
        </is>
      </c>
      <c r="C568" s="1" t="inlineStr">
        <is>
          <t>Troverta Cream Tiles</t>
        </is>
      </c>
      <c r="D568" s="1" t="inlineStr">
        <is>
          <t>600x600x10mm</t>
        </is>
      </c>
      <c r="E568" s="1" t="n">
        <v>25.95</v>
      </c>
      <c r="F568" s="1" t="n">
        <v>0</v>
      </c>
      <c r="G568" s="1" t="inlineStr">
        <is>
          <t>SQM</t>
        </is>
      </c>
      <c r="H568" s="1" t="inlineStr">
        <is>
          <t>Porcelain</t>
        </is>
      </c>
      <c r="I568" s="1" t="inlineStr">
        <is>
          <t>Matt</t>
        </is>
      </c>
      <c r="J568" t="n">
        <v>156</v>
      </c>
      <c r="K568" t="n">
        <v>156</v>
      </c>
      <c r="L568" t="n">
        <v>156</v>
      </c>
    </row>
    <row r="569">
      <c r="A569" s="1">
        <f>Hyperlink("https://www.wallsandfloors.co.uk/troverta-cream-45x45-tiles","Product")</f>
        <v/>
      </c>
      <c r="B569" s="1" t="inlineStr">
        <is>
          <t>43314</t>
        </is>
      </c>
      <c r="C569" s="1" t="inlineStr">
        <is>
          <t>Troverta Cream Tiles</t>
        </is>
      </c>
      <c r="D569" s="1" t="inlineStr">
        <is>
          <t>450x450x8.5mm</t>
        </is>
      </c>
      <c r="E569" s="1" t="n">
        <v>22.95</v>
      </c>
      <c r="F569" s="1" t="n">
        <v>0</v>
      </c>
      <c r="G569" s="1" t="inlineStr">
        <is>
          <t>SQM</t>
        </is>
      </c>
      <c r="H569" s="1" t="inlineStr">
        <is>
          <t>Porcelain</t>
        </is>
      </c>
      <c r="I569" s="1" t="inlineStr">
        <is>
          <t>Matt</t>
        </is>
      </c>
      <c r="J569" t="n">
        <v>114</v>
      </c>
      <c r="K569" t="n">
        <v>114</v>
      </c>
      <c r="L569" t="n">
        <v>114</v>
      </c>
    </row>
    <row r="570">
      <c r="A570" s="1">
        <f>Hyperlink("https://www.wallsandfloors.co.uk/troverta-cream-30x60-tiles","Product")</f>
        <v/>
      </c>
      <c r="B570" s="1" t="inlineStr">
        <is>
          <t>43310</t>
        </is>
      </c>
      <c r="C570" s="1" t="inlineStr">
        <is>
          <t>Troverta Cream Tiles</t>
        </is>
      </c>
      <c r="D570" s="1" t="inlineStr">
        <is>
          <t>600x300x8.5mm</t>
        </is>
      </c>
      <c r="E570" s="1" t="n">
        <v>20.95</v>
      </c>
      <c r="F570" s="1" t="n">
        <v>0</v>
      </c>
      <c r="G570" s="1" t="inlineStr">
        <is>
          <t>SQM</t>
        </is>
      </c>
      <c r="H570" s="1" t="inlineStr">
        <is>
          <t>Ceramic</t>
        </is>
      </c>
      <c r="I570" s="1" t="inlineStr">
        <is>
          <t>Matt</t>
        </is>
      </c>
      <c r="J570" t="n">
        <v>323</v>
      </c>
      <c r="K570" t="n">
        <v>323</v>
      </c>
      <c r="L570" t="n">
        <v>323</v>
      </c>
    </row>
    <row r="571">
      <c r="A571" s="1">
        <f>Hyperlink("https://www.wallsandfloors.co.uk/troverta-charcoal-60x60-tiles","Product")</f>
        <v/>
      </c>
      <c r="B571" s="1" t="inlineStr">
        <is>
          <t>43539</t>
        </is>
      </c>
      <c r="C571" s="1" t="inlineStr">
        <is>
          <t>Troverta Charcoal Tiles</t>
        </is>
      </c>
      <c r="D571" s="1" t="inlineStr">
        <is>
          <t>600x600x10mm</t>
        </is>
      </c>
      <c r="E571" s="1" t="n">
        <v>25.95</v>
      </c>
      <c r="F571" s="1" t="n">
        <v>0</v>
      </c>
      <c r="G571" s="1" t="inlineStr">
        <is>
          <t>SQM</t>
        </is>
      </c>
      <c r="H571" s="1" t="inlineStr">
        <is>
          <t>Porcelain</t>
        </is>
      </c>
      <c r="I571" s="1" t="inlineStr">
        <is>
          <t>Matt</t>
        </is>
      </c>
      <c r="J571" t="n">
        <v>255</v>
      </c>
      <c r="K571" t="n">
        <v>255</v>
      </c>
      <c r="L571" t="n">
        <v>255</v>
      </c>
    </row>
    <row r="572">
      <c r="A572" s="1">
        <f>Hyperlink("https://www.wallsandfloors.co.uk/troverta-charcoal-60x30-tiles","Product")</f>
        <v/>
      </c>
      <c r="B572" s="1" t="inlineStr">
        <is>
          <t>43322</t>
        </is>
      </c>
      <c r="C572" s="1" t="inlineStr">
        <is>
          <t>Troverta Charcoal Tiles</t>
        </is>
      </c>
      <c r="D572" s="1" t="inlineStr">
        <is>
          <t>600x300x8.5mm</t>
        </is>
      </c>
      <c r="E572" s="1" t="n">
        <v>20.95</v>
      </c>
      <c r="F572" s="1" t="n">
        <v>0</v>
      </c>
      <c r="G572" s="1" t="inlineStr">
        <is>
          <t>SQM</t>
        </is>
      </c>
      <c r="H572" s="1" t="inlineStr">
        <is>
          <t>Ceramic</t>
        </is>
      </c>
      <c r="I572" s="1" t="inlineStr">
        <is>
          <t>Matt</t>
        </is>
      </c>
      <c r="J572" t="inlineStr"/>
      <c r="K572" t="inlineStr"/>
      <c r="L572" t="n">
        <v>133</v>
      </c>
    </row>
    <row r="573">
      <c r="A573" s="1">
        <f>Hyperlink("https://www.wallsandfloors.co.uk/troverta-charcoal-45x45-tiles","Product")</f>
        <v/>
      </c>
      <c r="B573" s="1" t="inlineStr">
        <is>
          <t>43538</t>
        </is>
      </c>
      <c r="C573" s="1" t="inlineStr">
        <is>
          <t>Troverta Charcoal Tiles</t>
        </is>
      </c>
      <c r="D573" s="1" t="inlineStr">
        <is>
          <t>450x450x8.5mm</t>
        </is>
      </c>
      <c r="E573" s="1" t="n">
        <v>22.95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inlineStr">
        <is>
          <t>In Stock</t>
        </is>
      </c>
      <c r="K573" t="inlineStr">
        <is>
          <t>In Stock</t>
        </is>
      </c>
      <c r="L573" t="inlineStr">
        <is>
          <t>In Stock</t>
        </is>
      </c>
    </row>
    <row r="574">
      <c r="A574" s="1">
        <f>Hyperlink("https://www.wallsandfloors.co.uk/troverta-ash-gloss-60x30-tiles","Product")</f>
        <v/>
      </c>
      <c r="B574" s="1" t="inlineStr">
        <is>
          <t>43326</t>
        </is>
      </c>
      <c r="C574" s="1" t="inlineStr">
        <is>
          <t>Troverta Ash Gloss Tiles</t>
        </is>
      </c>
      <c r="D574" s="1" t="inlineStr">
        <is>
          <t>600x300x8.5mm</t>
        </is>
      </c>
      <c r="E574" s="1" t="n">
        <v>20.95</v>
      </c>
      <c r="F574" s="1" t="n">
        <v>0</v>
      </c>
      <c r="G574" s="1" t="inlineStr">
        <is>
          <t>SQM</t>
        </is>
      </c>
      <c r="H574" s="1" t="inlineStr">
        <is>
          <t>Ceramic</t>
        </is>
      </c>
      <c r="I574" s="1" t="inlineStr">
        <is>
          <t>Gloss</t>
        </is>
      </c>
      <c r="J574" t="n">
        <v>268</v>
      </c>
      <c r="K574" t="n">
        <v>268</v>
      </c>
      <c r="L574" t="n">
        <v>268</v>
      </c>
    </row>
    <row r="575">
      <c r="A575" s="1">
        <f>Hyperlink("https://www.wallsandfloors.co.uk/troverta-ash-60x60-tiles","Product")</f>
        <v/>
      </c>
      <c r="B575" s="1" t="inlineStr">
        <is>
          <t>43541</t>
        </is>
      </c>
      <c r="C575" s="1" t="inlineStr">
        <is>
          <t>Troverta Ash Tiles</t>
        </is>
      </c>
      <c r="D575" s="1" t="inlineStr">
        <is>
          <t>600x600x10mm</t>
        </is>
      </c>
      <c r="E575" s="1" t="n">
        <v>25.95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174</v>
      </c>
      <c r="K575" t="n">
        <v>174</v>
      </c>
      <c r="L575" t="n">
        <v>174</v>
      </c>
    </row>
    <row r="576">
      <c r="A576" s="1">
        <f>Hyperlink("https://www.wallsandfloors.co.uk/troverta-ash-45x45-tiles","Product")</f>
        <v/>
      </c>
      <c r="B576" s="1" t="inlineStr">
        <is>
          <t>43540</t>
        </is>
      </c>
      <c r="C576" s="1" t="inlineStr">
        <is>
          <t>Troverta Ash Tiles</t>
        </is>
      </c>
      <c r="D576" s="1" t="inlineStr">
        <is>
          <t>450x450x8.5mm</t>
        </is>
      </c>
      <c r="E576" s="1" t="n">
        <v>22.95</v>
      </c>
      <c r="F576" s="1" t="n">
        <v>0</v>
      </c>
      <c r="G576" s="1" t="inlineStr">
        <is>
          <t>SQM</t>
        </is>
      </c>
      <c r="H576" s="1" t="inlineStr">
        <is>
          <t>Porcelain</t>
        </is>
      </c>
      <c r="I576" s="1" t="inlineStr">
        <is>
          <t>Matt</t>
        </is>
      </c>
      <c r="J576" t="n">
        <v>121</v>
      </c>
      <c r="K576" t="n">
        <v>121</v>
      </c>
      <c r="L576" t="n">
        <v>121</v>
      </c>
    </row>
    <row r="577">
      <c r="A577" s="1">
        <f>Hyperlink("https://www.wallsandfloors.co.uk/trellis-casablanca-tiles","Product")</f>
        <v/>
      </c>
      <c r="B577" s="1" t="inlineStr">
        <is>
          <t>44220</t>
        </is>
      </c>
      <c r="C577" s="1" t="inlineStr">
        <is>
          <t>Trellis Casablanca Tiles</t>
        </is>
      </c>
      <c r="D577" s="1" t="inlineStr">
        <is>
          <t>450x450x9mm</t>
        </is>
      </c>
      <c r="E577" s="1" t="n">
        <v>20.95</v>
      </c>
      <c r="F577" s="1" t="n">
        <v>0</v>
      </c>
      <c r="G577" s="1" t="inlineStr">
        <is>
          <t>SQM</t>
        </is>
      </c>
      <c r="H577" s="1" t="inlineStr">
        <is>
          <t>Ceramic</t>
        </is>
      </c>
      <c r="I577" s="1" t="inlineStr">
        <is>
          <t>Matt</t>
        </is>
      </c>
      <c r="J577" t="n">
        <v>640</v>
      </c>
      <c r="K577" t="n">
        <v>640</v>
      </c>
      <c r="L577" t="n">
        <v>640</v>
      </c>
    </row>
    <row r="578">
      <c r="A578" s="1">
        <f>Hyperlink("https://www.wallsandfloors.co.uk/trax-velvet-moon-80x80-matt-tiles","Product")</f>
        <v/>
      </c>
      <c r="B578" s="1" t="inlineStr">
        <is>
          <t>38915</t>
        </is>
      </c>
      <c r="C578" s="1" t="inlineStr">
        <is>
          <t>Trax Velvet Moon Matt Tiles</t>
        </is>
      </c>
      <c r="D578" s="1" t="inlineStr">
        <is>
          <t>797x797x9mm</t>
        </is>
      </c>
      <c r="E578" s="1" t="n">
        <v>25.95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inlineStr">
        <is>
          <t>Out of Stock</t>
        </is>
      </c>
      <c r="K578" t="inlineStr">
        <is>
          <t>Out of Stock</t>
        </is>
      </c>
      <c r="L578" t="inlineStr">
        <is>
          <t>Out of Stock</t>
        </is>
      </c>
    </row>
    <row r="579">
      <c r="A579" s="1">
        <f>Hyperlink("https://www.wallsandfloors.co.uk/tones-neutrals-tiles-steam-tiles","Product")</f>
        <v/>
      </c>
      <c r="B579" s="1" t="inlineStr">
        <is>
          <t>11323</t>
        </is>
      </c>
      <c r="C579" s="1" t="inlineStr">
        <is>
          <t>Tones Steam Brick Tiles</t>
        </is>
      </c>
      <c r="D579" s="1" t="inlineStr">
        <is>
          <t>400x150x10mm</t>
        </is>
      </c>
      <c r="E579" s="1" t="n">
        <v>30.95</v>
      </c>
      <c r="F579" s="1" t="n">
        <v>0</v>
      </c>
      <c r="G579" s="1" t="inlineStr">
        <is>
          <t>SQM</t>
        </is>
      </c>
      <c r="H579" s="1" t="inlineStr">
        <is>
          <t>Ceramic</t>
        </is>
      </c>
      <c r="I579" s="1" t="inlineStr">
        <is>
          <t>Matt</t>
        </is>
      </c>
      <c r="J579" t="inlineStr"/>
      <c r="K579" t="n">
        <v>77</v>
      </c>
      <c r="L579" t="n">
        <v>77</v>
      </c>
    </row>
    <row r="580">
      <c r="A580" s="1">
        <f>Hyperlink("https://www.wallsandfloors.co.uk/trullo-brick-effect-tiles-white-brick-effect-tile","Product")</f>
        <v/>
      </c>
      <c r="B580" s="1" t="inlineStr">
        <is>
          <t>13984</t>
        </is>
      </c>
      <c r="C580" s="1" t="inlineStr">
        <is>
          <t>White Brick Effect Tile</t>
        </is>
      </c>
      <c r="D580" s="1" t="inlineStr">
        <is>
          <t>600x300x7mm</t>
        </is>
      </c>
      <c r="E580" s="1" t="n">
        <v>33.95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64</v>
      </c>
      <c r="K580" t="n">
        <v>64</v>
      </c>
      <c r="L580" t="n">
        <v>64</v>
      </c>
    </row>
    <row r="581">
      <c r="A581" s="1">
        <f>Hyperlink("https://www.wallsandfloors.co.uk/tones-neutrals-tiles-smoke-tiles","Product")</f>
        <v/>
      </c>
      <c r="B581" s="1" t="inlineStr">
        <is>
          <t>11324</t>
        </is>
      </c>
      <c r="C581" s="1" t="inlineStr">
        <is>
          <t>Tones Smoke Brick Tiles</t>
        </is>
      </c>
      <c r="D581" s="1" t="inlineStr">
        <is>
          <t>400x150x10mm</t>
        </is>
      </c>
      <c r="E581" s="1" t="n">
        <v>30.95</v>
      </c>
      <c r="F581" s="1" t="n">
        <v>0</v>
      </c>
      <c r="G581" s="1" t="inlineStr">
        <is>
          <t>SQM</t>
        </is>
      </c>
      <c r="H581" s="1" t="inlineStr">
        <is>
          <t>Ceramic</t>
        </is>
      </c>
      <c r="I581" s="1" t="inlineStr">
        <is>
          <t>Matt</t>
        </is>
      </c>
      <c r="J581" t="inlineStr">
        <is>
          <t>In Stock</t>
        </is>
      </c>
      <c r="K581" t="inlineStr">
        <is>
          <t>In Stock</t>
        </is>
      </c>
      <c r="L581" t="inlineStr">
        <is>
          <t>In Stock</t>
        </is>
      </c>
    </row>
    <row r="582">
      <c r="A582" s="1">
        <f>Hyperlink("https://www.wallsandfloors.co.uk/tones-neutrals-tiles-latte-tiles","Product")</f>
        <v/>
      </c>
      <c r="B582" s="1" t="inlineStr">
        <is>
          <t>11321</t>
        </is>
      </c>
      <c r="C582" s="1" t="inlineStr">
        <is>
          <t>Tones Latte Brick Tiles</t>
        </is>
      </c>
      <c r="D582" s="1" t="inlineStr">
        <is>
          <t>400x150x10mm</t>
        </is>
      </c>
      <c r="E582" s="1" t="n">
        <v>30.95</v>
      </c>
      <c r="F582" s="1" t="n">
        <v>0</v>
      </c>
      <c r="G582" s="1" t="inlineStr">
        <is>
          <t>SQM</t>
        </is>
      </c>
      <c r="H582" s="1" t="inlineStr">
        <is>
          <t>Ceramic</t>
        </is>
      </c>
      <c r="I582" s="1" t="inlineStr">
        <is>
          <t>Matt</t>
        </is>
      </c>
      <c r="J582" t="inlineStr">
        <is>
          <t>In Stock</t>
        </is>
      </c>
      <c r="K582" t="inlineStr">
        <is>
          <t>In Stock</t>
        </is>
      </c>
      <c r="L582" t="inlineStr">
        <is>
          <t>In Stock</t>
        </is>
      </c>
    </row>
    <row r="583">
      <c r="A583" s="1">
        <f>Hyperlink("https://www.wallsandfloors.co.uk/titanium-natural-finish-tiles-night-20x20-tiles","Product")</f>
        <v/>
      </c>
      <c r="B583" s="1" t="inlineStr">
        <is>
          <t>13522</t>
        </is>
      </c>
      <c r="C583" s="1" t="inlineStr">
        <is>
          <t>Titanium Night Tiles</t>
        </is>
      </c>
      <c r="D583" s="1" t="inlineStr">
        <is>
          <t>200x200x9mm</t>
        </is>
      </c>
      <c r="E583" s="1" t="n">
        <v>23.95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inlineStr">
        <is>
          <t>In Stock</t>
        </is>
      </c>
      <c r="K583" t="inlineStr">
        <is>
          <t>In Stock</t>
        </is>
      </c>
      <c r="L583" t="inlineStr">
        <is>
          <t>In Stock</t>
        </is>
      </c>
    </row>
    <row r="584">
      <c r="A584" s="1">
        <f>Hyperlink("https://www.wallsandfloors.co.uk/titanium-natural-finish-tiles-limestone-skirting-tiles","Product")</f>
        <v/>
      </c>
      <c r="B584" s="1" t="inlineStr">
        <is>
          <t>13517</t>
        </is>
      </c>
      <c r="C584" s="1" t="inlineStr">
        <is>
          <t>Limestone Skirting Tiles</t>
        </is>
      </c>
      <c r="D584" s="1" t="inlineStr">
        <is>
          <t>300x80x9mm</t>
        </is>
      </c>
      <c r="E584" s="1" t="n">
        <v>6.95</v>
      </c>
      <c r="F584" s="1" t="n">
        <v>0</v>
      </c>
      <c r="G584" s="1" t="inlineStr">
        <is>
          <t>Tile</t>
        </is>
      </c>
      <c r="H584" s="1" t="inlineStr">
        <is>
          <t>Porcelain</t>
        </is>
      </c>
      <c r="I584" s="1" t="inlineStr">
        <is>
          <t>Matt</t>
        </is>
      </c>
      <c r="J584" t="inlineStr">
        <is>
          <t>Out of Stock</t>
        </is>
      </c>
      <c r="K584" t="inlineStr">
        <is>
          <t>Out of Stock</t>
        </is>
      </c>
      <c r="L584" t="inlineStr">
        <is>
          <t>Out of Stock</t>
        </is>
      </c>
    </row>
    <row r="585">
      <c r="A585" s="1">
        <f>Hyperlink("https://www.wallsandfloors.co.uk/titanium-natural-finish-tiles-limestone-internal-angle-tiles","Product")</f>
        <v/>
      </c>
      <c r="B585" s="1" t="inlineStr">
        <is>
          <t>13514</t>
        </is>
      </c>
      <c r="C585" s="1" t="inlineStr">
        <is>
          <t>Limestone Internal Angle Tiles</t>
        </is>
      </c>
      <c r="D585" s="1" t="inlineStr">
        <is>
          <t>90x25x9mm</t>
        </is>
      </c>
      <c r="E585" s="1" t="n">
        <v>6.45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inlineStr">
        <is>
          <t>In Stock</t>
        </is>
      </c>
      <c r="K585" t="inlineStr">
        <is>
          <t>In Stock</t>
        </is>
      </c>
      <c r="L585" t="inlineStr">
        <is>
          <t>In Stock</t>
        </is>
      </c>
    </row>
    <row r="586">
      <c r="A586" s="1">
        <f>Hyperlink("https://www.wallsandfloors.co.uk/titanium-natural-finish-tiles-limestone-external-angle-tiles","Product")</f>
        <v/>
      </c>
      <c r="B586" s="1" t="inlineStr">
        <is>
          <t>13513</t>
        </is>
      </c>
      <c r="C586" s="1" t="inlineStr">
        <is>
          <t>Limestone External Angle Tiles</t>
        </is>
      </c>
      <c r="D586" s="1" t="inlineStr">
        <is>
          <t>90x30x9mm</t>
        </is>
      </c>
      <c r="E586" s="1" t="n">
        <v>6.45</v>
      </c>
      <c r="F586" s="1" t="n">
        <v>0</v>
      </c>
      <c r="G586" s="1" t="inlineStr">
        <is>
          <t>Tile</t>
        </is>
      </c>
      <c r="H586" s="1" t="inlineStr">
        <is>
          <t>Porcelain</t>
        </is>
      </c>
      <c r="I586" s="1" t="inlineStr">
        <is>
          <t>Matt</t>
        </is>
      </c>
      <c r="J586" t="inlineStr">
        <is>
          <t>In Stock</t>
        </is>
      </c>
      <c r="K586" t="inlineStr"/>
      <c r="L586" t="inlineStr">
        <is>
          <t>In Stock</t>
        </is>
      </c>
    </row>
    <row r="587">
      <c r="A587" s="1">
        <f>Hyperlink("https://www.wallsandfloors.co.uk/titanium-natural-finish-tiles-limestone-cove-200-tiles","Product")</f>
        <v/>
      </c>
      <c r="B587" s="1" t="inlineStr">
        <is>
          <t>13512</t>
        </is>
      </c>
      <c r="C587" s="1" t="inlineStr">
        <is>
          <t>Limestone Cove 200 Skirting Tiles</t>
        </is>
      </c>
      <c r="D587" s="1" t="inlineStr">
        <is>
          <t>200x90x9mm</t>
        </is>
      </c>
      <c r="E587" s="1" t="n">
        <v>7.95</v>
      </c>
      <c r="F587" s="1" t="n">
        <v>0</v>
      </c>
      <c r="G587" s="1" t="inlineStr">
        <is>
          <t>Tile</t>
        </is>
      </c>
      <c r="H587" s="1" t="inlineStr">
        <is>
          <t>Porcelain</t>
        </is>
      </c>
      <c r="I587" s="1" t="inlineStr">
        <is>
          <t>Matt</t>
        </is>
      </c>
      <c r="J587" t="inlineStr"/>
      <c r="K587" t="inlineStr">
        <is>
          <t>In Stock</t>
        </is>
      </c>
      <c r="L587" t="inlineStr">
        <is>
          <t>In Stock</t>
        </is>
      </c>
    </row>
    <row r="588">
      <c r="A588" s="1">
        <f>Hyperlink("https://www.wallsandfloors.co.uk/titanium-natural-finish-tiles-limestone-cove-150-tiles","Product")</f>
        <v/>
      </c>
      <c r="B588" s="1" t="inlineStr">
        <is>
          <t>13536</t>
        </is>
      </c>
      <c r="C588" s="1" t="inlineStr">
        <is>
          <t>Limestone Cove 150 Skirting Tiles</t>
        </is>
      </c>
      <c r="D588" s="1" t="inlineStr">
        <is>
          <t>150x90x9mm</t>
        </is>
      </c>
      <c r="E588" s="1" t="n">
        <v>5.95</v>
      </c>
      <c r="F588" s="1" t="n">
        <v>0</v>
      </c>
      <c r="G588" s="1" t="inlineStr">
        <is>
          <t>Tile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inlineStr">
        <is>
          <t>In Stock</t>
        </is>
      </c>
      <c r="L588" t="inlineStr">
        <is>
          <t>In Stock</t>
        </is>
      </c>
    </row>
    <row r="589">
      <c r="A589" s="1">
        <f>Hyperlink("https://www.wallsandfloors.co.uk/titanium-natural-finish-tiles-limestone-30x30-tiles","Product")</f>
        <v/>
      </c>
      <c r="B589" s="1" t="inlineStr">
        <is>
          <t>13515</t>
        </is>
      </c>
      <c r="C589" s="1" t="inlineStr">
        <is>
          <t>Titanium Limestone Tiles</t>
        </is>
      </c>
      <c r="D589" s="1" t="inlineStr">
        <is>
          <t>300x300x9mm</t>
        </is>
      </c>
      <c r="E589" s="1" t="n">
        <v>20.95</v>
      </c>
      <c r="F589" s="1" t="n">
        <v>0</v>
      </c>
      <c r="G589" s="1" t="inlineStr">
        <is>
          <t>SQM</t>
        </is>
      </c>
      <c r="H589" s="1" t="inlineStr">
        <is>
          <t>Porcelain</t>
        </is>
      </c>
      <c r="I589" s="1" t="inlineStr">
        <is>
          <t>Matt</t>
        </is>
      </c>
      <c r="J589" t="inlineStr"/>
      <c r="K589" t="inlineStr"/>
      <c r="L589" t="n">
        <v>51</v>
      </c>
    </row>
    <row r="590">
      <c r="A590" s="1">
        <f>Hyperlink("https://www.wallsandfloors.co.uk/titanium-natural-finish-tiles-limestone-20x20-tiles","Product")</f>
        <v/>
      </c>
      <c r="B590" s="1" t="inlineStr">
        <is>
          <t>13510</t>
        </is>
      </c>
      <c r="C590" s="1" t="inlineStr">
        <is>
          <t>Titanium Limestone Tiles</t>
        </is>
      </c>
      <c r="D590" s="1" t="inlineStr">
        <is>
          <t>200x200x9mm</t>
        </is>
      </c>
      <c r="E590" s="1" t="n">
        <v>23.95</v>
      </c>
      <c r="F590" s="1" t="n">
        <v>0</v>
      </c>
      <c r="G590" s="1" t="inlineStr">
        <is>
          <t>SQM</t>
        </is>
      </c>
      <c r="H590" s="1" t="inlineStr">
        <is>
          <t>Porcelain</t>
        </is>
      </c>
      <c r="I590" s="1" t="inlineStr">
        <is>
          <t>Matt</t>
        </is>
      </c>
      <c r="J590" t="inlineStr">
        <is>
          <t>Out of Stock</t>
        </is>
      </c>
      <c r="K590" t="inlineStr">
        <is>
          <t>Out of Stock</t>
        </is>
      </c>
      <c r="L590" t="inlineStr">
        <is>
          <t>Out of Stock</t>
        </is>
      </c>
    </row>
    <row r="591">
      <c r="A591" s="1">
        <f>Hyperlink("https://www.wallsandfloors.co.uk/titanium-natural-finish-tiles-concrete-skirting-tiles","Product")</f>
        <v/>
      </c>
      <c r="B591" s="1" t="inlineStr">
        <is>
          <t>13506</t>
        </is>
      </c>
      <c r="C591" s="1" t="inlineStr">
        <is>
          <t>Concrete Skirting Tiles</t>
        </is>
      </c>
      <c r="D591" s="1" t="inlineStr">
        <is>
          <t>300x80x9mm</t>
        </is>
      </c>
      <c r="E591" s="1" t="n">
        <v>6.95</v>
      </c>
      <c r="F591" s="1" t="n">
        <v>0</v>
      </c>
      <c r="G591" s="1" t="inlineStr">
        <is>
          <t>Tile</t>
        </is>
      </c>
      <c r="H591" s="1" t="inlineStr">
        <is>
          <t>Porcelain</t>
        </is>
      </c>
      <c r="I591" s="1" t="inlineStr">
        <is>
          <t>Matt</t>
        </is>
      </c>
      <c r="J591" t="inlineStr">
        <is>
          <t>In Stock</t>
        </is>
      </c>
      <c r="K591" t="inlineStr"/>
      <c r="L591" t="inlineStr">
        <is>
          <t>In Stock</t>
        </is>
      </c>
    </row>
    <row r="592">
      <c r="A592" s="1">
        <f>Hyperlink("https://www.wallsandfloors.co.uk/titanium-natural-finish-tiles-concrete-internal-angle-tiles","Product")</f>
        <v/>
      </c>
      <c r="B592" s="1" t="inlineStr">
        <is>
          <t>13503</t>
        </is>
      </c>
      <c r="C592" s="1" t="inlineStr">
        <is>
          <t>Concrete Internal Angle Tiles</t>
        </is>
      </c>
      <c r="D592" s="1" t="inlineStr">
        <is>
          <t>90x25x9mm</t>
        </is>
      </c>
      <c r="E592" s="1" t="n">
        <v>6.45</v>
      </c>
      <c r="F592" s="1" t="n">
        <v>0</v>
      </c>
      <c r="G592" s="1" t="inlineStr"/>
      <c r="H592" s="1" t="inlineStr">
        <is>
          <t>Porcelain</t>
        </is>
      </c>
      <c r="I592" s="1" t="inlineStr">
        <is>
          <t>Matt</t>
        </is>
      </c>
      <c r="J592" t="inlineStr">
        <is>
          <t>In Stock</t>
        </is>
      </c>
      <c r="K592" t="inlineStr"/>
      <c r="L592" t="inlineStr">
        <is>
          <t>In Stock</t>
        </is>
      </c>
    </row>
    <row r="593">
      <c r="A593" s="1">
        <f>Hyperlink("https://www.wallsandfloors.co.uk/titanium-natural-finish-tiles-night-30x30-tiles-13526","Product")</f>
        <v/>
      </c>
      <c r="B593" s="1" t="inlineStr">
        <is>
          <t>13526</t>
        </is>
      </c>
      <c r="C593" s="1" t="inlineStr">
        <is>
          <t>Titanium Night Tiles</t>
        </is>
      </c>
      <c r="D593" s="1" t="inlineStr">
        <is>
          <t>300x300x9mm</t>
        </is>
      </c>
      <c r="E593" s="1" t="n">
        <v>20.95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inlineStr"/>
      <c r="K593" t="n">
        <v>52</v>
      </c>
      <c r="L593" t="n">
        <v>52</v>
      </c>
    </row>
    <row r="594">
      <c r="A594" s="1">
        <f>Hyperlink("https://www.wallsandfloors.co.uk/titanium-natural-finish-tiles-concrete-external-angle-tiles","Product")</f>
        <v/>
      </c>
      <c r="B594" s="1" t="inlineStr">
        <is>
          <t>13502</t>
        </is>
      </c>
      <c r="C594" s="1" t="inlineStr">
        <is>
          <t>Concrete External Angle Tiles</t>
        </is>
      </c>
      <c r="D594" s="1" t="inlineStr">
        <is>
          <t>90x30x9mm</t>
        </is>
      </c>
      <c r="E594" s="1" t="n">
        <v>6.45</v>
      </c>
      <c r="F594" s="1" t="n">
        <v>0</v>
      </c>
      <c r="G594" s="1" t="inlineStr"/>
      <c r="H594" s="1" t="inlineStr">
        <is>
          <t>Porcelain</t>
        </is>
      </c>
      <c r="I594" s="1" t="inlineStr">
        <is>
          <t>Matt</t>
        </is>
      </c>
      <c r="J594" t="inlineStr">
        <is>
          <t>In Stock</t>
        </is>
      </c>
      <c r="K594" t="inlineStr"/>
      <c r="L594" t="inlineStr">
        <is>
          <t>In Stock</t>
        </is>
      </c>
    </row>
    <row r="595">
      <c r="A595" s="1">
        <f>Hyperlink("https://www.wallsandfloors.co.uk/titanium-natural-finish-tiles-concrete-cove-150-tiles","Product")</f>
        <v/>
      </c>
      <c r="B595" s="1" t="inlineStr">
        <is>
          <t>13531</t>
        </is>
      </c>
      <c r="C595" s="1" t="inlineStr">
        <is>
          <t>Concrete Cove 150 Skirting Tiles</t>
        </is>
      </c>
      <c r="D595" s="1" t="inlineStr">
        <is>
          <t>150x90x9mm</t>
        </is>
      </c>
      <c r="E595" s="1" t="n">
        <v>5.95</v>
      </c>
      <c r="F595" s="1" t="n">
        <v>0</v>
      </c>
      <c r="G595" s="1" t="inlineStr">
        <is>
          <t>Tile</t>
        </is>
      </c>
      <c r="H595" s="1" t="inlineStr">
        <is>
          <t>Porcelain</t>
        </is>
      </c>
      <c r="I595" s="1" t="inlineStr">
        <is>
          <t>Matt</t>
        </is>
      </c>
      <c r="J595" t="inlineStr">
        <is>
          <t>In Stock</t>
        </is>
      </c>
      <c r="K595" t="inlineStr">
        <is>
          <t>Out of Stock</t>
        </is>
      </c>
      <c r="L595" t="inlineStr">
        <is>
          <t>Out of Stock</t>
        </is>
      </c>
    </row>
    <row r="596">
      <c r="A596" s="1">
        <f>Hyperlink("https://www.wallsandfloors.co.uk/titanium-natural-finish-tiles-concrete-30x30-tiles-13504","Product")</f>
        <v/>
      </c>
      <c r="B596" s="1" t="inlineStr">
        <is>
          <t>13504</t>
        </is>
      </c>
      <c r="C596" s="1" t="inlineStr">
        <is>
          <t>Titanium Concrete Tiles</t>
        </is>
      </c>
      <c r="D596" s="1" t="inlineStr">
        <is>
          <t>300x300x9mm</t>
        </is>
      </c>
      <c r="E596" s="1" t="n">
        <v>20.95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inlineStr">
        <is>
          <t>In Stock</t>
        </is>
      </c>
      <c r="K596" t="inlineStr">
        <is>
          <t>In Stock</t>
        </is>
      </c>
      <c r="L596" t="inlineStr">
        <is>
          <t>In Stock</t>
        </is>
      </c>
    </row>
    <row r="597">
      <c r="A597" s="1">
        <f>Hyperlink("https://www.wallsandfloors.co.uk/titanium-natural-finish-tiles-chalk-skirting-tiles","Product")</f>
        <v/>
      </c>
      <c r="B597" s="1" t="inlineStr">
        <is>
          <t>13498</t>
        </is>
      </c>
      <c r="C597" s="1" t="inlineStr">
        <is>
          <t>Chalk Skirting Tiles</t>
        </is>
      </c>
      <c r="D597" s="1" t="inlineStr">
        <is>
          <t>300x80x9mm</t>
        </is>
      </c>
      <c r="E597" s="1" t="n">
        <v>6.95</v>
      </c>
      <c r="F597" s="1" t="n">
        <v>0</v>
      </c>
      <c r="G597" s="1" t="inlineStr">
        <is>
          <t>Tile</t>
        </is>
      </c>
      <c r="H597" s="1" t="inlineStr">
        <is>
          <t>Porcelain</t>
        </is>
      </c>
      <c r="I597" s="1" t="inlineStr">
        <is>
          <t>Matt</t>
        </is>
      </c>
      <c r="J597" t="inlineStr">
        <is>
          <t>In Stock</t>
        </is>
      </c>
      <c r="K597" t="inlineStr">
        <is>
          <t>In Stock</t>
        </is>
      </c>
      <c r="L597" t="inlineStr">
        <is>
          <t>In Stock</t>
        </is>
      </c>
    </row>
    <row r="598">
      <c r="A598" s="1">
        <f>Hyperlink("https://www.wallsandfloors.co.uk/titanium-natural-finish-tiles-chalk-30x30-tiles","Product")</f>
        <v/>
      </c>
      <c r="B598" s="1" t="inlineStr">
        <is>
          <t>13497</t>
        </is>
      </c>
      <c r="C598" s="1" t="inlineStr">
        <is>
          <t>Titanium Chalk Tiles</t>
        </is>
      </c>
      <c r="D598" s="1" t="inlineStr">
        <is>
          <t>300x300x9mm</t>
        </is>
      </c>
      <c r="E598" s="1" t="n">
        <v>22.95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n">
        <v>89</v>
      </c>
      <c r="K598" t="n">
        <v>89</v>
      </c>
      <c r="L598" t="n">
        <v>89</v>
      </c>
    </row>
    <row r="599">
      <c r="A599" s="1">
        <f>Hyperlink("https://www.wallsandfloors.co.uk/titanium-anti-slip-tiles-night-structured-30x30-anti-slip-tiles-13527","Product")</f>
        <v/>
      </c>
      <c r="B599" s="1" t="inlineStr">
        <is>
          <t>13527</t>
        </is>
      </c>
      <c r="C599" s="1" t="inlineStr">
        <is>
          <t>Titanium Night Structured Anti-Slip Tiles</t>
        </is>
      </c>
      <c r="D599" s="1" t="inlineStr">
        <is>
          <t>300x300x9mm</t>
        </is>
      </c>
      <c r="E599" s="1" t="n">
        <v>20.95</v>
      </c>
      <c r="F599" s="1" t="n">
        <v>0</v>
      </c>
      <c r="G599" s="1" t="inlineStr">
        <is>
          <t>SQM</t>
        </is>
      </c>
      <c r="H599" s="1" t="inlineStr">
        <is>
          <t>Porcelain</t>
        </is>
      </c>
      <c r="I599" s="1" t="inlineStr">
        <is>
          <t>Matt</t>
        </is>
      </c>
      <c r="J599" t="n">
        <v>83</v>
      </c>
      <c r="K599" t="n">
        <v>83</v>
      </c>
      <c r="L599" t="n">
        <v>114</v>
      </c>
    </row>
    <row r="600">
      <c r="A600" s="1">
        <f>Hyperlink("https://www.wallsandfloors.co.uk/titanium-anti-slip-tiles-night-circular-stud-anti-slip-20x20-tiles","Product")</f>
        <v/>
      </c>
      <c r="B600" s="1" t="inlineStr">
        <is>
          <t>13541</t>
        </is>
      </c>
      <c r="C600" s="1" t="inlineStr">
        <is>
          <t>Titanium Night Circular Stud Anti-Slip Tiles</t>
        </is>
      </c>
      <c r="D600" s="1" t="inlineStr">
        <is>
          <t>200x200x9mm</t>
        </is>
      </c>
      <c r="E600" s="1" t="n">
        <v>27.95</v>
      </c>
      <c r="F600" s="1" t="n">
        <v>0</v>
      </c>
      <c r="G600" s="1" t="inlineStr"/>
      <c r="H600" s="1" t="inlineStr">
        <is>
          <t>Porcelain</t>
        </is>
      </c>
      <c r="I600" s="1" t="inlineStr">
        <is>
          <t>Matt</t>
        </is>
      </c>
      <c r="J600" t="inlineStr">
        <is>
          <t>In Stock</t>
        </is>
      </c>
      <c r="K600" t="inlineStr">
        <is>
          <t>In Stock</t>
        </is>
      </c>
      <c r="L600" t="inlineStr">
        <is>
          <t>In Stock</t>
        </is>
      </c>
    </row>
    <row r="601">
      <c r="A601" s="1">
        <f>Hyperlink("https://www.wallsandfloors.co.uk/titanium-anti-slip-tiles-limestone-structured-30x30-anti-slip-tiles","Product")</f>
        <v/>
      </c>
      <c r="B601" s="1" t="inlineStr">
        <is>
          <t>13516</t>
        </is>
      </c>
      <c r="C601" s="1" t="inlineStr">
        <is>
          <t>Titanium Limestone Structured Anti Slip Tiles</t>
        </is>
      </c>
      <c r="D601" s="1" t="inlineStr">
        <is>
          <t>300x300x9mm</t>
        </is>
      </c>
      <c r="E601" s="1" t="n">
        <v>20.95</v>
      </c>
      <c r="F601" s="1" t="n">
        <v>0</v>
      </c>
      <c r="G601" s="1" t="inlineStr">
        <is>
          <t>SQM</t>
        </is>
      </c>
      <c r="H601" s="1" t="inlineStr">
        <is>
          <t>Porcelain</t>
        </is>
      </c>
      <c r="I601" s="1" t="inlineStr">
        <is>
          <t>Matt</t>
        </is>
      </c>
      <c r="J601" t="n">
        <v>133</v>
      </c>
      <c r="K601" t="n">
        <v>133</v>
      </c>
      <c r="L601" t="n">
        <v>133</v>
      </c>
    </row>
    <row r="602">
      <c r="A602" s="1">
        <f>Hyperlink("https://www.wallsandfloors.co.uk/titanium-anti-slip-tiles-limestone-circular-stud-anti-slip-20x20-tiles","Product")</f>
        <v/>
      </c>
      <c r="B602" s="1" t="inlineStr">
        <is>
          <t>13511</t>
        </is>
      </c>
      <c r="C602" s="1" t="inlineStr">
        <is>
          <t>Titanium Limestone Circular Stud Anti-Slip Tiles</t>
        </is>
      </c>
      <c r="D602" s="1" t="inlineStr">
        <is>
          <t>200x200x9mm</t>
        </is>
      </c>
      <c r="E602" s="1" t="n">
        <v>27.95</v>
      </c>
      <c r="F602" s="1" t="n">
        <v>0</v>
      </c>
      <c r="G602" s="1" t="inlineStr">
        <is>
          <t>SQM</t>
        </is>
      </c>
      <c r="H602" s="1" t="inlineStr">
        <is>
          <t>Porcelain</t>
        </is>
      </c>
      <c r="I602" s="1" t="inlineStr">
        <is>
          <t>Matt</t>
        </is>
      </c>
      <c r="J602" t="inlineStr">
        <is>
          <t>Out of Stock</t>
        </is>
      </c>
      <c r="K602" t="inlineStr">
        <is>
          <t>Out of Stock</t>
        </is>
      </c>
      <c r="L602" t="inlineStr">
        <is>
          <t>Out of Stock</t>
        </is>
      </c>
    </row>
    <row r="603">
      <c r="A603" s="1">
        <f>Hyperlink("https://www.wallsandfloors.co.uk/titanium-anti-slip-tiles-concrete-structured-30x30-tiles","Product")</f>
        <v/>
      </c>
      <c r="B603" s="1" t="inlineStr">
        <is>
          <t>13505</t>
        </is>
      </c>
      <c r="C603" s="1" t="inlineStr">
        <is>
          <t>Titanium Concrete Anti Slip Tiles</t>
        </is>
      </c>
      <c r="D603" s="1" t="inlineStr">
        <is>
          <t>300x300x9mm</t>
        </is>
      </c>
      <c r="E603" s="1" t="n">
        <v>20.95</v>
      </c>
      <c r="F603" s="1" t="n">
        <v>0</v>
      </c>
      <c r="G603" s="1" t="inlineStr">
        <is>
          <t>SQM</t>
        </is>
      </c>
      <c r="H603" s="1" t="inlineStr">
        <is>
          <t>Porcelain</t>
        </is>
      </c>
      <c r="I603" s="1" t="inlineStr">
        <is>
          <t>Matt</t>
        </is>
      </c>
      <c r="J603" t="n">
        <v>124</v>
      </c>
      <c r="K603" t="n">
        <v>124</v>
      </c>
      <c r="L603" t="n">
        <v>124</v>
      </c>
    </row>
    <row r="604">
      <c r="A604" s="1">
        <f>Hyperlink("https://www.wallsandfloors.co.uk/titanium-anti-slip-tiles-concrete-circular-stud-anti-slip-20x20-tiles","Product")</f>
        <v/>
      </c>
      <c r="B604" s="1" t="inlineStr">
        <is>
          <t>13500</t>
        </is>
      </c>
      <c r="C604" s="1" t="inlineStr">
        <is>
          <t>Titanium Concrete Circular Stud Anti-Slip Tiles</t>
        </is>
      </c>
      <c r="D604" s="1" t="inlineStr">
        <is>
          <t>200x200x9mm</t>
        </is>
      </c>
      <c r="E604" s="1" t="n">
        <v>27.95</v>
      </c>
      <c r="F604" s="1" t="n">
        <v>0</v>
      </c>
      <c r="G604" s="1" t="inlineStr">
        <is>
          <t>SQM</t>
        </is>
      </c>
      <c r="H604" s="1" t="inlineStr">
        <is>
          <t>Porcelain</t>
        </is>
      </c>
      <c r="I604" s="1" t="inlineStr">
        <is>
          <t>Matt</t>
        </is>
      </c>
      <c r="J604" t="inlineStr">
        <is>
          <t>In Stock</t>
        </is>
      </c>
      <c r="K604" t="inlineStr">
        <is>
          <t>In Stock</t>
        </is>
      </c>
      <c r="L604" t="inlineStr">
        <is>
          <t>In Stock</t>
        </is>
      </c>
    </row>
    <row r="605">
      <c r="A605" s="1">
        <f>Hyperlink("https://www.wallsandfloors.co.uk/titanium-natural-finish-tiles-concrete-cove-200-tiles","Product")</f>
        <v/>
      </c>
      <c r="B605" s="1" t="inlineStr">
        <is>
          <t>13501</t>
        </is>
      </c>
      <c r="C605" s="1" t="inlineStr">
        <is>
          <t>Concrete Cove 200 Skirting Tiles</t>
        </is>
      </c>
      <c r="D605" s="1" t="inlineStr">
        <is>
          <t>200x90x9mm</t>
        </is>
      </c>
      <c r="E605" s="1" t="n">
        <v>7.95</v>
      </c>
      <c r="F605" s="1" t="n">
        <v>0</v>
      </c>
      <c r="G605" s="1" t="inlineStr">
        <is>
          <t>Tile</t>
        </is>
      </c>
      <c r="H605" s="1" t="inlineStr">
        <is>
          <t>Porcelain</t>
        </is>
      </c>
      <c r="I605" s="1" t="inlineStr">
        <is>
          <t>Matt</t>
        </is>
      </c>
      <c r="J605" t="inlineStr"/>
      <c r="K605" t="inlineStr">
        <is>
          <t>In Stock</t>
        </is>
      </c>
      <c r="L605" t="inlineStr">
        <is>
          <t>In Stock</t>
        </is>
      </c>
    </row>
    <row r="606">
      <c r="A606" s="1">
        <f>Hyperlink("https://www.wallsandfloors.co.uk/titanium-natural-finish-tiles-night-cove-150-tiles","Product")</f>
        <v/>
      </c>
      <c r="B606" s="1" t="inlineStr">
        <is>
          <t>13543</t>
        </is>
      </c>
      <c r="C606" s="1" t="inlineStr">
        <is>
          <t>Night Cove 150 Skirting Tiles</t>
        </is>
      </c>
      <c r="D606" s="1" t="inlineStr">
        <is>
          <t>150x90x9mm</t>
        </is>
      </c>
      <c r="E606" s="1" t="n">
        <v>5.95</v>
      </c>
      <c r="F606" s="1" t="n">
        <v>0</v>
      </c>
      <c r="G606" s="1" t="inlineStr"/>
      <c r="H606" s="1" t="inlineStr">
        <is>
          <t>Porcelain</t>
        </is>
      </c>
      <c r="I606" s="1" t="inlineStr">
        <is>
          <t>Matt</t>
        </is>
      </c>
      <c r="J606" t="inlineStr"/>
      <c r="K606" t="inlineStr">
        <is>
          <t>In Stock</t>
        </is>
      </c>
      <c r="L606" t="inlineStr">
        <is>
          <t>In Stock</t>
        </is>
      </c>
    </row>
    <row r="607">
      <c r="A607" s="1">
        <f>Hyperlink("https://www.wallsandfloors.co.uk/titanium-natural-finish-tiles-night-cove-200-tiles","Product")</f>
        <v/>
      </c>
      <c r="B607" s="1" t="inlineStr">
        <is>
          <t>13523</t>
        </is>
      </c>
      <c r="C607" s="1" t="inlineStr">
        <is>
          <t>Night Cove 200 Skirting Tiles</t>
        </is>
      </c>
      <c r="D607" s="1" t="inlineStr">
        <is>
          <t>200x90x9mm</t>
        </is>
      </c>
      <c r="E607" s="1" t="n">
        <v>7.95</v>
      </c>
      <c r="F607" s="1" t="n">
        <v>0</v>
      </c>
      <c r="G607" s="1" t="inlineStr">
        <is>
          <t>Tile</t>
        </is>
      </c>
      <c r="H607" s="1" t="inlineStr">
        <is>
          <t>Porcelain</t>
        </is>
      </c>
      <c r="I607" s="1" t="inlineStr">
        <is>
          <t>Matt</t>
        </is>
      </c>
      <c r="J607" t="inlineStr">
        <is>
          <t>In Stock</t>
        </is>
      </c>
      <c r="K607" t="inlineStr">
        <is>
          <t>In Stock</t>
        </is>
      </c>
      <c r="L607" t="inlineStr">
        <is>
          <t>In Stock</t>
        </is>
      </c>
    </row>
    <row r="608">
      <c r="A608" s="1">
        <f>Hyperlink("https://www.wallsandfloors.co.uk/titanium-natural-finish-tiles-night-external-angle-tiles","Product")</f>
        <v/>
      </c>
      <c r="B608" s="1" t="inlineStr">
        <is>
          <t>13524</t>
        </is>
      </c>
      <c r="C608" s="1" t="inlineStr">
        <is>
          <t>Night External Angle Tiles</t>
        </is>
      </c>
      <c r="D608" s="1" t="inlineStr">
        <is>
          <t>90x30x9mm</t>
        </is>
      </c>
      <c r="E608" s="1" t="n">
        <v>6.45</v>
      </c>
      <c r="F608" s="1" t="n">
        <v>0</v>
      </c>
      <c r="G608" s="1" t="inlineStr">
        <is>
          <t>Tile</t>
        </is>
      </c>
      <c r="H608" s="1" t="inlineStr">
        <is>
          <t>Porcelain</t>
        </is>
      </c>
      <c r="I608" s="1" t="inlineStr">
        <is>
          <t>Matt</t>
        </is>
      </c>
      <c r="J608" t="inlineStr">
        <is>
          <t>In Stock</t>
        </is>
      </c>
      <c r="K608" t="inlineStr">
        <is>
          <t>In Stock</t>
        </is>
      </c>
      <c r="L608" t="inlineStr">
        <is>
          <t>In Stock</t>
        </is>
      </c>
    </row>
    <row r="609">
      <c r="A609" s="1">
        <f>Hyperlink("https://www.wallsandfloors.co.uk/tones-neutrals-tiles-cream-tiles","Product")</f>
        <v/>
      </c>
      <c r="B609" s="1" t="inlineStr">
        <is>
          <t>11320</t>
        </is>
      </c>
      <c r="C609" s="1" t="inlineStr">
        <is>
          <t>Tones Cream Brick Tiles</t>
        </is>
      </c>
      <c r="D609" s="1" t="inlineStr">
        <is>
          <t>400x150x10mm</t>
        </is>
      </c>
      <c r="E609" s="1" t="n">
        <v>30.95</v>
      </c>
      <c r="F609" s="1" t="n">
        <v>0</v>
      </c>
      <c r="G609" s="1" t="inlineStr"/>
      <c r="H609" s="1" t="inlineStr">
        <is>
          <t>Ceramic</t>
        </is>
      </c>
      <c r="I609" s="1" t="inlineStr">
        <is>
          <t>Matt</t>
        </is>
      </c>
      <c r="J609" t="inlineStr">
        <is>
          <t>In Stock</t>
        </is>
      </c>
      <c r="K609" t="inlineStr">
        <is>
          <t>In Stock</t>
        </is>
      </c>
      <c r="L609" t="inlineStr">
        <is>
          <t>In Stock</t>
        </is>
      </c>
    </row>
    <row r="610">
      <c r="A610" s="1">
        <f>Hyperlink("https://www.wallsandfloors.co.uk/tones-neutrals-tiles-charcoal-tiles","Product")</f>
        <v/>
      </c>
      <c r="B610" s="1" t="inlineStr">
        <is>
          <t>11325</t>
        </is>
      </c>
      <c r="C610" s="1" t="inlineStr">
        <is>
          <t>Tones Charcoal Brick Tiles</t>
        </is>
      </c>
      <c r="D610" s="1" t="inlineStr">
        <is>
          <t>400x150x10mm</t>
        </is>
      </c>
      <c r="E610" s="1" t="n">
        <v>30.95</v>
      </c>
      <c r="F610" s="1" t="n">
        <v>0</v>
      </c>
      <c r="G610" s="1" t="inlineStr">
        <is>
          <t>SQM</t>
        </is>
      </c>
      <c r="H610" s="1" t="inlineStr">
        <is>
          <t>Ceramic</t>
        </is>
      </c>
      <c r="I610" s="1" t="inlineStr">
        <is>
          <t>Matt</t>
        </is>
      </c>
      <c r="J610" t="inlineStr">
        <is>
          <t>In Stock</t>
        </is>
      </c>
      <c r="K610" t="inlineStr">
        <is>
          <t>In Stock</t>
        </is>
      </c>
      <c r="L610" t="inlineStr">
        <is>
          <t>In Stock</t>
        </is>
      </c>
    </row>
    <row r="611">
      <c r="A611" s="1">
        <f>Hyperlink("https://www.wallsandfloors.co.uk/tones-effects-tiles-wave-steam-tiles","Product")</f>
        <v/>
      </c>
      <c r="B611" s="1" t="inlineStr">
        <is>
          <t>14439</t>
        </is>
      </c>
      <c r="C611" s="1" t="inlineStr">
        <is>
          <t>Tones Wave Steam Brick Tiles</t>
        </is>
      </c>
      <c r="D611" s="1" t="inlineStr">
        <is>
          <t>400x150x10mm</t>
        </is>
      </c>
      <c r="E611" s="1" t="n">
        <v>30.95</v>
      </c>
      <c r="F611" s="1" t="n">
        <v>0</v>
      </c>
      <c r="G611" s="1" t="inlineStr">
        <is>
          <t>SQM</t>
        </is>
      </c>
      <c r="H611" s="1" t="inlineStr">
        <is>
          <t>Ceramic</t>
        </is>
      </c>
      <c r="I611" s="1" t="inlineStr">
        <is>
          <t>Matt</t>
        </is>
      </c>
      <c r="J611" t="inlineStr">
        <is>
          <t>In Stock</t>
        </is>
      </c>
      <c r="K611" t="inlineStr">
        <is>
          <t>In Stock</t>
        </is>
      </c>
      <c r="L611" t="inlineStr">
        <is>
          <t>In Stock</t>
        </is>
      </c>
    </row>
    <row r="612">
      <c r="A612" s="1">
        <f>Hyperlink("https://www.wallsandfloors.co.uk/tonality-tiles-royal-mink-600x600-floor-tiles","Product")</f>
        <v/>
      </c>
      <c r="B612" s="1" t="inlineStr">
        <is>
          <t>13360</t>
        </is>
      </c>
      <c r="C612" s="1" t="inlineStr">
        <is>
          <t>Tonality Royal Mink Floor Tiles</t>
        </is>
      </c>
      <c r="D612" s="1" t="inlineStr">
        <is>
          <t>600x600x10mm</t>
        </is>
      </c>
      <c r="E612" s="1" t="n">
        <v>43.95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inlineStr"/>
      <c r="K612" t="n">
        <v>186</v>
      </c>
      <c r="L612" t="n">
        <v>186</v>
      </c>
    </row>
    <row r="613">
      <c r="A613" s="1">
        <f>Hyperlink("https://www.wallsandfloors.co.uk/tonality-tiles-royal-mink-600x300-wall-tiles","Product")</f>
        <v/>
      </c>
      <c r="B613" s="1" t="inlineStr">
        <is>
          <t>13365</t>
        </is>
      </c>
      <c r="C613" s="1" t="inlineStr">
        <is>
          <t>Tonality Royal Mink Wall Tiles</t>
        </is>
      </c>
      <c r="D613" s="1" t="inlineStr">
        <is>
          <t>600x300x11mm</t>
        </is>
      </c>
      <c r="E613" s="1" t="n">
        <v>33.95</v>
      </c>
      <c r="F613" s="1" t="n">
        <v>0</v>
      </c>
      <c r="G613" s="1" t="inlineStr">
        <is>
          <t>SQM</t>
        </is>
      </c>
      <c r="H613" s="1" t="inlineStr">
        <is>
          <t>Ceramic</t>
        </is>
      </c>
      <c r="I613" s="1" t="inlineStr">
        <is>
          <t>Gloss</t>
        </is>
      </c>
      <c r="J613" t="n">
        <v>234</v>
      </c>
      <c r="K613" t="n">
        <v>234</v>
      </c>
      <c r="L613" t="n">
        <v>234</v>
      </c>
    </row>
    <row r="614">
      <c r="A614" s="1">
        <f>Hyperlink("https://www.wallsandfloors.co.uk/tonality-tiles-roman-silver-600x300-wall-tiles","Product")</f>
        <v/>
      </c>
      <c r="B614" s="1" t="inlineStr">
        <is>
          <t>13366</t>
        </is>
      </c>
      <c r="C614" s="1" t="inlineStr">
        <is>
          <t>Roman Silver Wall Tiles</t>
        </is>
      </c>
      <c r="D614" s="1" t="inlineStr">
        <is>
          <t>600x300x11mm</t>
        </is>
      </c>
      <c r="E614" s="1" t="n">
        <v>33.95</v>
      </c>
      <c r="F614" s="1" t="n">
        <v>0</v>
      </c>
      <c r="G614" s="1" t="inlineStr">
        <is>
          <t>SQM</t>
        </is>
      </c>
      <c r="H614" s="1" t="inlineStr">
        <is>
          <t>Ceramic</t>
        </is>
      </c>
      <c r="I614" s="1" t="inlineStr">
        <is>
          <t>Matt</t>
        </is>
      </c>
      <c r="J614" t="inlineStr">
        <is>
          <t>In Stock</t>
        </is>
      </c>
      <c r="K614" t="inlineStr">
        <is>
          <t>In Stock</t>
        </is>
      </c>
      <c r="L614" t="inlineStr">
        <is>
          <t>In Stock</t>
        </is>
      </c>
    </row>
    <row r="615">
      <c r="A615" s="1">
        <f>Hyperlink("https://www.wallsandfloors.co.uk/tonality-tiles-oatmeal-600x600-floor-tiles","Product")</f>
        <v/>
      </c>
      <c r="B615" s="1" t="inlineStr">
        <is>
          <t>13358</t>
        </is>
      </c>
      <c r="C615" s="1" t="inlineStr">
        <is>
          <t>Tonality Oatmeal Floor Tiles</t>
        </is>
      </c>
      <c r="D615" s="1" t="inlineStr">
        <is>
          <t>600x600x10mm</t>
        </is>
      </c>
      <c r="E615" s="1" t="n">
        <v>43.95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Matt</t>
        </is>
      </c>
      <c r="J615" t="inlineStr">
        <is>
          <t>In Stock</t>
        </is>
      </c>
      <c r="K615" t="inlineStr">
        <is>
          <t>In Stock</t>
        </is>
      </c>
      <c r="L615" t="inlineStr">
        <is>
          <t>In Stock</t>
        </is>
      </c>
    </row>
    <row r="616">
      <c r="A616" s="1">
        <f>Hyperlink("https://www.wallsandfloors.co.uk/tonality-tiles-fawn-600x600-floor-tiles","Product")</f>
        <v/>
      </c>
      <c r="B616" s="1" t="inlineStr">
        <is>
          <t>13359</t>
        </is>
      </c>
      <c r="C616" s="1" t="inlineStr">
        <is>
          <t>Tonality Fawn Floor Tiles</t>
        </is>
      </c>
      <c r="D616" s="1" t="inlineStr">
        <is>
          <t>600x600x10mm</t>
        </is>
      </c>
      <c r="E616" s="1" t="n">
        <v>43.95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179</v>
      </c>
      <c r="K616" t="n">
        <v>179</v>
      </c>
      <c r="L616" t="n">
        <v>179</v>
      </c>
    </row>
    <row r="617">
      <c r="A617" s="1">
        <f>Hyperlink("https://www.wallsandfloors.co.uk/tonality-tiles-fawn-600x300-wall-tiles","Product")</f>
        <v/>
      </c>
      <c r="B617" s="1" t="inlineStr">
        <is>
          <t>13364</t>
        </is>
      </c>
      <c r="C617" s="1" t="inlineStr">
        <is>
          <t>Tonality Fawn Wall Tiles</t>
        </is>
      </c>
      <c r="D617" s="1" t="inlineStr">
        <is>
          <t>600x300x11mm</t>
        </is>
      </c>
      <c r="E617" s="1" t="n">
        <v>33.95</v>
      </c>
      <c r="F617" s="1" t="n">
        <v>0</v>
      </c>
      <c r="G617" s="1" t="inlineStr"/>
      <c r="H617" s="1" t="inlineStr">
        <is>
          <t>Ceramic</t>
        </is>
      </c>
      <c r="I617" s="1" t="inlineStr">
        <is>
          <t>Gloss</t>
        </is>
      </c>
      <c r="J617" t="inlineStr">
        <is>
          <t>In Stock</t>
        </is>
      </c>
      <c r="K617" t="inlineStr">
        <is>
          <t>In Stock</t>
        </is>
      </c>
      <c r="L617" t="inlineStr">
        <is>
          <t>In Stock</t>
        </is>
      </c>
    </row>
    <row r="618">
      <c r="A618" s="1">
        <f>Hyperlink("https://www.wallsandfloors.co.uk/tiveden-wengue-wood-effect-tiles","Product")</f>
        <v/>
      </c>
      <c r="B618" s="1" t="inlineStr">
        <is>
          <t>41849</t>
        </is>
      </c>
      <c r="C618" s="1" t="inlineStr">
        <is>
          <t>Tiveden Wengue Wood Effect Tiles</t>
        </is>
      </c>
      <c r="D618" s="1" t="inlineStr">
        <is>
          <t>1195x225x8.7mm</t>
        </is>
      </c>
      <c r="E618" s="1" t="n">
        <v>27.95</v>
      </c>
      <c r="F618" s="1" t="n">
        <v>0</v>
      </c>
      <c r="G618" s="1" t="inlineStr">
        <is>
          <t>SQM</t>
        </is>
      </c>
      <c r="H618" s="1" t="inlineStr">
        <is>
          <t>Porcelain</t>
        </is>
      </c>
      <c r="I618" s="1" t="inlineStr">
        <is>
          <t>Matt</t>
        </is>
      </c>
      <c r="J618" t="n">
        <v>156</v>
      </c>
      <c r="K618" t="n">
        <v>156</v>
      </c>
      <c r="L618" t="n">
        <v>156</v>
      </c>
    </row>
    <row r="619">
      <c r="A619" s="1">
        <f>Hyperlink("https://www.wallsandfloors.co.uk/tiveden-grey-wood-effect-tiles","Product")</f>
        <v/>
      </c>
      <c r="B619" s="1" t="inlineStr">
        <is>
          <t>41847</t>
        </is>
      </c>
      <c r="C619" s="1" t="inlineStr">
        <is>
          <t>Tiveden Grey Wood Effect Tiles</t>
        </is>
      </c>
      <c r="D619" s="1" t="inlineStr">
        <is>
          <t>1195x225x8.7mm</t>
        </is>
      </c>
      <c r="E619" s="1" t="n">
        <v>27.95</v>
      </c>
      <c r="F619" s="1" t="n">
        <v>0</v>
      </c>
      <c r="G619" s="1" t="inlineStr">
        <is>
          <t>SQM</t>
        </is>
      </c>
      <c r="H619" s="1" t="inlineStr">
        <is>
          <t>Porcelain</t>
        </is>
      </c>
      <c r="I619" s="1" t="inlineStr">
        <is>
          <t>Matt</t>
        </is>
      </c>
      <c r="J619" t="n">
        <v>501</v>
      </c>
      <c r="K619" t="inlineStr"/>
      <c r="L619" t="n">
        <v>501</v>
      </c>
    </row>
    <row r="620">
      <c r="A620" s="1">
        <f>Hyperlink("https://www.wallsandfloors.co.uk/tiveden-cherry-wood-effect-tiles","Product")</f>
        <v/>
      </c>
      <c r="B620" s="1" t="inlineStr">
        <is>
          <t>41846</t>
        </is>
      </c>
      <c r="C620" s="1" t="inlineStr">
        <is>
          <t>Tiveden Cherry Wood Effect Tiles</t>
        </is>
      </c>
      <c r="D620" s="1" t="inlineStr">
        <is>
          <t>1195x225x8.7mm</t>
        </is>
      </c>
      <c r="E620" s="1" t="n">
        <v>27.95</v>
      </c>
      <c r="F620" s="1" t="n">
        <v>0</v>
      </c>
      <c r="G620" s="1" t="inlineStr">
        <is>
          <t>SQM</t>
        </is>
      </c>
      <c r="H620" s="1" t="inlineStr">
        <is>
          <t>Porcelain</t>
        </is>
      </c>
      <c r="I620" s="1" t="inlineStr">
        <is>
          <t>Matt</t>
        </is>
      </c>
      <c r="J620" t="n">
        <v>234</v>
      </c>
      <c r="K620" t="inlineStr"/>
      <c r="L620" t="n">
        <v>234</v>
      </c>
    </row>
    <row r="621">
      <c r="A621" s="1">
        <f>Hyperlink("https://www.wallsandfloors.co.uk/tiveden-beige-wood-effect-tiles","Product")</f>
        <v/>
      </c>
      <c r="B621" s="1" t="inlineStr">
        <is>
          <t>41845</t>
        </is>
      </c>
      <c r="C621" s="1" t="inlineStr">
        <is>
          <t>Tiveden Beige Wood Effect Tiles</t>
        </is>
      </c>
      <c r="D621" s="1" t="inlineStr">
        <is>
          <t>1195x225x8.7mm</t>
        </is>
      </c>
      <c r="E621" s="1" t="n">
        <v>27.95</v>
      </c>
      <c r="F621" s="1" t="n">
        <v>0</v>
      </c>
      <c r="G621" s="1" t="inlineStr"/>
      <c r="H621" s="1" t="inlineStr">
        <is>
          <t>Porcelain</t>
        </is>
      </c>
      <c r="I621" s="1" t="inlineStr">
        <is>
          <t>Matt</t>
        </is>
      </c>
      <c r="J621" t="inlineStr">
        <is>
          <t>In Stock</t>
        </is>
      </c>
      <c r="K621" t="inlineStr">
        <is>
          <t>In Stock</t>
        </is>
      </c>
      <c r="L621" t="inlineStr">
        <is>
          <t>In Stock</t>
        </is>
      </c>
    </row>
    <row r="622">
      <c r="A622" s="1">
        <f>Hyperlink("https://www.wallsandfloors.co.uk/titanium-natural-finish-tiles-tethys-skirting-tiles","Product")</f>
        <v/>
      </c>
      <c r="B622" s="1" t="inlineStr">
        <is>
          <t>13509</t>
        </is>
      </c>
      <c r="C622" s="1" t="inlineStr">
        <is>
          <t>Tethys Skirting Tiles</t>
        </is>
      </c>
      <c r="D622" s="1" t="inlineStr">
        <is>
          <t>300x80x9mm</t>
        </is>
      </c>
      <c r="E622" s="1" t="n">
        <v>6.95</v>
      </c>
      <c r="F622" s="1" t="n">
        <v>0</v>
      </c>
      <c r="G622" s="1" t="inlineStr">
        <is>
          <t>Tile</t>
        </is>
      </c>
      <c r="H622" s="1" t="inlineStr">
        <is>
          <t>Porcelain</t>
        </is>
      </c>
      <c r="I622" s="1" t="inlineStr">
        <is>
          <t>Matt</t>
        </is>
      </c>
      <c r="J622" t="inlineStr"/>
      <c r="K622" t="inlineStr"/>
      <c r="L622" t="inlineStr">
        <is>
          <t>In Stock</t>
        </is>
      </c>
    </row>
    <row r="623">
      <c r="A623" s="1">
        <f>Hyperlink("https://www.wallsandfloors.co.uk/titanium-natural-finish-tiles-tethys-internal-angle-tiles","Product")</f>
        <v/>
      </c>
      <c r="B623" s="1" t="inlineStr">
        <is>
          <t>13539</t>
        </is>
      </c>
      <c r="C623" s="1" t="inlineStr">
        <is>
          <t>Tethys Internal Angle Tiles</t>
        </is>
      </c>
      <c r="D623" s="1" t="inlineStr">
        <is>
          <t>90x25x9mm</t>
        </is>
      </c>
      <c r="E623" s="1" t="n">
        <v>6.45</v>
      </c>
      <c r="F623" s="1" t="n">
        <v>0</v>
      </c>
      <c r="G623" s="1" t="inlineStr">
        <is>
          <t>Tile</t>
        </is>
      </c>
      <c r="H623" s="1" t="inlineStr">
        <is>
          <t>Porcelain</t>
        </is>
      </c>
      <c r="I623" s="1" t="inlineStr">
        <is>
          <t>Matt</t>
        </is>
      </c>
      <c r="J623" t="inlineStr">
        <is>
          <t>In Stock</t>
        </is>
      </c>
      <c r="K623" t="inlineStr">
        <is>
          <t>In Stock</t>
        </is>
      </c>
      <c r="L623" t="inlineStr">
        <is>
          <t>In Stock</t>
        </is>
      </c>
    </row>
    <row r="624">
      <c r="A624" s="1">
        <f>Hyperlink("https://www.wallsandfloors.co.uk/titanium-natural-finish-tiles-tethys-external-angle-tiles","Product")</f>
        <v/>
      </c>
      <c r="B624" s="1" t="inlineStr">
        <is>
          <t>13537</t>
        </is>
      </c>
      <c r="C624" s="1" t="inlineStr">
        <is>
          <t>Tethys External Angle Tiles</t>
        </is>
      </c>
      <c r="D624" s="1" t="inlineStr">
        <is>
          <t>90x30x9mm</t>
        </is>
      </c>
      <c r="E624" s="1" t="n">
        <v>6.45</v>
      </c>
      <c r="F624" s="1" t="n">
        <v>0</v>
      </c>
      <c r="G624" s="1" t="inlineStr">
        <is>
          <t>Tile</t>
        </is>
      </c>
      <c r="H624" s="1" t="inlineStr">
        <is>
          <t>Porcelain</t>
        </is>
      </c>
      <c r="I624" s="1" t="inlineStr">
        <is>
          <t>Matt</t>
        </is>
      </c>
      <c r="J624" t="inlineStr">
        <is>
          <t>In Stock</t>
        </is>
      </c>
      <c r="K624" t="inlineStr">
        <is>
          <t>In Stock</t>
        </is>
      </c>
      <c r="L624" t="inlineStr">
        <is>
          <t>In Stock</t>
        </is>
      </c>
    </row>
    <row r="625">
      <c r="A625" s="1">
        <f>Hyperlink("https://www.wallsandfloors.co.uk/titanium-natural-finish-tiles-tethys-cove-200-tiles","Product")</f>
        <v/>
      </c>
      <c r="B625" s="1" t="inlineStr">
        <is>
          <t>13535</t>
        </is>
      </c>
      <c r="C625" s="1" t="inlineStr">
        <is>
          <t>Tethys Cove 200 Skirting Tiles</t>
        </is>
      </c>
      <c r="D625" s="1" t="inlineStr">
        <is>
          <t>200x90x9mm</t>
        </is>
      </c>
      <c r="E625" s="1" t="n">
        <v>7.95</v>
      </c>
      <c r="F625" s="1" t="n">
        <v>0</v>
      </c>
      <c r="G625" s="1" t="inlineStr">
        <is>
          <t>Tile</t>
        </is>
      </c>
      <c r="H625" s="1" t="inlineStr">
        <is>
          <t>Porcelain</t>
        </is>
      </c>
      <c r="I625" s="1" t="inlineStr">
        <is>
          <t>Matt</t>
        </is>
      </c>
      <c r="J625" t="inlineStr">
        <is>
          <t>In Stock</t>
        </is>
      </c>
      <c r="K625" t="inlineStr"/>
      <c r="L625" t="inlineStr">
        <is>
          <t>In Stock</t>
        </is>
      </c>
    </row>
    <row r="626">
      <c r="A626" s="1">
        <f>Hyperlink("https://www.wallsandfloors.co.uk/titanium-natural-finish-tiles-tethys-30x30-tiles","Product")</f>
        <v/>
      </c>
      <c r="B626" s="1" t="inlineStr">
        <is>
          <t>13508</t>
        </is>
      </c>
      <c r="C626" s="1" t="inlineStr">
        <is>
          <t>Titanium Tethys Tiles</t>
        </is>
      </c>
      <c r="D626" s="1" t="inlineStr">
        <is>
          <t>300x300x9mm</t>
        </is>
      </c>
      <c r="E626" s="1" t="n">
        <v>20.95</v>
      </c>
      <c r="F626" s="1" t="n">
        <v>0</v>
      </c>
      <c r="G626" s="1" t="inlineStr">
        <is>
          <t>SQM</t>
        </is>
      </c>
      <c r="H626" s="1" t="inlineStr">
        <is>
          <t>Porcelain</t>
        </is>
      </c>
      <c r="I626" s="1" t="inlineStr">
        <is>
          <t>Matt</t>
        </is>
      </c>
      <c r="J626" t="n">
        <v>97</v>
      </c>
      <c r="K626" t="n">
        <v>97</v>
      </c>
      <c r="L626" t="n">
        <v>97</v>
      </c>
    </row>
    <row r="627">
      <c r="A627" s="1">
        <f>Hyperlink("https://www.wallsandfloors.co.uk/titanium-natural-finish-tiles-tethys-20x20-tiles","Product")</f>
        <v/>
      </c>
      <c r="B627" s="1" t="inlineStr">
        <is>
          <t>13507</t>
        </is>
      </c>
      <c r="C627" s="1" t="inlineStr">
        <is>
          <t>Titanium Tethys Tiles</t>
        </is>
      </c>
      <c r="D627" s="1" t="inlineStr">
        <is>
          <t>200x200x9mm</t>
        </is>
      </c>
      <c r="E627" s="1" t="n">
        <v>23.95</v>
      </c>
      <c r="F627" s="1" t="n">
        <v>0</v>
      </c>
      <c r="G627" s="1" t="inlineStr">
        <is>
          <t>SQM</t>
        </is>
      </c>
      <c r="H627" s="1" t="inlineStr">
        <is>
          <t>Porcelain</t>
        </is>
      </c>
      <c r="I627" s="1" t="inlineStr">
        <is>
          <t>Matt</t>
        </is>
      </c>
      <c r="J627" t="inlineStr"/>
      <c r="K627" t="n">
        <v>58</v>
      </c>
      <c r="L627" t="n">
        <v>58</v>
      </c>
    </row>
    <row r="628">
      <c r="A628" s="1">
        <f>Hyperlink("https://www.wallsandfloors.co.uk/titanium-natural-finish-tiles-soil-skirting-tiles","Product")</f>
        <v/>
      </c>
      <c r="B628" s="1" t="inlineStr">
        <is>
          <t>13530</t>
        </is>
      </c>
      <c r="C628" s="1" t="inlineStr">
        <is>
          <t>Soil Skirting Tiles</t>
        </is>
      </c>
      <c r="D628" s="1" t="inlineStr">
        <is>
          <t>300x80x9mm</t>
        </is>
      </c>
      <c r="E628" s="1" t="n">
        <v>6.95</v>
      </c>
      <c r="F628" s="1" t="n">
        <v>0</v>
      </c>
      <c r="G628" s="1" t="inlineStr">
        <is>
          <t>Tile</t>
        </is>
      </c>
      <c r="H628" s="1" t="inlineStr">
        <is>
          <t>Porcelain</t>
        </is>
      </c>
      <c r="I628" s="1" t="inlineStr">
        <is>
          <t>Matt</t>
        </is>
      </c>
      <c r="J628" t="inlineStr">
        <is>
          <t>In Stock</t>
        </is>
      </c>
      <c r="K628" t="inlineStr">
        <is>
          <t>In Stock</t>
        </is>
      </c>
      <c r="L628" t="inlineStr">
        <is>
          <t>In Stock</t>
        </is>
      </c>
    </row>
    <row r="629">
      <c r="A629" s="1">
        <f>Hyperlink("https://www.wallsandfloors.co.uk/titanium-natural-finish-tiles-soil-30x30-tiles","Product")</f>
        <v/>
      </c>
      <c r="B629" s="1" t="inlineStr">
        <is>
          <t>13529</t>
        </is>
      </c>
      <c r="C629" s="1" t="inlineStr">
        <is>
          <t>Titanium Soil Tiles</t>
        </is>
      </c>
      <c r="D629" s="1" t="inlineStr">
        <is>
          <t>300x300x9mm</t>
        </is>
      </c>
      <c r="E629" s="1" t="n">
        <v>22.95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inlineStr">
        <is>
          <t>In Stock</t>
        </is>
      </c>
      <c r="K629" t="inlineStr">
        <is>
          <t>In Stock</t>
        </is>
      </c>
      <c r="L629" t="inlineStr">
        <is>
          <t>In Stock</t>
        </is>
      </c>
    </row>
    <row r="630">
      <c r="A630" s="1">
        <f>Hyperlink("https://www.wallsandfloors.co.uk/titanium-natural-finish-tiles-night-skirting-tiles","Product")</f>
        <v/>
      </c>
      <c r="B630" s="1" t="inlineStr">
        <is>
          <t>13528</t>
        </is>
      </c>
      <c r="C630" s="1" t="inlineStr">
        <is>
          <t>Night Skirting Tiles</t>
        </is>
      </c>
      <c r="D630" s="1" t="inlineStr">
        <is>
          <t>300x80x9mm</t>
        </is>
      </c>
      <c r="E630" s="1" t="n">
        <v>6.95</v>
      </c>
      <c r="F630" s="1" t="n">
        <v>0</v>
      </c>
      <c r="G630" s="1" t="inlineStr">
        <is>
          <t>Tile</t>
        </is>
      </c>
      <c r="H630" s="1" t="inlineStr">
        <is>
          <t>Porcelain</t>
        </is>
      </c>
      <c r="I630" s="1" t="inlineStr">
        <is>
          <t>Matt</t>
        </is>
      </c>
      <c r="J630" t="inlineStr">
        <is>
          <t>In Stock</t>
        </is>
      </c>
      <c r="K630" t="inlineStr">
        <is>
          <t>In Stock</t>
        </is>
      </c>
      <c r="L630" t="inlineStr">
        <is>
          <t>In Stock</t>
        </is>
      </c>
    </row>
    <row r="631">
      <c r="A631" s="1">
        <f>Hyperlink("https://www.wallsandfloors.co.uk/titanium-natural-finish-tiles-night-internal-angle-tiles","Product")</f>
        <v/>
      </c>
      <c r="B631" s="1" t="inlineStr">
        <is>
          <t>13525</t>
        </is>
      </c>
      <c r="C631" s="1" t="inlineStr">
        <is>
          <t>Night Internal Angle Tiles</t>
        </is>
      </c>
      <c r="D631" s="1" t="inlineStr">
        <is>
          <t>90x25x9mm</t>
        </is>
      </c>
      <c r="E631" s="1" t="n">
        <v>6.45</v>
      </c>
      <c r="F631" s="1" t="n">
        <v>0</v>
      </c>
      <c r="G631" s="1" t="inlineStr">
        <is>
          <t>Tile</t>
        </is>
      </c>
      <c r="H631" s="1" t="inlineStr">
        <is>
          <t>Porcelain</t>
        </is>
      </c>
      <c r="I631" s="1" t="inlineStr">
        <is>
          <t>Matt</t>
        </is>
      </c>
      <c r="J631" t="inlineStr">
        <is>
          <t>In Stock</t>
        </is>
      </c>
      <c r="K631" t="inlineStr">
        <is>
          <t>In Stock</t>
        </is>
      </c>
      <c r="L631" t="inlineStr">
        <is>
          <t>In Stock</t>
        </is>
      </c>
    </row>
    <row r="632">
      <c r="A632" s="1">
        <f>Hyperlink("https://www.wallsandfloors.co.uk/tones-neutrals-tiles-mocha-tiles","Product")</f>
        <v/>
      </c>
      <c r="B632" s="1" t="inlineStr">
        <is>
          <t>11322</t>
        </is>
      </c>
      <c r="C632" s="1" t="inlineStr">
        <is>
          <t>Tones Mocha Brick Tiles</t>
        </is>
      </c>
      <c r="D632" s="1" t="inlineStr">
        <is>
          <t>400x150x10mm</t>
        </is>
      </c>
      <c r="E632" s="1" t="n">
        <v>30.95</v>
      </c>
      <c r="F632" s="1" t="n">
        <v>0</v>
      </c>
      <c r="G632" s="1" t="inlineStr">
        <is>
          <t>SQM</t>
        </is>
      </c>
      <c r="H632" s="1" t="inlineStr">
        <is>
          <t>Ceramic</t>
        </is>
      </c>
      <c r="I632" s="1" t="inlineStr">
        <is>
          <t>Matt</t>
        </is>
      </c>
      <c r="J632" t="inlineStr">
        <is>
          <t>In Stock</t>
        </is>
      </c>
      <c r="K632" t="inlineStr"/>
      <c r="L632" t="inlineStr">
        <is>
          <t>In Stock</t>
        </is>
      </c>
    </row>
    <row r="633">
      <c r="A633" s="1">
        <f>Hyperlink("https://www.wallsandfloors.co.uk/titanic-waves-polished-pebble-grey-60x60-tiles","Product")</f>
        <v/>
      </c>
      <c r="B633" s="1" t="inlineStr">
        <is>
          <t>39155</t>
        </is>
      </c>
      <c r="C633" s="1" t="inlineStr">
        <is>
          <t>Titanic Wave Polished Pebble Grey Tiles</t>
        </is>
      </c>
      <c r="D633" s="1" t="inlineStr">
        <is>
          <t>600x600x9mm</t>
        </is>
      </c>
      <c r="E633" s="1" t="n">
        <v>26.95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Polished</t>
        </is>
      </c>
      <c r="J633" t="n">
        <v>532</v>
      </c>
      <c r="K633" t="inlineStr"/>
      <c r="L633" t="n">
        <v>532</v>
      </c>
    </row>
    <row r="634">
      <c r="A634" s="1">
        <f>Hyperlink("https://www.wallsandfloors.co.uk/tuileries-crackle-moldura-border-tiles","Product")</f>
        <v/>
      </c>
      <c r="B634" s="1" t="inlineStr">
        <is>
          <t>13180</t>
        </is>
      </c>
      <c r="C634" s="1" t="inlineStr">
        <is>
          <t>Tuileries Crackle Cream Moldura Border Tiles</t>
        </is>
      </c>
      <c r="D634" s="1" t="inlineStr">
        <is>
          <t>150x50x7mm</t>
        </is>
      </c>
      <c r="E634" s="1" t="n">
        <v>4.95</v>
      </c>
      <c r="F634" s="1" t="n">
        <v>0</v>
      </c>
      <c r="G634" s="1" t="inlineStr">
        <is>
          <t>Tile</t>
        </is>
      </c>
      <c r="H634" s="1" t="inlineStr">
        <is>
          <t>Ceramic</t>
        </is>
      </c>
      <c r="I634" s="1" t="inlineStr">
        <is>
          <t>Gloss</t>
        </is>
      </c>
      <c r="J634" t="inlineStr">
        <is>
          <t>In Stock</t>
        </is>
      </c>
      <c r="K634" t="inlineStr">
        <is>
          <t>In Stock</t>
        </is>
      </c>
      <c r="L634" t="inlineStr">
        <is>
          <t>In Stock</t>
        </is>
      </c>
    </row>
    <row r="635">
      <c r="A635" s="1">
        <f>Hyperlink("https://www.wallsandfloors.co.uk/turro-tiles-horizon-tile","Product")</f>
        <v/>
      </c>
      <c r="B635" s="1" t="inlineStr">
        <is>
          <t>12229</t>
        </is>
      </c>
      <c r="C635" s="1" t="inlineStr">
        <is>
          <t>Horizon Tile</t>
        </is>
      </c>
      <c r="D635" s="1" t="inlineStr">
        <is>
          <t>300x200x9mm</t>
        </is>
      </c>
      <c r="E635" s="1" t="n">
        <v>14.95</v>
      </c>
      <c r="F635" s="1" t="n">
        <v>0</v>
      </c>
      <c r="G635" s="1" t="inlineStr">
        <is>
          <t>SQM</t>
        </is>
      </c>
      <c r="H635" s="1" t="inlineStr">
        <is>
          <t>Ceramic</t>
        </is>
      </c>
      <c r="I635" s="1" t="inlineStr">
        <is>
          <t>Gloss</t>
        </is>
      </c>
      <c r="J635" t="n">
        <v>63</v>
      </c>
      <c r="K635" t="n">
        <v>63</v>
      </c>
      <c r="L635" t="n">
        <v>63</v>
      </c>
    </row>
    <row r="636">
      <c r="A636" s="1">
        <f>Hyperlink("https://www.wallsandfloors.co.uk/white-tiles-white-floor-tiles-15072","Product")</f>
        <v/>
      </c>
      <c r="B636" s="1" t="inlineStr">
        <is>
          <t>15072</t>
        </is>
      </c>
      <c r="C636" s="1" t="inlineStr">
        <is>
          <t>Matt White Floor Tiles</t>
        </is>
      </c>
      <c r="D636" s="1" t="inlineStr">
        <is>
          <t>333x333x7mm</t>
        </is>
      </c>
      <c r="E636" s="1" t="n">
        <v>13.95</v>
      </c>
      <c r="F636" s="1" t="n">
        <v>0</v>
      </c>
      <c r="G636" s="1" t="inlineStr">
        <is>
          <t>SQM</t>
        </is>
      </c>
      <c r="H636" s="1" t="inlineStr">
        <is>
          <t>Ceramic</t>
        </is>
      </c>
      <c r="I636" s="1" t="inlineStr">
        <is>
          <t>Matt</t>
        </is>
      </c>
      <c r="J636" t="n">
        <v>741</v>
      </c>
      <c r="K636" t="n">
        <v>741</v>
      </c>
      <c r="L636" t="n">
        <v>1401</v>
      </c>
    </row>
    <row r="637">
      <c r="A637" s="1">
        <f>Hyperlink("https://www.wallsandfloors.co.uk/white-tiles-bumpy-gloss-white-tiles","Product")</f>
        <v/>
      </c>
      <c r="B637" s="1" t="inlineStr">
        <is>
          <t>1879</t>
        </is>
      </c>
      <c r="C637" s="1" t="inlineStr">
        <is>
          <t>Bumpy Gloss White Tiles</t>
        </is>
      </c>
      <c r="D637" s="1" t="inlineStr">
        <is>
          <t>150x150x5.5mm</t>
        </is>
      </c>
      <c r="E637" s="1" t="n">
        <v>14.75</v>
      </c>
      <c r="F637" s="1" t="n">
        <v>0</v>
      </c>
      <c r="G637" s="1" t="inlineStr">
        <is>
          <t>SQM</t>
        </is>
      </c>
      <c r="H637" s="1" t="inlineStr">
        <is>
          <t>Ceramic</t>
        </is>
      </c>
      <c r="I637" s="1" t="inlineStr">
        <is>
          <t>Gloss</t>
        </is>
      </c>
      <c r="J637" t="n">
        <v>74</v>
      </c>
      <c r="K637" t="n">
        <v>74</v>
      </c>
      <c r="L637" t="n">
        <v>74</v>
      </c>
    </row>
    <row r="638">
      <c r="A638" s="1">
        <f>Hyperlink("https://www.wallsandfloors.co.uk/white-strip-150x25mm-tiles","Product")</f>
        <v/>
      </c>
      <c r="B638" s="1" t="inlineStr">
        <is>
          <t>990259</t>
        </is>
      </c>
      <c r="C638" s="1" t="inlineStr">
        <is>
          <t>White Strip Tiles</t>
        </is>
      </c>
      <c r="D638" s="1" t="inlineStr">
        <is>
          <t>150x25x9-10mm</t>
        </is>
      </c>
      <c r="E638" s="1" t="n">
        <v>2.37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n">
        <v>115</v>
      </c>
      <c r="K638" t="n">
        <v>115</v>
      </c>
      <c r="L638" t="n">
        <v>115</v>
      </c>
    </row>
    <row r="639">
      <c r="A639" s="1">
        <f>Hyperlink("https://www.wallsandfloors.co.uk/white-squares-70mm-tiles","Product")</f>
        <v/>
      </c>
      <c r="B639" s="1" t="inlineStr">
        <is>
          <t>990074</t>
        </is>
      </c>
      <c r="C639" s="1" t="inlineStr">
        <is>
          <t>White Squares 70mm Tiles</t>
        </is>
      </c>
      <c r="D639" s="1" t="inlineStr">
        <is>
          <t>70x70x9-10mm</t>
        </is>
      </c>
      <c r="E639" s="1" t="n">
        <v>1.5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6</v>
      </c>
      <c r="K639" t="n">
        <v>6</v>
      </c>
      <c r="L639" t="n">
        <v>6</v>
      </c>
    </row>
    <row r="640">
      <c r="A640" s="1">
        <f>Hyperlink("https://www.wallsandfloors.co.uk/white-squares-50mm-tiles","Product")</f>
        <v/>
      </c>
      <c r="B640" s="1" t="inlineStr">
        <is>
          <t>990099</t>
        </is>
      </c>
      <c r="C640" s="1" t="inlineStr">
        <is>
          <t>White Squares 50mm Tiles</t>
        </is>
      </c>
      <c r="D640" s="1" t="inlineStr">
        <is>
          <t>50x50x9-10mm</t>
        </is>
      </c>
      <c r="E640" s="1" t="n">
        <v>2.95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1022</v>
      </c>
      <c r="K640" t="n">
        <v>1022</v>
      </c>
      <c r="L640" t="n">
        <v>1022</v>
      </c>
    </row>
    <row r="641">
      <c r="A641" s="1">
        <f>Hyperlink("https://www.wallsandfloors.co.uk/white-squares-35mm-tiles","Product")</f>
        <v/>
      </c>
      <c r="B641" s="1" t="inlineStr">
        <is>
          <t>990124</t>
        </is>
      </c>
      <c r="C641" s="1" t="inlineStr">
        <is>
          <t>White Squares 35mm Tiles</t>
        </is>
      </c>
      <c r="D641" s="1" t="inlineStr">
        <is>
          <t>35x35x9-10mm</t>
        </is>
      </c>
      <c r="E641" s="1" t="n">
        <v>0.41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7248</v>
      </c>
      <c r="K641" t="n">
        <v>7248</v>
      </c>
      <c r="L641" t="n">
        <v>7248</v>
      </c>
    </row>
    <row r="642">
      <c r="A642" s="1">
        <f>Hyperlink("https://www.wallsandfloors.co.uk/white-octagon-150mm-tiles","Product")</f>
        <v/>
      </c>
      <c r="B642" s="1" t="inlineStr">
        <is>
          <t>990136</t>
        </is>
      </c>
      <c r="C642" s="1" t="inlineStr">
        <is>
          <t>White Octagon Tiles</t>
        </is>
      </c>
      <c r="D642" s="1" t="inlineStr">
        <is>
          <t>150x150x9-10mm</t>
        </is>
      </c>
      <c r="E642" s="1" t="n">
        <v>2.21</v>
      </c>
      <c r="F642" s="1" t="n">
        <v>0</v>
      </c>
      <c r="G642" s="1" t="inlineStr">
        <is>
          <t>SQM</t>
        </is>
      </c>
      <c r="H642" s="1" t="inlineStr">
        <is>
          <t>Porcelain</t>
        </is>
      </c>
      <c r="I642" s="1" t="inlineStr">
        <is>
          <t>Matt</t>
        </is>
      </c>
      <c r="J642" t="inlineStr"/>
      <c r="K642" t="inlineStr"/>
      <c r="L642" t="n">
        <v>290</v>
      </c>
    </row>
    <row r="643">
      <c r="A643" s="1">
        <f>Hyperlink("https://www.wallsandfloors.co.uk/whisper-mid-grey-tiles","Product")</f>
        <v/>
      </c>
      <c r="B643" s="1" t="inlineStr">
        <is>
          <t>38432</t>
        </is>
      </c>
      <c r="C643" s="1" t="inlineStr">
        <is>
          <t>Whisper Mid Grey Tiles</t>
        </is>
      </c>
      <c r="D643" s="1" t="inlineStr">
        <is>
          <t>400x150x10mm</t>
        </is>
      </c>
      <c r="E643" s="1" t="n">
        <v>30.95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Matt</t>
        </is>
      </c>
      <c r="J643" t="inlineStr">
        <is>
          <t>In Stock</t>
        </is>
      </c>
      <c r="K643" t="inlineStr">
        <is>
          <t>In Stock</t>
        </is>
      </c>
      <c r="L643" t="inlineStr">
        <is>
          <t>In Stock</t>
        </is>
      </c>
    </row>
    <row r="644">
      <c r="A644" s="1">
        <f>Hyperlink("https://www.wallsandfloors.co.uk/wenge-skirt-tiles","Product")</f>
        <v/>
      </c>
      <c r="B644" s="1" t="inlineStr">
        <is>
          <t>36821</t>
        </is>
      </c>
      <c r="C644" s="1" t="inlineStr">
        <is>
          <t>Muniellos Wenge Wood Effect Skirt Tiles</t>
        </is>
      </c>
      <c r="D644" s="1" t="inlineStr">
        <is>
          <t>450x75x10.5mm</t>
        </is>
      </c>
      <c r="E644" s="1" t="n">
        <v>7.95</v>
      </c>
      <c r="F644" s="1" t="n">
        <v>0</v>
      </c>
      <c r="G644" s="1" t="inlineStr">
        <is>
          <t>Tile</t>
        </is>
      </c>
      <c r="H644" s="1" t="inlineStr">
        <is>
          <t>Porcelain</t>
        </is>
      </c>
      <c r="I644" s="1" t="inlineStr">
        <is>
          <t>Matt</t>
        </is>
      </c>
      <c r="J644" t="inlineStr">
        <is>
          <t>In Stock</t>
        </is>
      </c>
      <c r="K644" t="inlineStr">
        <is>
          <t>In Stock</t>
        </is>
      </c>
      <c r="L644" t="inlineStr">
        <is>
          <t>In Stock</t>
        </is>
      </c>
    </row>
    <row r="645">
      <c r="A645" s="1">
        <f>Hyperlink("https://www.wallsandfloors.co.uk/wenge-910x153-anti-slip-tiles","Product")</f>
        <v/>
      </c>
      <c r="B645" s="1" t="inlineStr">
        <is>
          <t>36551</t>
        </is>
      </c>
      <c r="C645" s="1" t="inlineStr">
        <is>
          <t>Muniellos Wenge Anti-Slip Wood Effect Tiles</t>
        </is>
      </c>
      <c r="D645" s="1" t="inlineStr">
        <is>
          <t>900x150x10.5mm</t>
        </is>
      </c>
      <c r="E645" s="1" t="n">
        <v>33.95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inlineStr"/>
      <c r="L645" t="n">
        <v>150</v>
      </c>
    </row>
    <row r="646">
      <c r="A646" s="1">
        <f>Hyperlink("https://www.wallsandfloors.co.uk/white-tiles-white-sands-60x30-tiles","Product")</f>
        <v/>
      </c>
      <c r="B646" s="1" t="inlineStr">
        <is>
          <t>14324</t>
        </is>
      </c>
      <c r="C646" s="1" t="inlineStr">
        <is>
          <t>Coast White Sands Stone Effect Tiles</t>
        </is>
      </c>
      <c r="D646" s="1" t="inlineStr">
        <is>
          <t>613x303x7mm</t>
        </is>
      </c>
      <c r="E646" s="1" t="n">
        <v>17.95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inlineStr"/>
      <c r="K646" t="inlineStr">
        <is>
          <t>Out of Stock</t>
        </is>
      </c>
      <c r="L646" t="inlineStr">
        <is>
          <t>Out of Stock</t>
        </is>
      </c>
    </row>
    <row r="647">
      <c r="A647" s="1">
        <f>Hyperlink("https://www.wallsandfloors.co.uk/wayland-rustic-stain-mix-tiles","Product")</f>
        <v/>
      </c>
      <c r="B647" s="1" t="inlineStr">
        <is>
          <t>40104</t>
        </is>
      </c>
      <c r="C647" s="1" t="inlineStr">
        <is>
          <t>Wayland Rustic Stain Mix Tiles</t>
        </is>
      </c>
      <c r="D647" s="1" t="inlineStr">
        <is>
          <t>900x150x9mm</t>
        </is>
      </c>
      <c r="E647" s="1" t="n">
        <v>18.95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n">
        <v>246</v>
      </c>
      <c r="K647" t="n">
        <v>246</v>
      </c>
      <c r="L647" t="n">
        <v>246</v>
      </c>
    </row>
    <row r="648">
      <c r="A648" s="1">
        <f>Hyperlink("https://www.wallsandfloors.co.uk/wayland-ash-stain-mix-tiles","Product")</f>
        <v/>
      </c>
      <c r="B648" s="1" t="inlineStr">
        <is>
          <t>40103</t>
        </is>
      </c>
      <c r="C648" s="1" t="inlineStr">
        <is>
          <t>Wayland Ash Stain Mix Tiles</t>
        </is>
      </c>
      <c r="D648" s="1" t="inlineStr">
        <is>
          <t>900x150x9mm</t>
        </is>
      </c>
      <c r="E648" s="1" t="n">
        <v>18.95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196</v>
      </c>
      <c r="K648" t="inlineStr"/>
      <c r="L648" t="n">
        <v>196</v>
      </c>
    </row>
    <row r="649">
      <c r="A649" s="1">
        <f>Hyperlink("https://www.wallsandfloors.co.uk/waterfall-tiles-marron-tiles","Product")</f>
        <v/>
      </c>
      <c r="B649" s="1" t="inlineStr">
        <is>
          <t>13249</t>
        </is>
      </c>
      <c r="C649" s="1" t="inlineStr">
        <is>
          <t>Waterfall Textured Marron Split Face Tiles</t>
        </is>
      </c>
      <c r="D649" s="1" t="inlineStr">
        <is>
          <t>560x310x10mm</t>
        </is>
      </c>
      <c r="E649" s="1" t="n">
        <v>29.95</v>
      </c>
      <c r="F649" s="1" t="n">
        <v>0</v>
      </c>
      <c r="G649" s="1" t="inlineStr">
        <is>
          <t>SQM</t>
        </is>
      </c>
      <c r="H649" s="1" t="inlineStr">
        <is>
          <t>Porcelain</t>
        </is>
      </c>
      <c r="I649" s="1" t="inlineStr">
        <is>
          <t>Matt</t>
        </is>
      </c>
      <c r="J649" t="n">
        <v>61</v>
      </c>
      <c r="K649" t="n">
        <v>61</v>
      </c>
      <c r="L649" t="n">
        <v>61</v>
      </c>
    </row>
    <row r="650">
      <c r="A650" s="1">
        <f>Hyperlink("https://www.wallsandfloors.co.uk/waterfall-tiles-ivory-tiles","Product")</f>
        <v/>
      </c>
      <c r="B650" s="1" t="inlineStr">
        <is>
          <t>13248</t>
        </is>
      </c>
      <c r="C650" s="1" t="inlineStr">
        <is>
          <t>Waterfall Textured Ivory Split Face Tiles</t>
        </is>
      </c>
      <c r="D650" s="1" t="inlineStr">
        <is>
          <t>560x310x10mm</t>
        </is>
      </c>
      <c r="E650" s="1" t="n">
        <v>29.95</v>
      </c>
      <c r="F650" s="1" t="n">
        <v>0</v>
      </c>
      <c r="G650" s="1" t="inlineStr">
        <is>
          <t>SQM</t>
        </is>
      </c>
      <c r="H650" s="1" t="inlineStr">
        <is>
          <t>Porcelain</t>
        </is>
      </c>
      <c r="I650" s="1" t="inlineStr">
        <is>
          <t>Matt</t>
        </is>
      </c>
      <c r="J650" t="n">
        <v>72</v>
      </c>
      <c r="K650" t="n">
        <v>72</v>
      </c>
      <c r="L650" t="n">
        <v>72</v>
      </c>
    </row>
    <row r="651">
      <c r="A651" s="1">
        <f>Hyperlink("https://www.wallsandfloors.co.uk/waterfall-tiles-black-tiles","Product")</f>
        <v/>
      </c>
      <c r="B651" s="1" t="inlineStr">
        <is>
          <t>13897</t>
        </is>
      </c>
      <c r="C651" s="1" t="inlineStr">
        <is>
          <t>Waterfall Textured Black Split Face Tiles</t>
        </is>
      </c>
      <c r="D651" s="1" t="inlineStr">
        <is>
          <t>560x310x10mm</t>
        </is>
      </c>
      <c r="E651" s="1" t="n">
        <v>29.95</v>
      </c>
      <c r="F651" s="1" t="n">
        <v>0</v>
      </c>
      <c r="G651" s="1" t="inlineStr">
        <is>
          <t>SQM</t>
        </is>
      </c>
      <c r="H651" s="1" t="inlineStr">
        <is>
          <t>Porcelain</t>
        </is>
      </c>
      <c r="I651" s="1" t="inlineStr">
        <is>
          <t>Matt</t>
        </is>
      </c>
      <c r="J651" t="inlineStr"/>
      <c r="K651" t="inlineStr">
        <is>
          <t>In Stock</t>
        </is>
      </c>
      <c r="L651" t="inlineStr">
        <is>
          <t>In Stock</t>
        </is>
      </c>
    </row>
    <row r="652">
      <c r="A652" s="1">
        <f>Hyperlink("https://www.wallsandfloors.co.uk/waterfall-tiles-beige-tiles","Product")</f>
        <v/>
      </c>
      <c r="B652" s="1" t="inlineStr">
        <is>
          <t>13250</t>
        </is>
      </c>
      <c r="C652" s="1" t="inlineStr">
        <is>
          <t>Waterfall Textured Beige Split Face Tiles</t>
        </is>
      </c>
      <c r="D652" s="1" t="inlineStr">
        <is>
          <t>560x310x10mm</t>
        </is>
      </c>
      <c r="E652" s="1" t="n">
        <v>29.95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Matt</t>
        </is>
      </c>
      <c r="J652" t="inlineStr">
        <is>
          <t>In Stock</t>
        </is>
      </c>
      <c r="K652" t="inlineStr">
        <is>
          <t>In Stock</t>
        </is>
      </c>
      <c r="L652" t="inlineStr">
        <is>
          <t>In Stock</t>
        </is>
      </c>
    </row>
    <row r="653">
      <c r="A653" s="1">
        <f>Hyperlink("https://www.wallsandfloors.co.uk/voronoi-marble-effect-hexagon-tiles-anais-white-hexagon-tiles","Product")</f>
        <v/>
      </c>
      <c r="B653" s="1" t="inlineStr">
        <is>
          <t>15201</t>
        </is>
      </c>
      <c r="C653" s="1" t="inlineStr">
        <is>
          <t>Voronoi White Marble Effect Hexagon Tiles</t>
        </is>
      </c>
      <c r="D653" s="1" t="inlineStr">
        <is>
          <t>330x285x9mm</t>
        </is>
      </c>
      <c r="E653" s="1" t="n">
        <v>33.95</v>
      </c>
      <c r="F653" s="1" t="n">
        <v>0</v>
      </c>
      <c r="G653" s="1" t="inlineStr"/>
      <c r="H653" s="1" t="inlineStr">
        <is>
          <t>Porcelain</t>
        </is>
      </c>
      <c r="I653" s="1" t="inlineStr">
        <is>
          <t>Satin</t>
        </is>
      </c>
      <c r="J653" t="inlineStr">
        <is>
          <t>In Stock</t>
        </is>
      </c>
      <c r="K653" t="inlineStr"/>
      <c r="L653" t="inlineStr">
        <is>
          <t>In Stock</t>
        </is>
      </c>
    </row>
    <row r="654">
      <c r="A654" s="1">
        <f>Hyperlink("https://www.wallsandfloors.co.uk/voronoi-marble-effect-hexagon-tiles-anais-white-hexagon-decor-tiles","Product")</f>
        <v/>
      </c>
      <c r="B654" s="1" t="inlineStr">
        <is>
          <t>15202</t>
        </is>
      </c>
      <c r="C654" s="1" t="inlineStr">
        <is>
          <t>Voronoi White Hexagon Decor Tiles</t>
        </is>
      </c>
      <c r="D654" s="1" t="inlineStr">
        <is>
          <t>330x285x9mm</t>
        </is>
      </c>
      <c r="E654" s="1" t="n">
        <v>37.95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Satin</t>
        </is>
      </c>
      <c r="J654" t="n">
        <v>123</v>
      </c>
      <c r="K654" t="n">
        <v>123</v>
      </c>
      <c r="L654" t="n">
        <v>123</v>
      </c>
    </row>
    <row r="655">
      <c r="A655" s="1">
        <f>Hyperlink("https://www.wallsandfloors.co.uk/vintage-wood-tiles-rovere-floor-tiles","Product")</f>
        <v/>
      </c>
      <c r="B655" s="1" t="inlineStr">
        <is>
          <t>12026</t>
        </is>
      </c>
      <c r="C655" s="1" t="inlineStr">
        <is>
          <t>Vintage Wood Rovere Floor Tiles</t>
        </is>
      </c>
      <c r="D655" s="1" t="inlineStr">
        <is>
          <t>478x478x8mm</t>
        </is>
      </c>
      <c r="E655" s="1" t="n">
        <v>49.95</v>
      </c>
      <c r="F655" s="1" t="n">
        <v>0</v>
      </c>
      <c r="G655" s="1" t="inlineStr">
        <is>
          <t>SQM</t>
        </is>
      </c>
      <c r="H655" s="1" t="inlineStr">
        <is>
          <t>Porcelain</t>
        </is>
      </c>
      <c r="I655" s="1" t="inlineStr">
        <is>
          <t>Matt</t>
        </is>
      </c>
      <c r="J655" t="inlineStr"/>
      <c r="K655" t="inlineStr">
        <is>
          <t>Out of Stock</t>
        </is>
      </c>
      <c r="L655" t="inlineStr">
        <is>
          <t>Out of Stock</t>
        </is>
      </c>
    </row>
    <row r="656">
      <c r="A656" s="1">
        <f>Hyperlink("https://www.wallsandfloors.co.uk/vintage-wood-tiles-larice-floor-tiles","Product")</f>
        <v/>
      </c>
      <c r="B656" s="1" t="inlineStr">
        <is>
          <t>12025</t>
        </is>
      </c>
      <c r="C656" s="1" t="inlineStr">
        <is>
          <t>Vintage Wood Larice Floor Tiles</t>
        </is>
      </c>
      <c r="D656" s="1" t="inlineStr">
        <is>
          <t>478x478x8mm</t>
        </is>
      </c>
      <c r="E656" s="1" t="n">
        <v>49.95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109</v>
      </c>
      <c r="K656" t="n">
        <v>109</v>
      </c>
      <c r="L656" t="n">
        <v>109</v>
      </c>
    </row>
    <row r="657">
      <c r="A657" s="1">
        <f>Hyperlink("https://www.wallsandfloors.co.uk/vintage-wood-tiles-abete-floor-tiles","Product")</f>
        <v/>
      </c>
      <c r="B657" s="1" t="inlineStr">
        <is>
          <t>12024</t>
        </is>
      </c>
      <c r="C657" s="1" t="inlineStr">
        <is>
          <t>Vintage Wood Abete Floor Tiles</t>
        </is>
      </c>
      <c r="D657" s="1" t="inlineStr">
        <is>
          <t>478x478x8mm</t>
        </is>
      </c>
      <c r="E657" s="1" t="n">
        <v>49.95</v>
      </c>
      <c r="F657" s="1" t="n">
        <v>0</v>
      </c>
      <c r="G657" s="1" t="inlineStr">
        <is>
          <t>SQM</t>
        </is>
      </c>
      <c r="H657" s="1" t="inlineStr">
        <is>
          <t>Porcelain</t>
        </is>
      </c>
      <c r="I657" s="1" t="inlineStr">
        <is>
          <t>Matt</t>
        </is>
      </c>
      <c r="J657" t="inlineStr"/>
      <c r="K657" t="inlineStr"/>
      <c r="L657" t="n">
        <v>258</v>
      </c>
    </row>
    <row r="658">
      <c r="A658" s="1">
        <f>Hyperlink("https://www.wallsandfloors.co.uk/wayland-mochal-stain-mix-tiles","Product")</f>
        <v/>
      </c>
      <c r="B658" s="1" t="inlineStr">
        <is>
          <t>39112</t>
        </is>
      </c>
      <c r="C658" s="1" t="inlineStr">
        <is>
          <t>Wayland Mochal Stain Mix Tiles</t>
        </is>
      </c>
      <c r="D658" s="1" t="inlineStr">
        <is>
          <t>900x150x9mm</t>
        </is>
      </c>
      <c r="E658" s="1" t="n">
        <v>25.95</v>
      </c>
      <c r="F658" s="1" t="n">
        <v>0</v>
      </c>
      <c r="G658" s="1" t="inlineStr">
        <is>
          <t>SQM</t>
        </is>
      </c>
      <c r="H658" s="1" t="inlineStr">
        <is>
          <t>Porcelain</t>
        </is>
      </c>
      <c r="I658" s="1" t="inlineStr">
        <is>
          <t>Matt</t>
        </is>
      </c>
      <c r="J658" t="inlineStr"/>
      <c r="K658" t="n">
        <v>218</v>
      </c>
      <c r="L658" t="n">
        <v>218</v>
      </c>
    </row>
    <row r="659">
      <c r="A659" s="1">
        <f>Hyperlink("https://www.wallsandfloors.co.uk/white-tiles-white-wall-tiles","Product")</f>
        <v/>
      </c>
      <c r="B659" s="1" t="inlineStr">
        <is>
          <t>2060</t>
        </is>
      </c>
      <c r="C659" s="1" t="inlineStr">
        <is>
          <t>White Wall Tiles</t>
        </is>
      </c>
      <c r="D659" s="1" t="inlineStr">
        <is>
          <t>300x200x7mm</t>
        </is>
      </c>
      <c r="E659" s="1" t="n">
        <v>31.25</v>
      </c>
      <c r="F659" s="1" t="n">
        <v>0</v>
      </c>
      <c r="G659" s="1" t="inlineStr">
        <is>
          <t>SQM</t>
        </is>
      </c>
      <c r="H659" s="1" t="inlineStr">
        <is>
          <t>Ceramic</t>
        </is>
      </c>
      <c r="I659" s="1" t="inlineStr">
        <is>
          <t>Gloss</t>
        </is>
      </c>
      <c r="J659" t="inlineStr">
        <is>
          <t>In Stock</t>
        </is>
      </c>
      <c r="K659" t="inlineStr">
        <is>
          <t>In Stock</t>
        </is>
      </c>
      <c r="L659" t="inlineStr">
        <is>
          <t>In Stock</t>
        </is>
      </c>
    </row>
    <row r="660">
      <c r="A660" s="1">
        <f>Hyperlink("https://www.wallsandfloors.co.uk/white-triangle-70x70x100mm","Product")</f>
        <v/>
      </c>
      <c r="B660" s="1" t="inlineStr">
        <is>
          <t>990209</t>
        </is>
      </c>
      <c r="C660" s="1" t="inlineStr">
        <is>
          <t>White Triangle 70x70x100mm Tiles</t>
        </is>
      </c>
      <c r="D660" s="1" t="inlineStr">
        <is>
          <t>70x70x100mm</t>
        </is>
      </c>
      <c r="E660" s="1" t="n">
        <v>1.63</v>
      </c>
      <c r="F660" s="1" t="n">
        <v>0</v>
      </c>
      <c r="G660" s="1" t="inlineStr">
        <is>
          <t>SQM</t>
        </is>
      </c>
      <c r="H660" s="1" t="inlineStr">
        <is>
          <t>Porcelain</t>
        </is>
      </c>
      <c r="I660" s="1" t="inlineStr">
        <is>
          <t>Matt</t>
        </is>
      </c>
      <c r="J660" t="n">
        <v>391</v>
      </c>
      <c r="K660" t="n">
        <v>391</v>
      </c>
      <c r="L660" t="n">
        <v>391</v>
      </c>
    </row>
    <row r="661">
      <c r="A661" s="1">
        <f>Hyperlink("https://www.wallsandfloors.co.uk/woodford-dado-strip-tiles-burgundy-dado-tiles","Product")</f>
        <v/>
      </c>
      <c r="B661" s="1" t="inlineStr">
        <is>
          <t>12423</t>
        </is>
      </c>
      <c r="C661" s="1" t="inlineStr">
        <is>
          <t>Woodford Burgundy Dado Border Tiles</t>
        </is>
      </c>
      <c r="D661" s="1" t="inlineStr">
        <is>
          <t>200x50x5mm</t>
        </is>
      </c>
      <c r="E661" s="1" t="n">
        <v>3.95</v>
      </c>
      <c r="F661" s="1" t="n">
        <v>0</v>
      </c>
      <c r="G661" s="1" t="inlineStr">
        <is>
          <t>SQM</t>
        </is>
      </c>
      <c r="H661" s="1" t="inlineStr">
        <is>
          <t>Ceramic</t>
        </is>
      </c>
      <c r="I661" s="1" t="inlineStr">
        <is>
          <t>Gloss</t>
        </is>
      </c>
      <c r="J661" t="n">
        <v>5</v>
      </c>
      <c r="K661" t="n">
        <v>5</v>
      </c>
      <c r="L661" t="n">
        <v>5</v>
      </c>
    </row>
    <row r="662">
      <c r="A662" s="1">
        <f>Hyperlink("https://www.wallsandfloors.co.uk/zoetic-marble-effect-tiles-anais-blanco-marble-effect-wall-tiles","Product")</f>
        <v/>
      </c>
      <c r="B662" s="1" t="inlineStr">
        <is>
          <t>14768</t>
        </is>
      </c>
      <c r="C662" s="1" t="inlineStr">
        <is>
          <t>Anais Blanco Marble Effect Wall Tiles</t>
        </is>
      </c>
      <c r="D662" s="1" t="inlineStr">
        <is>
          <t>550x333x8mm</t>
        </is>
      </c>
      <c r="E662" s="1" t="n">
        <v>16.95</v>
      </c>
      <c r="F662" s="1" t="n">
        <v>0</v>
      </c>
      <c r="G662" s="1" t="inlineStr">
        <is>
          <t>SQM</t>
        </is>
      </c>
      <c r="H662" s="1" t="inlineStr">
        <is>
          <t>Ceramic</t>
        </is>
      </c>
      <c r="I662" s="1" t="inlineStr">
        <is>
          <t>Gloss</t>
        </is>
      </c>
      <c r="J662" t="inlineStr">
        <is>
          <t>Out of Stock</t>
        </is>
      </c>
      <c r="K662" t="inlineStr">
        <is>
          <t>Out of Stock</t>
        </is>
      </c>
      <c r="L662" t="inlineStr">
        <is>
          <t>Out of Stock</t>
        </is>
      </c>
    </row>
    <row r="663">
      <c r="A663" s="1">
        <f>Hyperlink("https://www.wallsandfloors.co.uk/zermatt-steel-tiles","Product")</f>
        <v/>
      </c>
      <c r="B663" s="1" t="inlineStr">
        <is>
          <t>44498</t>
        </is>
      </c>
      <c r="C663" s="1" t="inlineStr">
        <is>
          <t>Zermatt Steel Tiles</t>
        </is>
      </c>
      <c r="D663" s="1" t="inlineStr">
        <is>
          <t>800x800x9.5mm</t>
        </is>
      </c>
      <c r="E663" s="1" t="n">
        <v>27.95</v>
      </c>
      <c r="F663" s="1" t="n">
        <v>0</v>
      </c>
      <c r="G663" s="1" t="inlineStr"/>
      <c r="H663" s="1" t="inlineStr">
        <is>
          <t>Porcelain</t>
        </is>
      </c>
      <c r="I663" s="1" t="inlineStr">
        <is>
          <t>Matt</t>
        </is>
      </c>
      <c r="J663" t="inlineStr"/>
      <c r="K663" t="inlineStr">
        <is>
          <t>Out of Stock</t>
        </is>
      </c>
      <c r="L663" t="inlineStr">
        <is>
          <t>Out of Stock</t>
        </is>
      </c>
    </row>
    <row r="664">
      <c r="A664" s="1">
        <f>Hyperlink("https://www.wallsandfloors.co.uk/zermatt-natural-tiles","Product")</f>
        <v/>
      </c>
      <c r="B664" s="1" t="inlineStr">
        <is>
          <t>44497</t>
        </is>
      </c>
      <c r="C664" s="1" t="inlineStr">
        <is>
          <t>Zermatt Natural Tiles</t>
        </is>
      </c>
      <c r="D664" s="1" t="inlineStr">
        <is>
          <t>800x800x9.5mm</t>
        </is>
      </c>
      <c r="E664" s="1" t="n">
        <v>27.95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399</v>
      </c>
      <c r="K664" t="n">
        <v>399</v>
      </c>
      <c r="L664" t="n">
        <v>399</v>
      </c>
    </row>
    <row r="665">
      <c r="A665" s="1">
        <f>Hyperlink("https://www.wallsandfloors.co.uk/zellij-tiles-patchwork-effect-tiles","Product")</f>
        <v/>
      </c>
      <c r="B665" s="1" t="inlineStr">
        <is>
          <t>12371</t>
        </is>
      </c>
      <c r="C665" s="1" t="inlineStr">
        <is>
          <t>Zellij Patchwork Effect Pattern Tiles</t>
        </is>
      </c>
      <c r="D665" s="1" t="inlineStr">
        <is>
          <t>442x442x10mm</t>
        </is>
      </c>
      <c r="E665" s="1" t="n">
        <v>30.95</v>
      </c>
      <c r="F665" s="1" t="n">
        <v>0</v>
      </c>
      <c r="G665" s="1" t="inlineStr">
        <is>
          <t>SQM</t>
        </is>
      </c>
      <c r="H665" s="1" t="inlineStr">
        <is>
          <t>Porcelain</t>
        </is>
      </c>
      <c r="I665" s="1" t="inlineStr">
        <is>
          <t>Matt</t>
        </is>
      </c>
      <c r="J665" t="n">
        <v>80</v>
      </c>
      <c r="K665" t="n">
        <v>80</v>
      </c>
      <c r="L665" t="n">
        <v>80</v>
      </c>
    </row>
    <row r="666">
      <c r="A666" s="1">
        <f>Hyperlink("https://www.wallsandfloors.co.uk/zeinah-tiles-louane-tiles","Product")</f>
        <v/>
      </c>
      <c r="B666" s="1" t="inlineStr">
        <is>
          <t>12943</t>
        </is>
      </c>
      <c r="C666" s="1" t="inlineStr">
        <is>
          <t>Zeinah Louane Patchwork Pattern Tiles</t>
        </is>
      </c>
      <c r="D666" s="1" t="inlineStr">
        <is>
          <t>600x600x10.5mm</t>
        </is>
      </c>
      <c r="E666" s="1" t="n">
        <v>33.95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inlineStr">
        <is>
          <t>In Stock</t>
        </is>
      </c>
      <c r="K666" t="inlineStr">
        <is>
          <t>In Stock</t>
        </is>
      </c>
      <c r="L666" t="inlineStr">
        <is>
          <t>In Stock</t>
        </is>
      </c>
    </row>
    <row r="667">
      <c r="A667" s="1">
        <f>Hyperlink("https://www.wallsandfloors.co.uk/zeinah-tiles-galena-tiles-12942","Product")</f>
        <v/>
      </c>
      <c r="B667" s="1" t="inlineStr">
        <is>
          <t>12942</t>
        </is>
      </c>
      <c r="C667" s="1" t="inlineStr">
        <is>
          <t>Zeinah Galena Patchwork Pattern Tiles</t>
        </is>
      </c>
      <c r="D667" s="1" t="inlineStr">
        <is>
          <t>600x600x10.5mm</t>
        </is>
      </c>
      <c r="E667" s="1" t="n">
        <v>33.95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60</v>
      </c>
      <c r="K667" t="n">
        <v>60</v>
      </c>
      <c r="L667" t="n">
        <v>60</v>
      </c>
    </row>
    <row r="668">
      <c r="A668" s="1">
        <f>Hyperlink("https://www.wallsandfloors.co.uk/zebra-porcelain-tiles-matt-pure-white-tile","Product")</f>
        <v/>
      </c>
      <c r="B668" s="1" t="inlineStr">
        <is>
          <t>14456</t>
        </is>
      </c>
      <c r="C668" s="1" t="inlineStr">
        <is>
          <t>Matt Pure White Tile</t>
        </is>
      </c>
      <c r="D668" s="1" t="inlineStr">
        <is>
          <t>456x456x7mm</t>
        </is>
      </c>
      <c r="E668" s="1" t="n">
        <v>27.95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inlineStr"/>
      <c r="K668" t="inlineStr">
        <is>
          <t>In Stock</t>
        </is>
      </c>
      <c r="L668" t="inlineStr">
        <is>
          <t>In Stock</t>
        </is>
      </c>
    </row>
    <row r="669">
      <c r="A669" s="1">
        <f>Hyperlink("https://www.wallsandfloors.co.uk/zebra-porcelain-tiles-matt-ebony-black-tile","Product")</f>
        <v/>
      </c>
      <c r="B669" s="1" t="inlineStr">
        <is>
          <t>14454</t>
        </is>
      </c>
      <c r="C669" s="1" t="inlineStr">
        <is>
          <t>Zebra Matt Ebony Matt Black Tiles</t>
        </is>
      </c>
      <c r="D669" s="1" t="inlineStr">
        <is>
          <t>456x456x7mm</t>
        </is>
      </c>
      <c r="E669" s="1" t="n">
        <v>27.95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n">
        <v>182</v>
      </c>
      <c r="K669" t="inlineStr"/>
      <c r="L669" t="n">
        <v>182</v>
      </c>
    </row>
    <row r="670">
      <c r="A670" s="1">
        <f>Hyperlink("https://www.wallsandfloors.co.uk/zebra-porcelain-tiles-high-gloss-pure-white-tile","Product")</f>
        <v/>
      </c>
      <c r="B670" s="1" t="inlineStr">
        <is>
          <t>14455</t>
        </is>
      </c>
      <c r="C670" s="1" t="inlineStr">
        <is>
          <t>High Gloss Pure Ultra White Tiles</t>
        </is>
      </c>
      <c r="D670" s="1" t="inlineStr">
        <is>
          <t>452x452x7mm</t>
        </is>
      </c>
      <c r="E670" s="1" t="n">
        <v>27.95</v>
      </c>
      <c r="F670" s="1" t="n">
        <v>0</v>
      </c>
      <c r="G670" s="1" t="inlineStr">
        <is>
          <t>SQM</t>
        </is>
      </c>
      <c r="H670" s="1" t="inlineStr">
        <is>
          <t>Porcelain</t>
        </is>
      </c>
      <c r="I670" s="1" t="inlineStr">
        <is>
          <t>Gloss</t>
        </is>
      </c>
      <c r="J670" t="n">
        <v>53</v>
      </c>
      <c r="K670" t="n">
        <v>53</v>
      </c>
      <c r="L670" t="n">
        <v>53</v>
      </c>
    </row>
    <row r="671">
      <c r="A671" s="1">
        <f>Hyperlink("https://www.wallsandfloors.co.uk/zealous-splitface-tiles-white-sparkle-split-face-effect-tiles","Product")</f>
        <v/>
      </c>
      <c r="B671" s="1" t="inlineStr">
        <is>
          <t>15620</t>
        </is>
      </c>
      <c r="C671" s="1" t="inlineStr">
        <is>
          <t>White Split Face Effect Tiles</t>
        </is>
      </c>
      <c r="D671" s="1" t="inlineStr">
        <is>
          <t>500x165x8mm</t>
        </is>
      </c>
      <c r="E671" s="1" t="n">
        <v>27.95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n">
        <v>90</v>
      </c>
      <c r="K671" t="n">
        <v>90</v>
      </c>
      <c r="L671" t="n">
        <v>90</v>
      </c>
    </row>
    <row r="672">
      <c r="A672" s="1">
        <f>Hyperlink("https://www.wallsandfloors.co.uk/zealous-splitface-tiles-black-sparkle-split-face-effect-tiles","Product")</f>
        <v/>
      </c>
      <c r="B672" s="1" t="inlineStr">
        <is>
          <t>15621</t>
        </is>
      </c>
      <c r="C672" s="1" t="inlineStr">
        <is>
          <t>Black Sparkle Split Face Effect Tiles</t>
        </is>
      </c>
      <c r="D672" s="1" t="inlineStr">
        <is>
          <t>500x165x8mm</t>
        </is>
      </c>
      <c r="E672" s="1" t="n">
        <v>27.95</v>
      </c>
      <c r="F672" s="1" t="n">
        <v>0</v>
      </c>
      <c r="G672" s="1" t="inlineStr">
        <is>
          <t>SQM</t>
        </is>
      </c>
      <c r="H672" s="1" t="inlineStr">
        <is>
          <t>Porcelain</t>
        </is>
      </c>
      <c r="I672" s="1" t="inlineStr">
        <is>
          <t>Matt</t>
        </is>
      </c>
      <c r="J672" t="inlineStr"/>
      <c r="K672" t="inlineStr"/>
      <c r="L672" t="n">
        <v>55</v>
      </c>
    </row>
    <row r="673">
      <c r="A673" s="1">
        <f>Hyperlink("https://www.wallsandfloors.co.uk/yellow-triangle-70x70x100mm-tiles","Product")</f>
        <v/>
      </c>
      <c r="B673" s="1" t="inlineStr">
        <is>
          <t>990210</t>
        </is>
      </c>
      <c r="C673" s="1" t="inlineStr">
        <is>
          <t>Yellow Triangle 70x70x100mm Tiles</t>
        </is>
      </c>
      <c r="D673" s="1" t="inlineStr">
        <is>
          <t>70x70x100mm</t>
        </is>
      </c>
      <c r="E673" s="1" t="n">
        <v>3.38</v>
      </c>
      <c r="F673" s="1" t="n">
        <v>0</v>
      </c>
      <c r="G673" s="1" t="inlineStr">
        <is>
          <t>SQM</t>
        </is>
      </c>
      <c r="H673" s="1" t="inlineStr">
        <is>
          <t>Porcelain</t>
        </is>
      </c>
      <c r="I673" s="1" t="inlineStr">
        <is>
          <t>Matt</t>
        </is>
      </c>
      <c r="J673" t="inlineStr"/>
      <c r="K673" t="n">
        <v>32</v>
      </c>
      <c r="L673" t="n">
        <v>32</v>
      </c>
    </row>
    <row r="674">
      <c r="A674" s="1">
        <f>Hyperlink("https://www.wallsandfloors.co.uk/yellow-triangle-50x50x70mm-tiles","Product")</f>
        <v/>
      </c>
      <c r="B674" s="1" t="inlineStr">
        <is>
          <t>990185</t>
        </is>
      </c>
      <c r="C674" s="1" t="inlineStr">
        <is>
          <t>Yellow Triangle Tiles</t>
        </is>
      </c>
      <c r="D674" s="1" t="inlineStr">
        <is>
          <t>50x50x70mm</t>
        </is>
      </c>
      <c r="E674" s="1" t="n">
        <v>2.03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Matt</t>
        </is>
      </c>
      <c r="J674" t="n">
        <v>325</v>
      </c>
      <c r="K674" t="n">
        <v>325</v>
      </c>
      <c r="L674" t="n">
        <v>325</v>
      </c>
    </row>
    <row r="675">
      <c r="A675" s="1">
        <f>Hyperlink("https://www.wallsandfloors.co.uk/yellow-squares-50mm-tiles","Product")</f>
        <v/>
      </c>
      <c r="B675" s="1" t="inlineStr">
        <is>
          <t>990100</t>
        </is>
      </c>
      <c r="C675" s="1" t="inlineStr">
        <is>
          <t>Yellow Squares 50mm Tiles</t>
        </is>
      </c>
      <c r="D675" s="1" t="inlineStr">
        <is>
          <t>50x50x9-10mm</t>
        </is>
      </c>
      <c r="E675" s="1" t="n">
        <v>0.67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Matt</t>
        </is>
      </c>
      <c r="J675" t="n">
        <v>993</v>
      </c>
      <c r="K675" t="inlineStr"/>
      <c r="L675" t="n">
        <v>993</v>
      </c>
    </row>
    <row r="676">
      <c r="A676" s="1">
        <f>Hyperlink("https://www.wallsandfloors.co.uk/woven-wood-tiles","Product")</f>
        <v/>
      </c>
      <c r="B676" s="1" t="inlineStr">
        <is>
          <t>41711</t>
        </is>
      </c>
      <c r="C676" s="1" t="inlineStr">
        <is>
          <t>Woven Wood Tiles</t>
        </is>
      </c>
      <c r="D676" s="1" t="inlineStr">
        <is>
          <t>480x480x10mm</t>
        </is>
      </c>
      <c r="E676" s="1" t="n">
        <v>40.95</v>
      </c>
      <c r="F676" s="1" t="n">
        <v>0</v>
      </c>
      <c r="G676" s="1" t="inlineStr">
        <is>
          <t>SQM</t>
        </is>
      </c>
      <c r="H676" s="1" t="inlineStr">
        <is>
          <t>Porcelain</t>
        </is>
      </c>
      <c r="I676" s="1" t="inlineStr">
        <is>
          <t>Matt</t>
        </is>
      </c>
      <c r="J676" t="n">
        <v>161</v>
      </c>
      <c r="K676" t="n">
        <v>161</v>
      </c>
      <c r="L676" t="n">
        <v>161</v>
      </c>
    </row>
    <row r="677">
      <c r="A677" s="1">
        <f>Hyperlink("https://www.wallsandfloors.co.uk/woven-snow-tiles","Product")</f>
        <v/>
      </c>
      <c r="B677" s="1" t="inlineStr">
        <is>
          <t>41548</t>
        </is>
      </c>
      <c r="C677" s="1" t="inlineStr">
        <is>
          <t>Woven Snow Tiles</t>
        </is>
      </c>
      <c r="D677" s="1" t="inlineStr">
        <is>
          <t>480x480x10mm</t>
        </is>
      </c>
      <c r="E677" s="1" t="n">
        <v>40.95</v>
      </c>
      <c r="F677" s="1" t="n">
        <v>0</v>
      </c>
      <c r="G677" s="1" t="inlineStr">
        <is>
          <t>SQM</t>
        </is>
      </c>
      <c r="H677" s="1" t="inlineStr">
        <is>
          <t>Porcelain</t>
        </is>
      </c>
      <c r="I677" s="1" t="inlineStr">
        <is>
          <t>Matt</t>
        </is>
      </c>
      <c r="J677" t="n">
        <v>148</v>
      </c>
      <c r="K677" t="n">
        <v>148</v>
      </c>
      <c r="L677" t="n">
        <v>148</v>
      </c>
    </row>
    <row r="678">
      <c r="A678" s="1">
        <f>Hyperlink("https://www.wallsandfloors.co.uk/woven-smoke-tiles","Product")</f>
        <v/>
      </c>
      <c r="B678" s="1" t="inlineStr">
        <is>
          <t>41710</t>
        </is>
      </c>
      <c r="C678" s="1" t="inlineStr">
        <is>
          <t>Woven Smoke Tiles</t>
        </is>
      </c>
      <c r="D678" s="1" t="inlineStr">
        <is>
          <t>480x480x10mm</t>
        </is>
      </c>
      <c r="E678" s="1" t="n">
        <v>40.95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Matt</t>
        </is>
      </c>
      <c r="J678" t="inlineStr"/>
      <c r="K678" t="n">
        <v>70</v>
      </c>
      <c r="L678" t="n">
        <v>70</v>
      </c>
    </row>
    <row r="679">
      <c r="A679" s="1">
        <f>Hyperlink("https://www.wallsandfloors.co.uk/woven-skirting-wood-tiles-49789","Product")</f>
        <v/>
      </c>
      <c r="B679" s="1" t="inlineStr">
        <is>
          <t>42713</t>
        </is>
      </c>
      <c r="C679" s="1" t="inlineStr">
        <is>
          <t>Woven Skirting Wood Tiles</t>
        </is>
      </c>
      <c r="D679" s="1" t="inlineStr">
        <is>
          <t>480x78x10mm</t>
        </is>
      </c>
      <c r="E679" s="1" t="n">
        <v>7.95</v>
      </c>
      <c r="F679" s="1" t="n">
        <v>0</v>
      </c>
      <c r="G679" s="1" t="inlineStr">
        <is>
          <t>Tile</t>
        </is>
      </c>
      <c r="H679" s="1" t="inlineStr">
        <is>
          <t>Porcelain</t>
        </is>
      </c>
      <c r="I679" s="1" t="inlineStr">
        <is>
          <t>Matt</t>
        </is>
      </c>
      <c r="J679" t="inlineStr"/>
      <c r="K679" t="inlineStr">
        <is>
          <t>In Stock</t>
        </is>
      </c>
      <c r="L679" t="inlineStr">
        <is>
          <t>In Stock</t>
        </is>
      </c>
    </row>
    <row r="680">
      <c r="A680" s="1">
        <f>Hyperlink("https://www.wallsandfloors.co.uk/woven-skirting-snow-tiles","Product")</f>
        <v/>
      </c>
      <c r="B680" s="1" t="inlineStr">
        <is>
          <t>42620</t>
        </is>
      </c>
      <c r="C680" s="1" t="inlineStr">
        <is>
          <t>Woven Skirting Snow Tiles</t>
        </is>
      </c>
      <c r="D680" s="1" t="inlineStr">
        <is>
          <t>480x78x10mm</t>
        </is>
      </c>
      <c r="E680" s="1" t="n">
        <v>7.95</v>
      </c>
      <c r="F680" s="1" t="n">
        <v>0</v>
      </c>
      <c r="G680" s="1" t="inlineStr">
        <is>
          <t>Tile</t>
        </is>
      </c>
      <c r="H680" s="1" t="inlineStr">
        <is>
          <t>Porcelain</t>
        </is>
      </c>
      <c r="I680" s="1" t="inlineStr">
        <is>
          <t>Matt</t>
        </is>
      </c>
      <c r="J680" t="inlineStr">
        <is>
          <t>In Stock</t>
        </is>
      </c>
      <c r="K680" t="inlineStr">
        <is>
          <t>In Stock</t>
        </is>
      </c>
      <c r="L680" t="inlineStr">
        <is>
          <t>In Stock</t>
        </is>
      </c>
    </row>
    <row r="681">
      <c r="A681" s="1">
        <f>Hyperlink("https://www.wallsandfloors.co.uk/woven-skirting-smoke-tiles","Product")</f>
        <v/>
      </c>
      <c r="B681" s="1" t="inlineStr">
        <is>
          <t>42712</t>
        </is>
      </c>
      <c r="C681" s="1" t="inlineStr">
        <is>
          <t>Woven Skirting Smoke Tiles</t>
        </is>
      </c>
      <c r="D681" s="1" t="inlineStr">
        <is>
          <t>480x78x10mm</t>
        </is>
      </c>
      <c r="E681" s="1" t="n">
        <v>7.95</v>
      </c>
      <c r="F681" s="1" t="n">
        <v>0</v>
      </c>
      <c r="G681" s="1" t="inlineStr">
        <is>
          <t>Tile</t>
        </is>
      </c>
      <c r="H681" s="1" t="inlineStr">
        <is>
          <t>Porcelain</t>
        </is>
      </c>
      <c r="I681" s="1" t="inlineStr">
        <is>
          <t>Matt</t>
        </is>
      </c>
      <c r="J681" t="inlineStr"/>
      <c r="K681" t="inlineStr">
        <is>
          <t>In Stock</t>
        </is>
      </c>
      <c r="L681" t="inlineStr">
        <is>
          <t>In Stock</t>
        </is>
      </c>
    </row>
    <row r="682">
      <c r="A682" s="1">
        <f>Hyperlink("https://www.wallsandfloors.co.uk/woven-skirting-sand-tiles","Product")</f>
        <v/>
      </c>
      <c r="B682" s="1" t="inlineStr">
        <is>
          <t>42711</t>
        </is>
      </c>
      <c r="C682" s="1" t="inlineStr">
        <is>
          <t>Woven Skirting Sand Tiles</t>
        </is>
      </c>
      <c r="D682" s="1" t="inlineStr">
        <is>
          <t>480x78x10mm</t>
        </is>
      </c>
      <c r="E682" s="1" t="n">
        <v>7.95</v>
      </c>
      <c r="F682" s="1" t="n">
        <v>0</v>
      </c>
      <c r="G682" s="1" t="inlineStr"/>
      <c r="H682" s="1" t="inlineStr">
        <is>
          <t>Porcelain</t>
        </is>
      </c>
      <c r="I682" s="1" t="inlineStr">
        <is>
          <t>Matt</t>
        </is>
      </c>
      <c r="J682" t="inlineStr">
        <is>
          <t>In Stock</t>
        </is>
      </c>
      <c r="K682" t="inlineStr">
        <is>
          <t>In Stock</t>
        </is>
      </c>
      <c r="L682" t="inlineStr">
        <is>
          <t>In Stock</t>
        </is>
      </c>
    </row>
    <row r="683">
      <c r="A683" s="1">
        <f>Hyperlink("https://www.wallsandfloors.co.uk/woven-sand-tiles","Product")</f>
        <v/>
      </c>
      <c r="B683" s="1" t="inlineStr">
        <is>
          <t>41703</t>
        </is>
      </c>
      <c r="C683" s="1" t="inlineStr">
        <is>
          <t>Woven Sand Tiles</t>
        </is>
      </c>
      <c r="D683" s="1" t="inlineStr">
        <is>
          <t>480x480x10mm</t>
        </is>
      </c>
      <c r="E683" s="1" t="n">
        <v>40.95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inlineStr"/>
      <c r="K683" t="n">
        <v>61</v>
      </c>
      <c r="L683" t="n">
        <v>61</v>
      </c>
    </row>
    <row r="684">
      <c r="A684" s="1">
        <f>Hyperlink("https://www.wallsandfloors.co.uk/woodland-tiles","Product")</f>
        <v/>
      </c>
      <c r="B684" s="1" t="inlineStr">
        <is>
          <t>14327</t>
        </is>
      </c>
      <c r="C684" s="1" t="inlineStr">
        <is>
          <t>Ruvido Woodland Hexagon Tiles</t>
        </is>
      </c>
      <c r="D684" s="1" t="inlineStr">
        <is>
          <t>450x450x9mm</t>
        </is>
      </c>
      <c r="E684" s="1" t="n">
        <v>30.95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inlineStr">
        <is>
          <t>In Stock</t>
        </is>
      </c>
      <c r="K684" t="inlineStr">
        <is>
          <t>In Stock</t>
        </is>
      </c>
      <c r="L684" t="inlineStr">
        <is>
          <t>In Stock</t>
        </is>
      </c>
    </row>
    <row r="685">
      <c r="A685" s="1">
        <f>Hyperlink("https://www.wallsandfloors.co.uk/vintage-wood-plank-tiles-pino-970x157-plank-tiles","Product")</f>
        <v/>
      </c>
      <c r="B685" s="1" t="inlineStr">
        <is>
          <t>13384</t>
        </is>
      </c>
      <c r="C685" s="1" t="inlineStr">
        <is>
          <t>Vintage Pino Plank Wood Effect Tiles</t>
        </is>
      </c>
      <c r="D685" s="1" t="inlineStr">
        <is>
          <t>970x157x10mm</t>
        </is>
      </c>
      <c r="E685" s="1" t="n">
        <v>34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/>
      <c r="K685" t="n">
        <v>67</v>
      </c>
      <c r="L685" t="n">
        <v>67</v>
      </c>
    </row>
    <row r="686">
      <c r="A686" s="1">
        <f>Hyperlink("https://www.wallsandfloors.co.uk/tundra-freedom-tiles-gloss-white-medium-tiles","Product")</f>
        <v/>
      </c>
      <c r="B686" s="1" t="inlineStr">
        <is>
          <t>12217</t>
        </is>
      </c>
      <c r="C686" s="1" t="inlineStr">
        <is>
          <t>Tundra Freedom Gloss White Wall Tiles</t>
        </is>
      </c>
      <c r="D686" s="1" t="inlineStr">
        <is>
          <t>360x275x8mm</t>
        </is>
      </c>
      <c r="E686" s="1" t="n">
        <v>17.3</v>
      </c>
      <c r="F686" s="1" t="n">
        <v>0</v>
      </c>
      <c r="G686" s="1" t="inlineStr">
        <is>
          <t>SQM</t>
        </is>
      </c>
      <c r="H686" s="1" t="inlineStr">
        <is>
          <t>Ceramic</t>
        </is>
      </c>
      <c r="I686" s="1" t="inlineStr">
        <is>
          <t>Gloss</t>
        </is>
      </c>
      <c r="J686" t="n">
        <v>21</v>
      </c>
      <c r="K686" t="n">
        <v>21</v>
      </c>
      <c r="L686" t="n">
        <v>21</v>
      </c>
    </row>
    <row r="687">
      <c r="A687" s="1">
        <f>Hyperlink("https://www.wallsandfloors.co.uk/vintage-wood-plank-tiles-larice-970x157-plank-tiles","Product")</f>
        <v/>
      </c>
      <c r="B687" s="1" t="inlineStr">
        <is>
          <t>13376</t>
        </is>
      </c>
      <c r="C687" s="1" t="inlineStr">
        <is>
          <t>Vintage Larice Plank Wood Effect Tiles</t>
        </is>
      </c>
      <c r="D687" s="1" t="inlineStr">
        <is>
          <t>970x157x10mm</t>
        </is>
      </c>
      <c r="E687" s="1" t="n">
        <v>34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31</v>
      </c>
      <c r="K687" t="n">
        <v>31</v>
      </c>
      <c r="L687" t="n">
        <v>31</v>
      </c>
    </row>
    <row r="688">
      <c r="A688" s="1">
        <f>Hyperlink("https://www.wallsandfloors.co.uk/vintage-wood-plank-tiles-grigio-970x237-anti-slip-plank-tiles","Product")</f>
        <v/>
      </c>
      <c r="B688" s="1" t="inlineStr">
        <is>
          <t>13375</t>
        </is>
      </c>
      <c r="C688" s="1" t="inlineStr">
        <is>
          <t>Vintage Anti-Slip Grey Plank Wood Effect Tiles</t>
        </is>
      </c>
      <c r="D688" s="1" t="inlineStr">
        <is>
          <t>970x237x10mm</t>
        </is>
      </c>
      <c r="E688" s="1" t="n">
        <v>33.55</v>
      </c>
      <c r="F688" s="1" t="n">
        <v>0</v>
      </c>
      <c r="G688" s="1" t="inlineStr">
        <is>
          <t>SQM</t>
        </is>
      </c>
      <c r="H688" s="1" t="inlineStr">
        <is>
          <t>Porcelain</t>
        </is>
      </c>
      <c r="I688" s="1" t="inlineStr">
        <is>
          <t>Matt</t>
        </is>
      </c>
      <c r="J688" t="n">
        <v>69</v>
      </c>
      <c r="K688" t="n">
        <v>69</v>
      </c>
      <c r="L688" t="n">
        <v>69</v>
      </c>
    </row>
    <row r="689">
      <c r="A689" s="1">
        <f>Hyperlink("https://www.wallsandfloors.co.uk/vena-biana-bevelled-matt-20x10-tiles","Product")</f>
        <v/>
      </c>
      <c r="B689" s="1" t="inlineStr">
        <is>
          <t>37743</t>
        </is>
      </c>
      <c r="C689" s="1" t="inlineStr">
        <is>
          <t>Vena Biana Bevelled Matt Tiles</t>
        </is>
      </c>
      <c r="D689" s="1" t="inlineStr">
        <is>
          <t>200x100x7mm</t>
        </is>
      </c>
      <c r="E689" s="1" t="n">
        <v>20.85</v>
      </c>
      <c r="F689" s="1" t="n">
        <v>0</v>
      </c>
      <c r="G689" s="1" t="inlineStr">
        <is>
          <t>SQM</t>
        </is>
      </c>
      <c r="H689" s="1" t="inlineStr">
        <is>
          <t>Ceramic</t>
        </is>
      </c>
      <c r="I689" s="1" t="inlineStr">
        <is>
          <t>Matt</t>
        </is>
      </c>
      <c r="J689" t="inlineStr"/>
      <c r="K689" t="inlineStr"/>
      <c r="L689" t="inlineStr">
        <is>
          <t>Out of Stock</t>
        </is>
      </c>
    </row>
    <row r="690">
      <c r="A690" s="1">
        <f>Hyperlink("https://www.wallsandfloors.co.uk/vena-biana-bevelled-gloss-20x10-tiles","Product")</f>
        <v/>
      </c>
      <c r="B690" s="1" t="inlineStr">
        <is>
          <t>37742</t>
        </is>
      </c>
      <c r="C690" s="1" t="inlineStr">
        <is>
          <t>Vena Biana Bevelled Gloss Tiles</t>
        </is>
      </c>
      <c r="D690" s="1" t="inlineStr">
        <is>
          <t>200x100x6.5mm</t>
        </is>
      </c>
      <c r="E690" s="1" t="n">
        <v>20.85</v>
      </c>
      <c r="F690" s="1" t="n">
        <v>0</v>
      </c>
      <c r="G690" s="1" t="inlineStr">
        <is>
          <t>SQM</t>
        </is>
      </c>
      <c r="H690" s="1" t="inlineStr">
        <is>
          <t>Ceramic</t>
        </is>
      </c>
      <c r="I690" s="1" t="inlineStr">
        <is>
          <t>Gloss</t>
        </is>
      </c>
      <c r="J690" t="n">
        <v>203</v>
      </c>
      <c r="K690" t="inlineStr"/>
      <c r="L690" t="n">
        <v>203</v>
      </c>
    </row>
    <row r="691">
      <c r="A691" s="1">
        <f>Hyperlink("https://www.wallsandfloors.co.uk/vena-biana-bevelled-gloss-15x75-tiles","Product")</f>
        <v/>
      </c>
      <c r="B691" s="1" t="inlineStr">
        <is>
          <t>37790</t>
        </is>
      </c>
      <c r="C691" s="1" t="inlineStr">
        <is>
          <t>Vena Biana Bevelled Gloss 15X7.5 Tiles</t>
        </is>
      </c>
      <c r="D691" s="1" t="inlineStr">
        <is>
          <t>150x75x7mm</t>
        </is>
      </c>
      <c r="E691" s="1" t="n">
        <v>26.15</v>
      </c>
      <c r="F691" s="1" t="n">
        <v>0</v>
      </c>
      <c r="G691" s="1" t="inlineStr">
        <is>
          <t>SQM</t>
        </is>
      </c>
      <c r="H691" s="1" t="inlineStr">
        <is>
          <t>Ceramic</t>
        </is>
      </c>
      <c r="I691" s="1" t="inlineStr">
        <is>
          <t>Gloss</t>
        </is>
      </c>
      <c r="J691" t="inlineStr"/>
      <c r="K691" t="inlineStr">
        <is>
          <t>In Stock</t>
        </is>
      </c>
      <c r="L691" t="inlineStr">
        <is>
          <t>In Stock</t>
        </is>
      </c>
    </row>
    <row r="692">
      <c r="A692" s="1">
        <f>Hyperlink("https://www.wallsandfloors.co.uk/vanilla-strip-150x25mm-tiles","Product")</f>
        <v/>
      </c>
      <c r="B692" s="1" t="inlineStr">
        <is>
          <t>990258</t>
        </is>
      </c>
      <c r="C692" s="1" t="inlineStr">
        <is>
          <t>Vanilla Strip Tiles</t>
        </is>
      </c>
      <c r="D692" s="1" t="inlineStr">
        <is>
          <t>150x25x9-10mm</t>
        </is>
      </c>
      <c r="E692" s="1" t="n">
        <v>2.37</v>
      </c>
      <c r="F692" s="1" t="n">
        <v>0</v>
      </c>
      <c r="G692" s="1" t="inlineStr">
        <is>
          <t>SQM</t>
        </is>
      </c>
      <c r="H692" s="1" t="inlineStr">
        <is>
          <t>Porcelain</t>
        </is>
      </c>
      <c r="I692" s="1" t="inlineStr">
        <is>
          <t>Matt</t>
        </is>
      </c>
      <c r="J692" t="inlineStr"/>
      <c r="K692" t="n">
        <v>134</v>
      </c>
      <c r="L692" t="n">
        <v>134</v>
      </c>
    </row>
    <row r="693">
      <c r="A693" s="1">
        <f>Hyperlink("https://www.wallsandfloors.co.uk/vanilla-squares-50mm-tiles","Product")</f>
        <v/>
      </c>
      <c r="B693" s="1" t="inlineStr">
        <is>
          <t>990098</t>
        </is>
      </c>
      <c r="C693" s="1" t="inlineStr">
        <is>
          <t>Vanilla Squares 50mm Tiles</t>
        </is>
      </c>
      <c r="D693" s="1" t="inlineStr">
        <is>
          <t>50x50x9-10mm</t>
        </is>
      </c>
      <c r="E693" s="1" t="n">
        <v>0.67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230</v>
      </c>
      <c r="K693" t="n">
        <v>230</v>
      </c>
      <c r="L693" t="n">
        <v>230</v>
      </c>
    </row>
    <row r="694">
      <c r="A694" s="1">
        <f>Hyperlink("https://www.wallsandfloors.co.uk/vanilla-squares-100mm-tiles","Product")</f>
        <v/>
      </c>
      <c r="B694" s="1" t="inlineStr">
        <is>
          <t>990048</t>
        </is>
      </c>
      <c r="C694" s="1" t="inlineStr">
        <is>
          <t>Vanilla Squares 100mm Tiles</t>
        </is>
      </c>
      <c r="D694" s="1" t="inlineStr">
        <is>
          <t>100x100x9-10mm</t>
        </is>
      </c>
      <c r="E694" s="1" t="n">
        <v>1.62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inlineStr"/>
      <c r="K694" t="n">
        <v>184</v>
      </c>
      <c r="L694" t="n">
        <v>184</v>
      </c>
    </row>
    <row r="695">
      <c r="A695" s="1">
        <f>Hyperlink("https://www.wallsandfloors.co.uk/urbanique-tiles-stone-field-tiles","Product")</f>
        <v/>
      </c>
      <c r="B695" s="1" t="inlineStr">
        <is>
          <t>10449</t>
        </is>
      </c>
      <c r="C695" s="1" t="inlineStr">
        <is>
          <t>Stone Field Tiles</t>
        </is>
      </c>
      <c r="D695" s="1" t="inlineStr">
        <is>
          <t>360x275x8mm</t>
        </is>
      </c>
      <c r="E695" s="1" t="n">
        <v>24.95</v>
      </c>
      <c r="F695" s="1" t="n">
        <v>0</v>
      </c>
      <c r="G695" s="1" t="inlineStr">
        <is>
          <t>SQM</t>
        </is>
      </c>
      <c r="H695" s="1" t="inlineStr">
        <is>
          <t>Ceramic</t>
        </is>
      </c>
      <c r="I695" s="1" t="inlineStr">
        <is>
          <t>Satin</t>
        </is>
      </c>
      <c r="J695" t="inlineStr">
        <is>
          <t>In Stock</t>
        </is>
      </c>
      <c r="K695" t="inlineStr">
        <is>
          <t>In Stock</t>
        </is>
      </c>
      <c r="L695" t="inlineStr">
        <is>
          <t>In Stock</t>
        </is>
      </c>
    </row>
    <row r="696">
      <c r="A696" s="1">
        <f>Hyperlink("https://www.wallsandfloors.co.uk/urbanique-tiles-honey-field-tiles","Product")</f>
        <v/>
      </c>
      <c r="B696" s="1" t="inlineStr">
        <is>
          <t>10844</t>
        </is>
      </c>
      <c r="C696" s="1" t="inlineStr">
        <is>
          <t>Honey Field Tiles</t>
        </is>
      </c>
      <c r="D696" s="1" t="inlineStr">
        <is>
          <t>360x275x9mm</t>
        </is>
      </c>
      <c r="E696" s="1" t="n">
        <v>24.95</v>
      </c>
      <c r="F696" s="1" t="n">
        <v>0</v>
      </c>
      <c r="G696" s="1" t="inlineStr">
        <is>
          <t>SQM</t>
        </is>
      </c>
      <c r="H696" s="1" t="inlineStr">
        <is>
          <t>Ceramic</t>
        </is>
      </c>
      <c r="I696" s="1" t="inlineStr">
        <is>
          <t>Satin</t>
        </is>
      </c>
      <c r="J696" t="inlineStr">
        <is>
          <t>In Stock</t>
        </is>
      </c>
      <c r="K696" t="inlineStr">
        <is>
          <t>In Stock</t>
        </is>
      </c>
      <c r="L696" t="inlineStr">
        <is>
          <t>In Stock</t>
        </is>
      </c>
    </row>
    <row r="697">
      <c r="A697" s="1">
        <f>Hyperlink("https://www.wallsandfloors.co.uk/urban-mix-waterfall-wood-tiles","Product")</f>
        <v/>
      </c>
      <c r="B697" s="1" t="inlineStr">
        <is>
          <t>15682</t>
        </is>
      </c>
      <c r="C697" s="1" t="inlineStr">
        <is>
          <t>BoCoCa Urban Mix Waterfall Wood Tiles</t>
        </is>
      </c>
      <c r="D697" s="1" t="inlineStr">
        <is>
          <t>625x320x9mm</t>
        </is>
      </c>
      <c r="E697" s="1" t="n">
        <v>40.95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Matt</t>
        </is>
      </c>
      <c r="J697" t="inlineStr">
        <is>
          <t>In Stock</t>
        </is>
      </c>
      <c r="K697" t="inlineStr">
        <is>
          <t>In Stock</t>
        </is>
      </c>
      <c r="L697" t="inlineStr">
        <is>
          <t>In Stock</t>
        </is>
      </c>
    </row>
    <row r="698">
      <c r="A698" s="1">
        <f>Hyperlink("https://www.wallsandfloors.co.uk/unicolour-tiles-cinza-matt-tiles","Product")</f>
        <v/>
      </c>
      <c r="B698" s="1" t="inlineStr">
        <is>
          <t>10812</t>
        </is>
      </c>
      <c r="C698" s="1" t="inlineStr">
        <is>
          <t>Unicolour Cinza Matt Tiles</t>
        </is>
      </c>
      <c r="D698" s="1" t="inlineStr">
        <is>
          <t>300x300x6mm</t>
        </is>
      </c>
      <c r="E698" s="1" t="n">
        <v>13.5</v>
      </c>
      <c r="F698" s="1" t="n">
        <v>0</v>
      </c>
      <c r="G698" s="1" t="inlineStr">
        <is>
          <t>SQM</t>
        </is>
      </c>
      <c r="H698" s="1" t="inlineStr">
        <is>
          <t>Porcelain</t>
        </is>
      </c>
      <c r="I698" s="1" t="inlineStr">
        <is>
          <t>Matt</t>
        </is>
      </c>
      <c r="J698" t="n">
        <v>100</v>
      </c>
      <c r="K698" t="n">
        <v>100</v>
      </c>
      <c r="L698" t="n">
        <v>100</v>
      </c>
    </row>
    <row r="699">
      <c r="A699" s="1">
        <f>Hyperlink("https://www.wallsandfloors.co.uk/vena-biana-flat-matt-30x10-tiles","Product")</f>
        <v/>
      </c>
      <c r="B699" s="1" t="inlineStr">
        <is>
          <t>37791</t>
        </is>
      </c>
      <c r="C699" s="1" t="inlineStr">
        <is>
          <t>Vena Biana Flat Matt Tiles</t>
        </is>
      </c>
      <c r="D699" s="1" t="inlineStr">
        <is>
          <t>300x100x7.5mm</t>
        </is>
      </c>
      <c r="E699" s="1" t="n">
        <v>23.15</v>
      </c>
      <c r="F699" s="1" t="n">
        <v>0</v>
      </c>
      <c r="G699" s="1" t="inlineStr">
        <is>
          <t>SQM</t>
        </is>
      </c>
      <c r="H699" s="1" t="inlineStr">
        <is>
          <t>Ceramic</t>
        </is>
      </c>
      <c r="I699" s="1" t="inlineStr">
        <is>
          <t>Matt</t>
        </is>
      </c>
      <c r="J699" t="inlineStr">
        <is>
          <t>Out of Stock</t>
        </is>
      </c>
      <c r="K699" t="inlineStr"/>
      <c r="L699" t="inlineStr">
        <is>
          <t>Out of Stock</t>
        </is>
      </c>
    </row>
    <row r="700">
      <c r="A700" s="1">
        <f>Hyperlink("https://www.wallsandfloors.co.uk/unglazed-anthracite-6774","Product")</f>
        <v/>
      </c>
      <c r="B700" s="1" t="inlineStr">
        <is>
          <t>6774</t>
        </is>
      </c>
      <c r="C700" s="1" t="inlineStr">
        <is>
          <t>Victorian Unglazed Anthracite Quarry Tiles</t>
        </is>
      </c>
      <c r="D700" s="1" t="inlineStr">
        <is>
          <t>100x100x9mm</t>
        </is>
      </c>
      <c r="E700" s="1" t="n">
        <v>0.62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inlineStr"/>
      <c r="L700" t="n">
        <v>1</v>
      </c>
    </row>
    <row r="701">
      <c r="A701" s="1">
        <f>Hyperlink("https://www.wallsandfloors.co.uk/under-tile-heating-mat-230v-3000w-20-sqm","Product")</f>
        <v/>
      </c>
      <c r="B701" s="1" t="inlineStr">
        <is>
          <t>15519</t>
        </is>
      </c>
      <c r="C701" s="1" t="inlineStr">
        <is>
          <t>Underfloor Tile Heating Mat 230V / 3000W 20 Sqm</t>
        </is>
      </c>
      <c r="D701" s="1" t="inlineStr">
        <is>
          <t>20 Sqm</t>
        </is>
      </c>
      <c r="E701" s="1" t="n">
        <v>528</v>
      </c>
      <c r="F701" s="1" t="n">
        <v>0</v>
      </c>
      <c r="G701" s="1" t="inlineStr">
        <is>
          <t>Units</t>
        </is>
      </c>
      <c r="H701" s="1" t="inlineStr">
        <is>
          <t>Underfloor Tile Heating</t>
        </is>
      </c>
      <c r="I701" s="1" t="inlineStr">
        <is>
          <t>-</t>
        </is>
      </c>
      <c r="J701" t="n">
        <v>2</v>
      </c>
      <c r="K701" t="n">
        <v>2</v>
      </c>
      <c r="L701" t="n">
        <v>2</v>
      </c>
    </row>
    <row r="702">
      <c r="A702" s="1">
        <f>Hyperlink("https://www.wallsandfloors.co.uk/under-tile-heating-mat-230v-2400w-16-sqm-25314","Product")</f>
        <v/>
      </c>
      <c r="B702" s="1" t="inlineStr">
        <is>
          <t>15518</t>
        </is>
      </c>
      <c r="C702" s="1" t="inlineStr">
        <is>
          <t>Underfloor Tile Heating Mat 230V / 2400W 16 Sqm</t>
        </is>
      </c>
      <c r="D702" s="1" t="inlineStr">
        <is>
          <t>16 Sqm</t>
        </is>
      </c>
      <c r="E702" s="1" t="n">
        <v>422.4</v>
      </c>
      <c r="F702" s="1" t="n">
        <v>0</v>
      </c>
      <c r="G702" s="1" t="inlineStr">
        <is>
          <t>Units</t>
        </is>
      </c>
      <c r="H702" s="1" t="inlineStr">
        <is>
          <t>Underfloor Tile Heating</t>
        </is>
      </c>
      <c r="I702" s="1" t="inlineStr">
        <is>
          <t>-</t>
        </is>
      </c>
      <c r="J702" t="n">
        <v>1</v>
      </c>
      <c r="K702" t="n">
        <v>1</v>
      </c>
      <c r="L702" t="n">
        <v>1</v>
      </c>
    </row>
    <row r="703">
      <c r="A703" s="1">
        <f>Hyperlink("https://www.wallsandfloors.co.uk/ultracolour-plus-musk-grey-tile-grout","Product")</f>
        <v/>
      </c>
      <c r="B703" s="1" t="inlineStr">
        <is>
          <t>38885</t>
        </is>
      </c>
      <c r="C703" s="1" t="inlineStr">
        <is>
          <t>Mapei Ultracolour Plus 116 Musk Grey Tile Grout 5 Kg Per Unit</t>
        </is>
      </c>
      <c r="D703" s="1" t="inlineStr">
        <is>
          <t>5 Kg</t>
        </is>
      </c>
      <c r="E703" s="1" t="n">
        <v>13.95</v>
      </c>
      <c r="F703" s="1" t="n">
        <v>0</v>
      </c>
      <c r="G703" s="1" t="inlineStr">
        <is>
          <t>Unit</t>
        </is>
      </c>
      <c r="H703" s="1" t="inlineStr">
        <is>
          <t>-</t>
        </is>
      </c>
      <c r="I703" s="1" t="inlineStr">
        <is>
          <t>-</t>
        </is>
      </c>
      <c r="J703" t="inlineStr">
        <is>
          <t>In Stock</t>
        </is>
      </c>
      <c r="K703" t="inlineStr">
        <is>
          <t>In Stock</t>
        </is>
      </c>
      <c r="L703" t="inlineStr">
        <is>
          <t>In Stock</t>
        </is>
      </c>
    </row>
    <row r="704">
      <c r="A704" s="1">
        <f>Hyperlink("https://www.wallsandfloors.co.uk/ultracolour-plus-171-turquoise-5kg","Product")</f>
        <v/>
      </c>
      <c r="B704" s="1" t="inlineStr">
        <is>
          <t>33372</t>
        </is>
      </c>
      <c r="C704" s="1" t="inlineStr">
        <is>
          <t>Ultracolour Plus 171 Turquoise Tile Grout</t>
        </is>
      </c>
      <c r="D704" s="1" t="inlineStr">
        <is>
          <t>5 Kg</t>
        </is>
      </c>
      <c r="E704" s="1" t="n">
        <v>42.95</v>
      </c>
      <c r="F704" s="1" t="n">
        <v>0</v>
      </c>
      <c r="G704" s="1" t="inlineStr">
        <is>
          <t>Unit</t>
        </is>
      </c>
      <c r="H704" s="1" t="inlineStr">
        <is>
          <t>Floor Grout, Wall Grout</t>
        </is>
      </c>
      <c r="I704" s="1" t="inlineStr">
        <is>
          <t>-</t>
        </is>
      </c>
      <c r="J704" t="inlineStr">
        <is>
          <t>In Stock</t>
        </is>
      </c>
      <c r="K704" t="inlineStr"/>
      <c r="L704" t="inlineStr">
        <is>
          <t>In Stock</t>
        </is>
      </c>
    </row>
    <row r="705">
      <c r="A705" s="1">
        <f>Hyperlink("https://www.wallsandfloors.co.uk/ultracolour-plus-134-medium-silk-tile-grout","Product")</f>
        <v/>
      </c>
      <c r="B705" s="1" t="inlineStr">
        <is>
          <t>15330</t>
        </is>
      </c>
      <c r="C705" s="1" t="inlineStr">
        <is>
          <t>Mapei Ultracolour Plus 134 Medium Silk Tile Grout 5 Kg</t>
        </is>
      </c>
      <c r="D705" s="1" t="inlineStr">
        <is>
          <t>5 Kg</t>
        </is>
      </c>
      <c r="E705" s="1" t="n">
        <v>13.95</v>
      </c>
      <c r="F705" s="1" t="n">
        <v>0</v>
      </c>
      <c r="G705" s="1" t="inlineStr">
        <is>
          <t>Unit</t>
        </is>
      </c>
      <c r="H705" s="1" t="inlineStr">
        <is>
          <t>Grout</t>
        </is>
      </c>
      <c r="I705" s="1" t="inlineStr">
        <is>
          <t>-</t>
        </is>
      </c>
      <c r="J705" t="inlineStr">
        <is>
          <t>In Stock</t>
        </is>
      </c>
      <c r="K705" t="inlineStr">
        <is>
          <t>In Stock</t>
        </is>
      </c>
      <c r="L705" t="inlineStr">
        <is>
          <t>In Stock</t>
        </is>
      </c>
    </row>
    <row r="706">
      <c r="A706" s="1">
        <f>Hyperlink("https://www.wallsandfloors.co.uk/uffmoor-wood-honey-tiles","Product")</f>
        <v/>
      </c>
      <c r="B706" s="1" t="inlineStr">
        <is>
          <t>39128</t>
        </is>
      </c>
      <c r="C706" s="1" t="inlineStr">
        <is>
          <t>Uffmoor Honey Wood Effect Tiles</t>
        </is>
      </c>
      <c r="D706" s="1" t="inlineStr">
        <is>
          <t>900x150x9mm</t>
        </is>
      </c>
      <c r="E706" s="1" t="n">
        <v>18.95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inlineStr">
        <is>
          <t>In Stock</t>
        </is>
      </c>
      <c r="K706" t="inlineStr"/>
      <c r="L706" t="inlineStr">
        <is>
          <t>In Stock</t>
        </is>
      </c>
    </row>
    <row r="707">
      <c r="A707" s="1">
        <f>Hyperlink("https://www.wallsandfloors.co.uk/tx900-n-tile-cutter","Product")</f>
        <v/>
      </c>
      <c r="B707" s="1" t="inlineStr">
        <is>
          <t>27487</t>
        </is>
      </c>
      <c r="C707" s="1" t="inlineStr">
        <is>
          <t>TX-900-N Manual Tile Cutter</t>
        </is>
      </c>
      <c r="D707" s="1" t="inlineStr">
        <is>
          <t>930mm</t>
        </is>
      </c>
      <c r="E707" s="1" t="n">
        <v>569.95</v>
      </c>
      <c r="F707" s="1" t="n">
        <v>0</v>
      </c>
      <c r="G707" s="1" t="inlineStr">
        <is>
          <t>Unit</t>
        </is>
      </c>
      <c r="H707" s="1" t="inlineStr">
        <is>
          <t>Manual Tile Cutters</t>
        </is>
      </c>
      <c r="I707" s="1" t="inlineStr">
        <is>
          <t>-</t>
        </is>
      </c>
      <c r="J707" t="inlineStr">
        <is>
          <t>In Stock</t>
        </is>
      </c>
      <c r="K707" t="inlineStr">
        <is>
          <t>In Stock</t>
        </is>
      </c>
      <c r="L707" t="inlineStr">
        <is>
          <t>In Stock</t>
        </is>
      </c>
    </row>
    <row r="708">
      <c r="A708" s="1">
        <f>Hyperlink("https://www.wallsandfloors.co.uk/tvh-250-superpro-hard-materials-diamond-blade","Product")</f>
        <v/>
      </c>
      <c r="B708" s="1" t="inlineStr">
        <is>
          <t>40405</t>
        </is>
      </c>
      <c r="C708" s="1" t="inlineStr">
        <is>
          <t>TVH 250mm Hard Materials Diamond Blade</t>
        </is>
      </c>
      <c r="D708" s="1" t="inlineStr">
        <is>
          <t>250mm</t>
        </is>
      </c>
      <c r="E708" s="1" t="n">
        <v>109.45</v>
      </c>
      <c r="F708" s="1" t="n">
        <v>0</v>
      </c>
      <c r="G708" s="1" t="inlineStr">
        <is>
          <t>Unit</t>
        </is>
      </c>
      <c r="H708" s="1" t="inlineStr">
        <is>
          <t>Accessories</t>
        </is>
      </c>
      <c r="I708" s="1" t="inlineStr">
        <is>
          <t>-</t>
        </is>
      </c>
      <c r="J708" t="inlineStr">
        <is>
          <t>In Stock</t>
        </is>
      </c>
      <c r="K708" t="inlineStr">
        <is>
          <t>In Stock</t>
        </is>
      </c>
      <c r="L708" t="inlineStr">
        <is>
          <t>In Stock</t>
        </is>
      </c>
    </row>
    <row r="709">
      <c r="A709" s="1">
        <f>Hyperlink("https://www.wallsandfloors.co.uk/tvh-200-superpro-hard-materials-diamond-blade","Product")</f>
        <v/>
      </c>
      <c r="B709" s="1" t="inlineStr">
        <is>
          <t>40404</t>
        </is>
      </c>
      <c r="C709" s="1" t="inlineStr">
        <is>
          <t>TVH 200mm Hard Materials Diamond Blade</t>
        </is>
      </c>
      <c r="D709" s="1" t="inlineStr">
        <is>
          <t>200mm</t>
        </is>
      </c>
      <c r="E709" s="1" t="n">
        <v>58.75</v>
      </c>
      <c r="F709" s="1" t="n">
        <v>0</v>
      </c>
      <c r="G709" s="1" t="inlineStr">
        <is>
          <t>Unit</t>
        </is>
      </c>
      <c r="H709" s="1" t="inlineStr">
        <is>
          <t>Accessories</t>
        </is>
      </c>
      <c r="I709" s="1" t="inlineStr">
        <is>
          <t>-</t>
        </is>
      </c>
      <c r="J709" t="inlineStr">
        <is>
          <t>In Stock</t>
        </is>
      </c>
      <c r="K709" t="inlineStr"/>
      <c r="L709" t="inlineStr">
        <is>
          <t>In Stock</t>
        </is>
      </c>
    </row>
    <row r="710">
      <c r="A710" s="1">
        <f>Hyperlink("https://www.wallsandfloors.co.uk/tva-115-superpro-hard-materials-diamond-blade","Product")</f>
        <v/>
      </c>
      <c r="B710" s="1" t="inlineStr">
        <is>
          <t>40403</t>
        </is>
      </c>
      <c r="C710" s="1" t="inlineStr">
        <is>
          <t>TVA 115mm Hard Materials Diamond Blade</t>
        </is>
      </c>
      <c r="D710" s="1" t="inlineStr">
        <is>
          <t>115mm</t>
        </is>
      </c>
      <c r="E710" s="1" t="n">
        <v>31.25</v>
      </c>
      <c r="F710" s="1" t="n">
        <v>0</v>
      </c>
      <c r="G710" s="1" t="inlineStr">
        <is>
          <t>Unit</t>
        </is>
      </c>
      <c r="H710" s="1" t="inlineStr">
        <is>
          <t>Accessories</t>
        </is>
      </c>
      <c r="I710" s="1" t="inlineStr">
        <is>
          <t>-</t>
        </is>
      </c>
      <c r="J710" t="inlineStr">
        <is>
          <t>In Stock</t>
        </is>
      </c>
      <c r="K710" t="inlineStr">
        <is>
          <t>In Stock</t>
        </is>
      </c>
      <c r="L710" t="inlineStr">
        <is>
          <t>In Stock</t>
        </is>
      </c>
    </row>
    <row r="711">
      <c r="A711" s="1">
        <f>Hyperlink("https://www.wallsandfloors.co.uk/under-tile-heating-mat-230v-3600w-24-sqm-25313","Product")</f>
        <v/>
      </c>
      <c r="B711" s="1" t="inlineStr">
        <is>
          <t>15520</t>
        </is>
      </c>
      <c r="C711" s="1" t="inlineStr">
        <is>
          <t>Underfloor Tile Heating Mat 230V / 3600W 24 Sqm</t>
        </is>
      </c>
      <c r="D711" s="1" t="inlineStr">
        <is>
          <t>24 Sqm</t>
        </is>
      </c>
      <c r="E711" s="1" t="n">
        <v>788.04</v>
      </c>
      <c r="F711" s="1" t="n">
        <v>0</v>
      </c>
      <c r="G711" s="1" t="inlineStr">
        <is>
          <t>Units</t>
        </is>
      </c>
      <c r="H711" s="1" t="inlineStr">
        <is>
          <t>Underfloor Tile Heating</t>
        </is>
      </c>
      <c r="I711" s="1" t="inlineStr">
        <is>
          <t>-</t>
        </is>
      </c>
      <c r="J711" t="inlineStr"/>
      <c r="K711" t="n">
        <v>4</v>
      </c>
      <c r="L711" t="n">
        <v>4</v>
      </c>
    </row>
    <row r="712">
      <c r="A712" s="1">
        <f>Hyperlink("https://www.wallsandfloors.co.uk/verde-bottella-8414","Product")</f>
        <v/>
      </c>
      <c r="B712" s="1" t="inlineStr">
        <is>
          <t>8414</t>
        </is>
      </c>
      <c r="C712" s="1" t="inlineStr">
        <is>
          <t>Metro Green Park Green Gloss Tiles</t>
        </is>
      </c>
      <c r="D712" s="1" t="inlineStr">
        <is>
          <t>200x100x7mm</t>
        </is>
      </c>
      <c r="E712" s="1" t="n">
        <v>20.95</v>
      </c>
      <c r="F712" s="1" t="n">
        <v>0</v>
      </c>
      <c r="G712" s="1" t="inlineStr">
        <is>
          <t>SQM</t>
        </is>
      </c>
      <c r="H712" s="1" t="inlineStr">
        <is>
          <t>Ceramic</t>
        </is>
      </c>
      <c r="I712" s="1" t="inlineStr">
        <is>
          <t>Gloss</t>
        </is>
      </c>
      <c r="J712" t="inlineStr"/>
      <c r="K712" t="inlineStr">
        <is>
          <t>Out of Stock</t>
        </is>
      </c>
      <c r="L712" t="inlineStr">
        <is>
          <t>Out of Stock</t>
        </is>
      </c>
    </row>
    <row r="713">
      <c r="A713" s="1">
        <f>Hyperlink("https://www.wallsandfloors.co.uk/vernice-abyssal-tiles","Product")</f>
        <v/>
      </c>
      <c r="B713" s="1" t="inlineStr">
        <is>
          <t>40378</t>
        </is>
      </c>
      <c r="C713" s="1" t="inlineStr">
        <is>
          <t>Vernice Abyssal Tiles</t>
        </is>
      </c>
      <c r="D713" s="1" t="inlineStr">
        <is>
          <t>130x130x8mm</t>
        </is>
      </c>
      <c r="E713" s="1" t="n">
        <v>28.95</v>
      </c>
      <c r="F713" s="1" t="n">
        <v>0</v>
      </c>
      <c r="G713" s="1" t="inlineStr">
        <is>
          <t>SQM</t>
        </is>
      </c>
      <c r="H713" s="1" t="inlineStr">
        <is>
          <t>Ceramic</t>
        </is>
      </c>
      <c r="I713" s="1" t="inlineStr">
        <is>
          <t>Gloss</t>
        </is>
      </c>
      <c r="J713" t="n">
        <v>233</v>
      </c>
      <c r="K713" t="n">
        <v>233</v>
      </c>
      <c r="L713" t="n">
        <v>233</v>
      </c>
    </row>
    <row r="714">
      <c r="A714" s="1">
        <f>Hyperlink("https://www.wallsandfloors.co.uk/vernice-bon-bon-pink-tiles","Product")</f>
        <v/>
      </c>
      <c r="B714" s="1" t="inlineStr">
        <is>
          <t>40379</t>
        </is>
      </c>
      <c r="C714" s="1" t="inlineStr">
        <is>
          <t>Vernice Bon Bon Pink Tiles</t>
        </is>
      </c>
      <c r="D714" s="1" t="inlineStr">
        <is>
          <t>130x130x8mm</t>
        </is>
      </c>
      <c r="E714" s="1" t="n">
        <v>35.95</v>
      </c>
      <c r="F714" s="1" t="n">
        <v>0</v>
      </c>
      <c r="G714" s="1" t="inlineStr">
        <is>
          <t>SQM</t>
        </is>
      </c>
      <c r="H714" s="1" t="inlineStr">
        <is>
          <t>Ceramic</t>
        </is>
      </c>
      <c r="I714" s="1" t="inlineStr">
        <is>
          <t>Gloss</t>
        </is>
      </c>
      <c r="J714" t="inlineStr">
        <is>
          <t>Out of Stock</t>
        </is>
      </c>
      <c r="K714" t="inlineStr">
        <is>
          <t>Out of Stock</t>
        </is>
      </c>
      <c r="L714" t="inlineStr">
        <is>
          <t>Out of Stock</t>
        </is>
      </c>
    </row>
    <row r="715">
      <c r="A715" s="1">
        <f>Hyperlink("https://www.wallsandfloors.co.uk/vintage-wood-plank-tiles-grigio-970x157-anti-slip-plank-tiles","Product")</f>
        <v/>
      </c>
      <c r="B715" s="1" t="inlineStr">
        <is>
          <t>13373</t>
        </is>
      </c>
      <c r="C715" s="1" t="inlineStr">
        <is>
          <t>Vintage Anti-Slip Grey Plank Wood Effect Tiles</t>
        </is>
      </c>
      <c r="D715" s="1" t="inlineStr">
        <is>
          <t>970x157x10mm</t>
        </is>
      </c>
      <c r="E715" s="1" t="n">
        <v>34.35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33</v>
      </c>
      <c r="K715" t="n">
        <v>33</v>
      </c>
      <c r="L715" t="n">
        <v>33</v>
      </c>
    </row>
    <row r="716">
      <c r="A716" s="1">
        <f>Hyperlink("https://www.wallsandfloors.co.uk/vintage-wood-plank-tiles-bianco-970x157-anti-slip-plank-tiles","Product")</f>
        <v/>
      </c>
      <c r="B716" s="1" t="inlineStr">
        <is>
          <t>13369</t>
        </is>
      </c>
      <c r="C716" s="1" t="inlineStr">
        <is>
          <t>Vintage Anti-Slip White Plank Wood Effect Tiles</t>
        </is>
      </c>
      <c r="D716" s="1" t="inlineStr">
        <is>
          <t>970x157x10mm</t>
        </is>
      </c>
      <c r="E716" s="1" t="n">
        <v>34.35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Matt</t>
        </is>
      </c>
      <c r="J716" t="inlineStr"/>
      <c r="K716" t="n">
        <v>39</v>
      </c>
      <c r="L716" t="n">
        <v>39</v>
      </c>
    </row>
    <row r="717">
      <c r="A717" s="1">
        <f>Hyperlink("https://www.wallsandfloors.co.uk/vintage-wood-plank-tiles-antracite-970x237-anti-slip-plank-tiles","Product")</f>
        <v/>
      </c>
      <c r="B717" s="1" t="inlineStr">
        <is>
          <t>13391</t>
        </is>
      </c>
      <c r="C717" s="1" t="inlineStr">
        <is>
          <t>Vintage Anti-Slip Antracite Plank Wood Effect Tiles</t>
        </is>
      </c>
      <c r="D717" s="1" t="inlineStr">
        <is>
          <t>970x237x10mm</t>
        </is>
      </c>
      <c r="E717" s="1" t="n">
        <v>32.95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Matt</t>
        </is>
      </c>
      <c r="J717" t="inlineStr"/>
      <c r="K717" t="n">
        <v>66</v>
      </c>
      <c r="L717" t="n">
        <v>66</v>
      </c>
    </row>
    <row r="718">
      <c r="A718" s="1">
        <f>Hyperlink("https://www.wallsandfloors.co.uk/vintage-quarry-tiles-blue-decor-vintage-tiles","Product")</f>
        <v/>
      </c>
      <c r="B718" s="1" t="inlineStr">
        <is>
          <t>14187</t>
        </is>
      </c>
      <c r="C718" s="1" t="inlineStr">
        <is>
          <t>Blue Decor Vintage Pattern Tiles</t>
        </is>
      </c>
      <c r="D718" s="1" t="inlineStr">
        <is>
          <t>250x250x14mm</t>
        </is>
      </c>
      <c r="E718" s="1" t="n">
        <v>40.95</v>
      </c>
      <c r="F718" s="1" t="n">
        <v>0</v>
      </c>
      <c r="G718" s="1" t="inlineStr">
        <is>
          <t>SQM</t>
        </is>
      </c>
      <c r="H718" s="1" t="inlineStr">
        <is>
          <t>Porcelain</t>
        </is>
      </c>
      <c r="I718" s="1" t="inlineStr">
        <is>
          <t>Matt</t>
        </is>
      </c>
      <c r="J718" t="inlineStr">
        <is>
          <t>In Stock</t>
        </is>
      </c>
      <c r="K718" t="inlineStr">
        <is>
          <t>In Stock</t>
        </is>
      </c>
      <c r="L718" t="inlineStr">
        <is>
          <t>In Stock</t>
        </is>
      </c>
    </row>
    <row r="719">
      <c r="A719" s="1">
        <f>Hyperlink("https://www.wallsandfloors.co.uk/vine-mosaic-effect-tiles","Product")</f>
        <v/>
      </c>
      <c r="B719" s="1" t="inlineStr">
        <is>
          <t>13748</t>
        </is>
      </c>
      <c r="C719" s="1" t="inlineStr">
        <is>
          <t>Athena Vine Mosaic Effect Tiles</t>
        </is>
      </c>
      <c r="D719" s="1" t="inlineStr">
        <is>
          <t>500x250x8mm</t>
        </is>
      </c>
      <c r="E719" s="1" t="n">
        <v>15.95</v>
      </c>
      <c r="F719" s="1" t="n">
        <v>0</v>
      </c>
      <c r="G719" s="1" t="inlineStr">
        <is>
          <t>Tile</t>
        </is>
      </c>
      <c r="H719" s="1" t="inlineStr">
        <is>
          <t>Ceramic</t>
        </is>
      </c>
      <c r="I719" s="1" t="inlineStr">
        <is>
          <t>Gloss</t>
        </is>
      </c>
      <c r="J719" t="inlineStr"/>
      <c r="K719" t="inlineStr">
        <is>
          <t>In Stock</t>
        </is>
      </c>
      <c r="L719" t="inlineStr">
        <is>
          <t>In Stock</t>
        </is>
      </c>
    </row>
    <row r="720">
      <c r="A720" s="1">
        <f>Hyperlink("https://www.wallsandfloors.co.uk/victorian-unglazed-hexagon-tiles-white-hexagon-tiles","Product")</f>
        <v/>
      </c>
      <c r="B720" s="1" t="inlineStr">
        <is>
          <t>12873</t>
        </is>
      </c>
      <c r="C720" s="1" t="inlineStr">
        <is>
          <t>White Hexagon Tiles</t>
        </is>
      </c>
      <c r="D720" s="1" t="inlineStr">
        <is>
          <t>115x100x8mm</t>
        </is>
      </c>
      <c r="E720" s="1" t="n">
        <v>0.61</v>
      </c>
      <c r="F720" s="1" t="n">
        <v>0</v>
      </c>
      <c r="G720" s="1" t="inlineStr">
        <is>
          <t>SQM</t>
        </is>
      </c>
      <c r="H720" s="1" t="inlineStr">
        <is>
          <t>Porcelain</t>
        </is>
      </c>
      <c r="I720" s="1" t="inlineStr">
        <is>
          <t>Matt</t>
        </is>
      </c>
      <c r="J720" t="n">
        <v>60</v>
      </c>
      <c r="K720" t="n">
        <v>60</v>
      </c>
      <c r="L720" t="n">
        <v>60</v>
      </c>
    </row>
    <row r="721">
      <c r="A721" s="1">
        <f>Hyperlink("https://www.wallsandfloors.co.uk/victorian-unglazed-150x150-tiles-unglazed-white-tiles","Product")</f>
        <v/>
      </c>
      <c r="B721" s="1" t="inlineStr">
        <is>
          <t>8976</t>
        </is>
      </c>
      <c r="C721" s="1" t="inlineStr">
        <is>
          <t>Victorian Unglazed White Quarry Tiles</t>
        </is>
      </c>
      <c r="D721" s="1" t="inlineStr">
        <is>
          <t>150x150x8mm</t>
        </is>
      </c>
      <c r="E721" s="1" t="n">
        <v>100.95</v>
      </c>
      <c r="F721" s="1" t="n">
        <v>0</v>
      </c>
      <c r="G721" s="1" t="inlineStr">
        <is>
          <t>SQM</t>
        </is>
      </c>
      <c r="H721" s="1" t="inlineStr">
        <is>
          <t>Porcelain</t>
        </is>
      </c>
      <c r="I721" s="1" t="inlineStr">
        <is>
          <t>Matt</t>
        </is>
      </c>
      <c r="J721" t="inlineStr">
        <is>
          <t>In Stock</t>
        </is>
      </c>
      <c r="K721" t="inlineStr">
        <is>
          <t>In Stock</t>
        </is>
      </c>
      <c r="L721" t="inlineStr">
        <is>
          <t>In Stock</t>
        </is>
      </c>
    </row>
    <row r="722">
      <c r="A722" s="1">
        <f>Hyperlink("https://www.wallsandfloors.co.uk/victorian-unglazed-150x150-tiles-unglazed-super-white-tiles","Product")</f>
        <v/>
      </c>
      <c r="B722" s="1" t="inlineStr">
        <is>
          <t>11575</t>
        </is>
      </c>
      <c r="C722" s="1" t="inlineStr">
        <is>
          <t>Victorian Unglazed Super White Quarry Tiles</t>
        </is>
      </c>
      <c r="D722" s="1" t="inlineStr">
        <is>
          <t>150x150x8mm</t>
        </is>
      </c>
      <c r="E722" s="1" t="n">
        <v>2.04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Matt</t>
        </is>
      </c>
      <c r="J722" t="inlineStr"/>
      <c r="K722" t="n">
        <v>60</v>
      </c>
      <c r="L722" t="n">
        <v>60</v>
      </c>
    </row>
    <row r="723">
      <c r="A723" s="1">
        <f>Hyperlink("https://www.wallsandfloors.co.uk/victorian-unglazed-150x150-tiles-unglazed-red-tiles","Product")</f>
        <v/>
      </c>
      <c r="B723" s="1" t="inlineStr">
        <is>
          <t>8975</t>
        </is>
      </c>
      <c r="C723" s="1" t="inlineStr">
        <is>
          <t>Victorian Unglazed Quarry Red Tiles</t>
        </is>
      </c>
      <c r="D723" s="1" t="inlineStr">
        <is>
          <t>150x150x8mm</t>
        </is>
      </c>
      <c r="E723" s="1" t="n">
        <v>100.95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Matt</t>
        </is>
      </c>
      <c r="J723" t="inlineStr"/>
      <c r="K723" t="inlineStr">
        <is>
          <t>In Stock</t>
        </is>
      </c>
      <c r="L723" t="inlineStr">
        <is>
          <t>In Stock</t>
        </is>
      </c>
    </row>
    <row r="724">
      <c r="A724" s="1">
        <f>Hyperlink("https://www.wallsandfloors.co.uk/victorian-unglazed-150x150-tiles-unglazed-black-tiles","Product")</f>
        <v/>
      </c>
      <c r="B724" s="1" t="inlineStr">
        <is>
          <t>8974</t>
        </is>
      </c>
      <c r="C724" s="1" t="inlineStr">
        <is>
          <t>Victorian Unglazed Black Quarry Tiles</t>
        </is>
      </c>
      <c r="D724" s="1" t="inlineStr">
        <is>
          <t>150x150x8mm</t>
        </is>
      </c>
      <c r="E724" s="1" t="n">
        <v>100.95</v>
      </c>
      <c r="F724" s="1" t="n">
        <v>0</v>
      </c>
      <c r="G724" s="1" t="inlineStr">
        <is>
          <t>SQM</t>
        </is>
      </c>
      <c r="H724" s="1" t="inlineStr">
        <is>
          <t>Porcelain</t>
        </is>
      </c>
      <c r="I724" s="1" t="inlineStr">
        <is>
          <t>Matt</t>
        </is>
      </c>
      <c r="J724" t="inlineStr"/>
      <c r="K724" t="inlineStr">
        <is>
          <t>Out of Stock</t>
        </is>
      </c>
      <c r="L724" t="inlineStr">
        <is>
          <t>Out of Stock</t>
        </is>
      </c>
    </row>
    <row r="725">
      <c r="A725" s="1">
        <f>Hyperlink("https://www.wallsandfloors.co.uk/victorian-unglazed-100x100-tiles-unglazed-white-tiles","Product")</f>
        <v/>
      </c>
      <c r="B725" s="1" t="inlineStr">
        <is>
          <t>3647</t>
        </is>
      </c>
      <c r="C725" s="1" t="inlineStr">
        <is>
          <t>Victorian Unglazed White Quarry Tiles</t>
        </is>
      </c>
      <c r="D725" s="1" t="inlineStr">
        <is>
          <t>100x100x9mm</t>
        </is>
      </c>
      <c r="E725" s="1" t="n">
        <v>90.95</v>
      </c>
      <c r="F725" s="1" t="n">
        <v>0</v>
      </c>
      <c r="G725" s="1" t="inlineStr">
        <is>
          <t>SQM</t>
        </is>
      </c>
      <c r="H725" s="1" t="inlineStr">
        <is>
          <t>Porcelain</t>
        </is>
      </c>
      <c r="I725" s="1" t="inlineStr">
        <is>
          <t>Matt</t>
        </is>
      </c>
      <c r="J725" t="inlineStr">
        <is>
          <t>In Stock</t>
        </is>
      </c>
      <c r="K725" t="inlineStr">
        <is>
          <t>In Stock</t>
        </is>
      </c>
      <c r="L725" t="inlineStr">
        <is>
          <t>In Stock</t>
        </is>
      </c>
    </row>
    <row r="726">
      <c r="A726" s="1">
        <f>Hyperlink("https://www.wallsandfloors.co.uk/victorian-unglazed-100x100-tiles-unglazed-pale-grey-tiles","Product")</f>
        <v/>
      </c>
      <c r="B726" s="1" t="inlineStr">
        <is>
          <t>6772</t>
        </is>
      </c>
      <c r="C726" s="1" t="inlineStr">
        <is>
          <t>Victorian Unglazed Pale Grey Quarry Tiles</t>
        </is>
      </c>
      <c r="D726" s="1" t="inlineStr">
        <is>
          <t>100x100x9mm</t>
        </is>
      </c>
      <c r="E726" s="1" t="n">
        <v>100.95</v>
      </c>
      <c r="F726" s="1" t="n">
        <v>0</v>
      </c>
      <c r="G726" s="1" t="inlineStr">
        <is>
          <t>SQM</t>
        </is>
      </c>
      <c r="H726" s="1" t="inlineStr">
        <is>
          <t>Porcelain</t>
        </is>
      </c>
      <c r="I726" s="1" t="inlineStr">
        <is>
          <t>Matt</t>
        </is>
      </c>
      <c r="J726" t="inlineStr">
        <is>
          <t>In Stock</t>
        </is>
      </c>
      <c r="K726" t="inlineStr">
        <is>
          <t>In Stock</t>
        </is>
      </c>
      <c r="L726" t="inlineStr">
        <is>
          <t>In Stock</t>
        </is>
      </c>
    </row>
    <row r="727">
      <c r="A727" s="1">
        <f>Hyperlink("https://www.wallsandfloors.co.uk/victorian-unglazed-100x100-tiles-unglazed-pale-blue-tiles","Product")</f>
        <v/>
      </c>
      <c r="B727" s="1" t="inlineStr">
        <is>
          <t>6778</t>
        </is>
      </c>
      <c r="C727" s="1" t="inlineStr">
        <is>
          <t>Victorian Unglazed Pale Blue Quarry Tiles</t>
        </is>
      </c>
      <c r="D727" s="1" t="inlineStr">
        <is>
          <t>100x100x9mm</t>
        </is>
      </c>
      <c r="E727" s="1" t="n">
        <v>149.95</v>
      </c>
      <c r="F727" s="1" t="n">
        <v>0</v>
      </c>
      <c r="G727" s="1" t="inlineStr">
        <is>
          <t>SQM</t>
        </is>
      </c>
      <c r="H727" s="1" t="inlineStr">
        <is>
          <t>Porcelain</t>
        </is>
      </c>
      <c r="I727" s="1" t="inlineStr">
        <is>
          <t>Matt</t>
        </is>
      </c>
      <c r="J727" t="inlineStr">
        <is>
          <t>In Stock</t>
        </is>
      </c>
      <c r="K727" t="inlineStr">
        <is>
          <t>In Stock</t>
        </is>
      </c>
      <c r="L727" t="inlineStr">
        <is>
          <t>In Stock</t>
        </is>
      </c>
    </row>
    <row r="728">
      <c r="A728" s="1">
        <f>Hyperlink("https://www.wallsandfloors.co.uk/victorian-unglazed-100x100-tiles-unglazed-green-tiles","Product")</f>
        <v/>
      </c>
      <c r="B728" s="1" t="inlineStr">
        <is>
          <t>6781</t>
        </is>
      </c>
      <c r="C728" s="1" t="inlineStr">
        <is>
          <t>Victorian Unglazed Green Quarry Tiles</t>
        </is>
      </c>
      <c r="D728" s="1" t="inlineStr">
        <is>
          <t>100x100x9mm</t>
        </is>
      </c>
      <c r="E728" s="1" t="n">
        <v>100.95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inlineStr">
        <is>
          <t>In Stock</t>
        </is>
      </c>
      <c r="K728" t="inlineStr">
        <is>
          <t>In Stock</t>
        </is>
      </c>
      <c r="L728" t="inlineStr">
        <is>
          <t>In Stock</t>
        </is>
      </c>
    </row>
    <row r="729">
      <c r="A729" s="1">
        <f>Hyperlink("https://www.wallsandfloors.co.uk/victorian-unglazed-100x100-tiles-unglazed-black-tiles","Product")</f>
        <v/>
      </c>
      <c r="B729" s="1" t="inlineStr">
        <is>
          <t>3646</t>
        </is>
      </c>
      <c r="C729" s="1" t="inlineStr">
        <is>
          <t>Victorian Unglazed Black Quarry Tiles</t>
        </is>
      </c>
      <c r="D729" s="1" t="inlineStr">
        <is>
          <t>100x100x9mm</t>
        </is>
      </c>
      <c r="E729" s="1" t="n">
        <v>90.95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Matt</t>
        </is>
      </c>
      <c r="J729" t="inlineStr">
        <is>
          <t>Out of Stock</t>
        </is>
      </c>
      <c r="K729" t="inlineStr"/>
      <c r="L729" t="inlineStr">
        <is>
          <t>Out of Stock</t>
        </is>
      </c>
    </row>
    <row r="730">
      <c r="A730" s="1">
        <f>Hyperlink("https://www.wallsandfloors.co.uk/victorian-melado-metro-tiles","Product")</f>
        <v/>
      </c>
      <c r="B730" s="1" t="inlineStr">
        <is>
          <t>44217</t>
        </is>
      </c>
      <c r="C730" s="1" t="inlineStr">
        <is>
          <t>Victorian Melado Metro Tiles</t>
        </is>
      </c>
      <c r="D730" s="1" t="inlineStr">
        <is>
          <t>200x100x6.8mm</t>
        </is>
      </c>
      <c r="E730" s="1" t="n">
        <v>26.95</v>
      </c>
      <c r="F730" s="1" t="n">
        <v>0</v>
      </c>
      <c r="G730" s="1" t="inlineStr">
        <is>
          <t>SQM</t>
        </is>
      </c>
      <c r="H730" s="1" t="inlineStr">
        <is>
          <t>Ceramic</t>
        </is>
      </c>
      <c r="I730" s="1" t="inlineStr">
        <is>
          <t>Gloss</t>
        </is>
      </c>
      <c r="J730" t="n">
        <v>280</v>
      </c>
      <c r="K730" t="inlineStr"/>
      <c r="L730" t="n">
        <v>280</v>
      </c>
    </row>
    <row r="731">
      <c r="A731" s="1">
        <f>Hyperlink("https://www.wallsandfloors.co.uk/victorian-mango-biselado-metro-tiles","Product")</f>
        <v/>
      </c>
      <c r="B731" s="1" t="inlineStr">
        <is>
          <t>44218</t>
        </is>
      </c>
      <c r="C731" s="1" t="inlineStr">
        <is>
          <t>Victorian Mango Metro Tiles</t>
        </is>
      </c>
      <c r="D731" s="1" t="inlineStr">
        <is>
          <t>200x100x6.8mm</t>
        </is>
      </c>
      <c r="E731" s="1" t="n">
        <v>26.95</v>
      </c>
      <c r="F731" s="1" t="n">
        <v>0</v>
      </c>
      <c r="G731" s="1" t="inlineStr">
        <is>
          <t>SQM</t>
        </is>
      </c>
      <c r="H731" s="1" t="inlineStr">
        <is>
          <t>Ceramic</t>
        </is>
      </c>
      <c r="I731" s="1" t="inlineStr">
        <is>
          <t>Gloss</t>
        </is>
      </c>
      <c r="J731" t="inlineStr"/>
      <c r="K731" t="inlineStr"/>
      <c r="L731" t="n">
        <v>280</v>
      </c>
    </row>
    <row r="732">
      <c r="A732" s="1">
        <f>Hyperlink("https://www.wallsandfloors.co.uk/vesuvius-split-face-effect-tiles-light-rustic-split-face-effect-tiles","Product")</f>
        <v/>
      </c>
      <c r="B732" s="1" t="inlineStr">
        <is>
          <t>12322</t>
        </is>
      </c>
      <c r="C732" s="1" t="inlineStr">
        <is>
          <t>Vesuvius Light Rustic Split Face Effect Tiles</t>
        </is>
      </c>
      <c r="D732" s="1" t="inlineStr">
        <is>
          <t>600x300x10mm</t>
        </is>
      </c>
      <c r="E732" s="1" t="n">
        <v>33.95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inlineStr"/>
      <c r="K732" t="inlineStr">
        <is>
          <t>In Stock</t>
        </is>
      </c>
      <c r="L732" t="n">
        <v>296</v>
      </c>
    </row>
    <row r="733">
      <c r="A733" s="1">
        <f>Hyperlink("https://www.wallsandfloors.co.uk/vesuvius-split-face-effect-tiles-dark-rustic-split-face-effect-tiles","Product")</f>
        <v/>
      </c>
      <c r="B733" s="1" t="inlineStr">
        <is>
          <t>12323</t>
        </is>
      </c>
      <c r="C733" s="1" t="inlineStr">
        <is>
          <t>Vesuvius Dark Rustic Split Face Effect Tiles</t>
        </is>
      </c>
      <c r="D733" s="1" t="inlineStr">
        <is>
          <t>600x300x10mm</t>
        </is>
      </c>
      <c r="E733" s="1" t="n">
        <v>33.95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inlineStr"/>
      <c r="K733" t="n">
        <v>62</v>
      </c>
      <c r="L733" t="n">
        <v>256</v>
      </c>
    </row>
    <row r="734">
      <c r="A734" s="1">
        <f>Hyperlink("https://www.wallsandfloors.co.uk/vesuvius-split-face-effect-tiles-charcoal-split-face-effect-tiles","Product")</f>
        <v/>
      </c>
      <c r="B734" s="1" t="inlineStr">
        <is>
          <t>12321</t>
        </is>
      </c>
      <c r="C734" s="1" t="inlineStr">
        <is>
          <t>Vesuvius Charcoal Split Face Effect Tiles</t>
        </is>
      </c>
      <c r="D734" s="1" t="inlineStr">
        <is>
          <t>600x300x10mm</t>
        </is>
      </c>
      <c r="E734" s="1" t="n">
        <v>33.95</v>
      </c>
      <c r="F734" s="1" t="n">
        <v>0</v>
      </c>
      <c r="G734" s="1" t="inlineStr">
        <is>
          <t>SQM</t>
        </is>
      </c>
      <c r="H734" s="1" t="inlineStr">
        <is>
          <t>Porcelain</t>
        </is>
      </c>
      <c r="I734" s="1" t="inlineStr">
        <is>
          <t>Matt</t>
        </is>
      </c>
      <c r="J734" t="n">
        <v>167</v>
      </c>
      <c r="K734" t="n">
        <v>144</v>
      </c>
      <c r="L734" t="n">
        <v>849</v>
      </c>
    </row>
    <row r="735">
      <c r="A735" s="1">
        <f>Hyperlink("https://www.wallsandfloors.co.uk/vernice-storm-tiles","Product")</f>
        <v/>
      </c>
      <c r="B735" s="1" t="inlineStr">
        <is>
          <t>40384</t>
        </is>
      </c>
      <c r="C735" s="1" t="inlineStr">
        <is>
          <t>Vernice Storm Tiles</t>
        </is>
      </c>
      <c r="D735" s="1" t="inlineStr">
        <is>
          <t>130x130x8mm</t>
        </is>
      </c>
      <c r="E735" s="1" t="n">
        <v>35.95</v>
      </c>
      <c r="F735" s="1" t="n">
        <v>0</v>
      </c>
      <c r="G735" s="1" t="inlineStr">
        <is>
          <t>SQM</t>
        </is>
      </c>
      <c r="H735" s="1" t="inlineStr">
        <is>
          <t>Ceramic</t>
        </is>
      </c>
      <c r="I735" s="1" t="inlineStr">
        <is>
          <t>Gloss</t>
        </is>
      </c>
      <c r="J735" t="n">
        <v>102</v>
      </c>
      <c r="K735" t="inlineStr"/>
      <c r="L735" t="n">
        <v>102</v>
      </c>
    </row>
    <row r="736">
      <c r="A736" s="1">
        <f>Hyperlink("https://www.wallsandfloors.co.uk/vernice-springs-tiles","Product")</f>
        <v/>
      </c>
      <c r="B736" s="1" t="inlineStr">
        <is>
          <t>40382</t>
        </is>
      </c>
      <c r="C736" s="1" t="inlineStr">
        <is>
          <t>Vernice Springs Tiles</t>
        </is>
      </c>
      <c r="D736" s="1" t="inlineStr">
        <is>
          <t>130x130x8mm</t>
        </is>
      </c>
      <c r="E736" s="1" t="n">
        <v>28.95</v>
      </c>
      <c r="F736" s="1" t="n">
        <v>0</v>
      </c>
      <c r="G736" s="1" t="inlineStr">
        <is>
          <t>SQM</t>
        </is>
      </c>
      <c r="H736" s="1" t="inlineStr">
        <is>
          <t>Ceramic</t>
        </is>
      </c>
      <c r="I736" s="1" t="inlineStr">
        <is>
          <t>Gloss</t>
        </is>
      </c>
      <c r="J736" t="inlineStr"/>
      <c r="K736" t="n">
        <v>468</v>
      </c>
      <c r="L736" t="n">
        <v>468</v>
      </c>
    </row>
    <row r="737">
      <c r="A737" s="1">
        <f>Hyperlink("https://www.wallsandfloors.co.uk/vernice-hydrilla-tiles","Product")</f>
        <v/>
      </c>
      <c r="B737" s="1" t="inlineStr">
        <is>
          <t>40383</t>
        </is>
      </c>
      <c r="C737" s="1" t="inlineStr">
        <is>
          <t>Vernice Hydrilla Tiles</t>
        </is>
      </c>
      <c r="D737" s="1" t="inlineStr">
        <is>
          <t>130x130x8mm</t>
        </is>
      </c>
      <c r="E737" s="1" t="n">
        <v>35.95</v>
      </c>
      <c r="F737" s="1" t="n">
        <v>0</v>
      </c>
      <c r="G737" s="1" t="inlineStr">
        <is>
          <t>SQM</t>
        </is>
      </c>
      <c r="H737" s="1" t="inlineStr">
        <is>
          <t>Ceramic</t>
        </is>
      </c>
      <c r="I737" s="1" t="inlineStr">
        <is>
          <t>Gloss</t>
        </is>
      </c>
      <c r="J737" t="inlineStr">
        <is>
          <t>Out of Stock</t>
        </is>
      </c>
      <c r="K737" t="inlineStr">
        <is>
          <t>Out of Stock</t>
        </is>
      </c>
      <c r="L737" t="inlineStr">
        <is>
          <t>Out of Stock</t>
        </is>
      </c>
    </row>
    <row r="738">
      <c r="A738" s="1">
        <f>Hyperlink("https://www.wallsandfloors.co.uk/vintage-wood-plank-tiles-grigio-970x237-plank-tiles","Product")</f>
        <v/>
      </c>
      <c r="B738" s="1" t="inlineStr">
        <is>
          <t>13374</t>
        </is>
      </c>
      <c r="C738" s="1" t="inlineStr">
        <is>
          <t>Vintage Grey Plank Wood Effect Tiles</t>
        </is>
      </c>
      <c r="D738" s="1" t="inlineStr">
        <is>
          <t>970x237x10mm</t>
        </is>
      </c>
      <c r="E738" s="1" t="n">
        <v>32.95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n">
        <v>158</v>
      </c>
      <c r="K738" t="inlineStr"/>
      <c r="L738" t="n">
        <v>158</v>
      </c>
    </row>
    <row r="739">
      <c r="A739" s="1">
        <f>Hyperlink("https://www.wallsandfloors.co.uk/ritz-tiles-steel-gloss-30x10-tiles","Product")</f>
        <v/>
      </c>
      <c r="B739" s="1" t="inlineStr">
        <is>
          <t>13024</t>
        </is>
      </c>
      <c r="C739" s="1" t="inlineStr">
        <is>
          <t>Ritz Steel Gloss Tiles</t>
        </is>
      </c>
      <c r="D739" s="1" t="inlineStr">
        <is>
          <t>300x100x10mm</t>
        </is>
      </c>
      <c r="E739" s="1" t="n">
        <v>37.95</v>
      </c>
      <c r="F739" s="1" t="n">
        <v>0</v>
      </c>
      <c r="G739" s="1" t="inlineStr">
        <is>
          <t>SQM</t>
        </is>
      </c>
      <c r="H739" s="1" t="inlineStr">
        <is>
          <t>Ceramic</t>
        </is>
      </c>
      <c r="I739" s="1" t="inlineStr">
        <is>
          <t>Gloss</t>
        </is>
      </c>
      <c r="J739" t="inlineStr"/>
      <c r="K739" t="inlineStr">
        <is>
          <t>In Stock</t>
        </is>
      </c>
      <c r="L739" t="inlineStr">
        <is>
          <t>In Stock</t>
        </is>
      </c>
    </row>
    <row r="740">
      <c r="A740" s="1">
        <f>Hyperlink("https://www.wallsandfloors.co.uk/titanic-wave-polished-desert-black-60x30-tiles","Product")</f>
        <v/>
      </c>
      <c r="B740" s="1" t="inlineStr">
        <is>
          <t>39147</t>
        </is>
      </c>
      <c r="C740" s="1" t="inlineStr">
        <is>
          <t>Titanic Wave Polished Desert Black Tiles</t>
        </is>
      </c>
      <c r="D740" s="1" t="inlineStr">
        <is>
          <t>600x300x9mm</t>
        </is>
      </c>
      <c r="E740" s="1" t="n">
        <v>22.91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Polished</t>
        </is>
      </c>
      <c r="J740" t="inlineStr"/>
      <c r="K740" t="n">
        <v>644</v>
      </c>
      <c r="L740" t="n">
        <v>644</v>
      </c>
    </row>
    <row r="741">
      <c r="A741" s="1">
        <f>Hyperlink("https://www.wallsandfloors.co.uk/titanic-silver-grey-matt-80x40-tiles","Product")</f>
        <v/>
      </c>
      <c r="B741" s="1" t="inlineStr">
        <is>
          <t>37209</t>
        </is>
      </c>
      <c r="C741" s="1" t="inlineStr">
        <is>
          <t>Titanic Silver Grey Matt Tiles</t>
        </is>
      </c>
      <c r="D741" s="1" t="inlineStr">
        <is>
          <t>800x400x10.8mm</t>
        </is>
      </c>
      <c r="E741" s="1" t="n">
        <v>22.95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Matt</t>
        </is>
      </c>
      <c r="J741" t="n">
        <v>26</v>
      </c>
      <c r="K741" t="n">
        <v>26</v>
      </c>
      <c r="L741" t="n">
        <v>26</v>
      </c>
    </row>
    <row r="742">
      <c r="A742" s="1">
        <f>Hyperlink("https://www.wallsandfloors.co.uk/salon-porcelain-tiles-white-polished-600x600-tiles","Product")</f>
        <v/>
      </c>
      <c r="B742" s="1" t="inlineStr">
        <is>
          <t>12633</t>
        </is>
      </c>
      <c r="C742" s="1" t="inlineStr">
        <is>
          <t>Salon Porcelain White Polished Tiles</t>
        </is>
      </c>
      <c r="D742" s="1" t="inlineStr">
        <is>
          <t>600x600x10mm</t>
        </is>
      </c>
      <c r="E742" s="1" t="n">
        <v>34.95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Polished</t>
        </is>
      </c>
      <c r="J742" t="inlineStr">
        <is>
          <t>In Stock</t>
        </is>
      </c>
      <c r="K742" t="inlineStr">
        <is>
          <t>In Stock</t>
        </is>
      </c>
      <c r="L742" t="inlineStr">
        <is>
          <t>In Stock</t>
        </is>
      </c>
    </row>
    <row r="743">
      <c r="A743" s="1">
        <f>Hyperlink("https://www.wallsandfloors.co.uk/salon-porcelain-tiles-white-polished-600x300-tiles","Product")</f>
        <v/>
      </c>
      <c r="B743" s="1" t="inlineStr">
        <is>
          <t>12647</t>
        </is>
      </c>
      <c r="C743" s="1" t="inlineStr">
        <is>
          <t>Salon Porcelain White Polished Tiles</t>
        </is>
      </c>
      <c r="D743" s="1" t="inlineStr">
        <is>
          <t>600x300x10mm</t>
        </is>
      </c>
      <c r="E743" s="1" t="n">
        <v>29.95</v>
      </c>
      <c r="F743" s="1" t="n">
        <v>0</v>
      </c>
      <c r="G743" s="1" t="inlineStr"/>
      <c r="H743" s="1" t="inlineStr">
        <is>
          <t>Porcelain</t>
        </is>
      </c>
      <c r="I743" s="1" t="inlineStr">
        <is>
          <t>Polished</t>
        </is>
      </c>
      <c r="J743" t="inlineStr">
        <is>
          <t>In Stock</t>
        </is>
      </c>
      <c r="K743" t="inlineStr">
        <is>
          <t>In Stock</t>
        </is>
      </c>
      <c r="L743" t="inlineStr">
        <is>
          <t>In Stock</t>
        </is>
      </c>
    </row>
    <row r="744">
      <c r="A744" s="1">
        <f>Hyperlink("https://www.wallsandfloors.co.uk/salon-porcelain-tiles-white-matt-600x300-tiles","Product")</f>
        <v/>
      </c>
      <c r="B744" s="1" t="inlineStr">
        <is>
          <t>12644</t>
        </is>
      </c>
      <c r="C744" s="1" t="inlineStr">
        <is>
          <t>Salon Porcelain White Matt Tiles</t>
        </is>
      </c>
      <c r="D744" s="1" t="inlineStr">
        <is>
          <t>600x300x10mm</t>
        </is>
      </c>
      <c r="E744" s="1" t="n">
        <v>29.95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Matt</t>
        </is>
      </c>
      <c r="J744" t="n">
        <v>260</v>
      </c>
      <c r="K744" t="n">
        <v>346</v>
      </c>
      <c r="L744" t="n">
        <v>346</v>
      </c>
    </row>
    <row r="745">
      <c r="A745" s="1">
        <f>Hyperlink("https://www.wallsandfloors.co.uk/salon-porcelain-tiles-grey-structured-600x600-tiles","Product")</f>
        <v/>
      </c>
      <c r="B745" s="1" t="inlineStr">
        <is>
          <t>12640</t>
        </is>
      </c>
      <c r="C745" s="1" t="inlineStr">
        <is>
          <t>Salon Porcelain Grey Anti Slip Tiles</t>
        </is>
      </c>
      <c r="D745" s="1" t="inlineStr">
        <is>
          <t>600x600x10mm</t>
        </is>
      </c>
      <c r="E745" s="1" t="n">
        <v>29.95</v>
      </c>
      <c r="F745" s="1" t="n">
        <v>0</v>
      </c>
      <c r="G745" s="1" t="inlineStr">
        <is>
          <t>SQM</t>
        </is>
      </c>
      <c r="H745" s="1" t="inlineStr">
        <is>
          <t>Porcelain</t>
        </is>
      </c>
      <c r="I745" s="1" t="inlineStr">
        <is>
          <t>Matt</t>
        </is>
      </c>
      <c r="J745" t="n">
        <v>266</v>
      </c>
      <c r="K745" t="inlineStr"/>
      <c r="L745" t="n">
        <v>266</v>
      </c>
    </row>
    <row r="746">
      <c r="A746" s="1">
        <f>Hyperlink("https://www.wallsandfloors.co.uk/salon-porcelain-tiles-grey-structured-600x300-tiles","Product")</f>
        <v/>
      </c>
      <c r="B746" s="1" t="inlineStr">
        <is>
          <t>12654</t>
        </is>
      </c>
      <c r="C746" s="1" t="inlineStr">
        <is>
          <t>Salon Porcelain Grey Anti Slip Tiles</t>
        </is>
      </c>
      <c r="D746" s="1" t="inlineStr">
        <is>
          <t>600x300x10mm</t>
        </is>
      </c>
      <c r="E746" s="1" t="n">
        <v>29.95</v>
      </c>
      <c r="F746" s="1" t="n">
        <v>0</v>
      </c>
      <c r="G746" s="1" t="inlineStr">
        <is>
          <t>SQM</t>
        </is>
      </c>
      <c r="H746" s="1" t="inlineStr">
        <is>
          <t>Porcelain</t>
        </is>
      </c>
      <c r="I746" s="1" t="inlineStr">
        <is>
          <t>Matt</t>
        </is>
      </c>
      <c r="J746" t="inlineStr"/>
      <c r="K746" t="n">
        <v>101</v>
      </c>
      <c r="L746" t="n">
        <v>101</v>
      </c>
    </row>
    <row r="747">
      <c r="A747" s="1">
        <f>Hyperlink("https://www.wallsandfloors.co.uk/salon-porcelain-tiles-grey-polished-600x600-tiles","Product")</f>
        <v/>
      </c>
      <c r="B747" s="1" t="inlineStr">
        <is>
          <t>12639</t>
        </is>
      </c>
      <c r="C747" s="1" t="inlineStr">
        <is>
          <t>Salon Porcelain Grey Polished Tiles</t>
        </is>
      </c>
      <c r="D747" s="1" t="inlineStr">
        <is>
          <t>600x600x10mm</t>
        </is>
      </c>
      <c r="E747" s="1" t="n">
        <v>34.95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Polished</t>
        </is>
      </c>
      <c r="J747" t="n">
        <v>120</v>
      </c>
      <c r="K747" t="n">
        <v>120</v>
      </c>
      <c r="L747" t="n">
        <v>120</v>
      </c>
    </row>
    <row r="748">
      <c r="A748" s="1">
        <f>Hyperlink("https://www.wallsandfloors.co.uk/salon-porcelain-tiles-grey-polished-600x300-tiles","Product")</f>
        <v/>
      </c>
      <c r="B748" s="1" t="inlineStr">
        <is>
          <t>12653</t>
        </is>
      </c>
      <c r="C748" s="1" t="inlineStr">
        <is>
          <t>Salon Porcelain Grey Polished Tiles</t>
        </is>
      </c>
      <c r="D748" s="1" t="inlineStr">
        <is>
          <t>600x300x10mm</t>
        </is>
      </c>
      <c r="E748" s="1" t="n">
        <v>29.95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Polished</t>
        </is>
      </c>
      <c r="J748" t="inlineStr">
        <is>
          <t>In Stock</t>
        </is>
      </c>
      <c r="K748" t="n">
        <v>177</v>
      </c>
      <c r="L748" t="n">
        <v>177</v>
      </c>
    </row>
    <row r="749">
      <c r="A749" s="1">
        <f>Hyperlink("https://www.wallsandfloors.co.uk/salon-porcelain-tiles-grey-matt-600x300-tiles","Product")</f>
        <v/>
      </c>
      <c r="B749" s="1" t="inlineStr">
        <is>
          <t>12652</t>
        </is>
      </c>
      <c r="C749" s="1" t="inlineStr">
        <is>
          <t>Salon Porcelain Grey Matt Tiles</t>
        </is>
      </c>
      <c r="D749" s="1" t="inlineStr">
        <is>
          <t>600x300x10mm</t>
        </is>
      </c>
      <c r="E749" s="1" t="n">
        <v>29.95</v>
      </c>
      <c r="F749" s="1" t="n">
        <v>0</v>
      </c>
      <c r="G749" s="1" t="inlineStr">
        <is>
          <t>SQM</t>
        </is>
      </c>
      <c r="H749" s="1" t="inlineStr">
        <is>
          <t>Porcelain</t>
        </is>
      </c>
      <c r="I749" s="1" t="inlineStr">
        <is>
          <t>Matt</t>
        </is>
      </c>
      <c r="J749" t="n">
        <v>432</v>
      </c>
      <c r="K749" t="n">
        <v>432</v>
      </c>
      <c r="L749" t="n">
        <v>432</v>
      </c>
    </row>
    <row r="750">
      <c r="A750" s="1">
        <f>Hyperlink("https://www.wallsandfloors.co.uk/salon-porcelain-tiles-graphite-structured-600x600-tiles","Product")</f>
        <v/>
      </c>
      <c r="B750" s="1" t="inlineStr">
        <is>
          <t>12637</t>
        </is>
      </c>
      <c r="C750" s="1" t="inlineStr">
        <is>
          <t>Salon Porcelain Graphite Anti Slip Tiles</t>
        </is>
      </c>
      <c r="D750" s="1" t="inlineStr">
        <is>
          <t>600x600x10mm</t>
        </is>
      </c>
      <c r="E750" s="1" t="n">
        <v>29.95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inlineStr"/>
      <c r="K750" t="n">
        <v>195</v>
      </c>
      <c r="L750" t="n">
        <v>195</v>
      </c>
    </row>
    <row r="751">
      <c r="A751" s="1">
        <f>Hyperlink("https://www.wallsandfloors.co.uk/salon-porcelain-tiles-graphite-structured-600x300-tiles","Product")</f>
        <v/>
      </c>
      <c r="B751" s="1" t="inlineStr">
        <is>
          <t>12651</t>
        </is>
      </c>
      <c r="C751" s="1" t="inlineStr">
        <is>
          <t>Salon Porcelain Graphite Anti Slip Tiles</t>
        </is>
      </c>
      <c r="D751" s="1" t="inlineStr">
        <is>
          <t>600x300x10mm</t>
        </is>
      </c>
      <c r="E751" s="1" t="n">
        <v>29.95</v>
      </c>
      <c r="F751" s="1" t="n">
        <v>0</v>
      </c>
      <c r="G751" s="1" t="inlineStr">
        <is>
          <t>SQM</t>
        </is>
      </c>
      <c r="H751" s="1" t="inlineStr">
        <is>
          <t>Porcelain</t>
        </is>
      </c>
      <c r="I751" s="1" t="inlineStr">
        <is>
          <t>Matt</t>
        </is>
      </c>
      <c r="J751" t="inlineStr"/>
      <c r="K751" t="inlineStr"/>
      <c r="L751" t="n">
        <v>239</v>
      </c>
    </row>
    <row r="752">
      <c r="A752" s="1">
        <f>Hyperlink("https://www.wallsandfloors.co.uk/salon-porcelain-tiles-white-structured-600x600-tiles","Product")</f>
        <v/>
      </c>
      <c r="B752" s="1" t="inlineStr">
        <is>
          <t>12634</t>
        </is>
      </c>
      <c r="C752" s="1" t="inlineStr">
        <is>
          <t>Salon Porcelain White Anti Slip Tiles</t>
        </is>
      </c>
      <c r="D752" s="1" t="inlineStr">
        <is>
          <t>600x600x10mm</t>
        </is>
      </c>
      <c r="E752" s="1" t="n">
        <v>29.95</v>
      </c>
      <c r="F752" s="1" t="n">
        <v>0</v>
      </c>
      <c r="G752" s="1" t="inlineStr">
        <is>
          <t>SQM</t>
        </is>
      </c>
      <c r="H752" s="1" t="inlineStr">
        <is>
          <t>Porcelain</t>
        </is>
      </c>
      <c r="I752" s="1" t="inlineStr">
        <is>
          <t>Matt</t>
        </is>
      </c>
      <c r="J752" t="inlineStr">
        <is>
          <t>Out of Stock</t>
        </is>
      </c>
      <c r="K752" t="inlineStr"/>
      <c r="L752" t="inlineStr">
        <is>
          <t>Out of Stock</t>
        </is>
      </c>
    </row>
    <row r="753">
      <c r="A753" s="1">
        <f>Hyperlink("https://www.wallsandfloors.co.uk/salon-porcelain-tiles-graphite-polished-600x600-tiles","Product")</f>
        <v/>
      </c>
      <c r="B753" s="1" t="inlineStr">
        <is>
          <t>12636</t>
        </is>
      </c>
      <c r="C753" s="1" t="inlineStr">
        <is>
          <t>Salon Porcelain Graphite Polished Tiles</t>
        </is>
      </c>
      <c r="D753" s="1" t="inlineStr">
        <is>
          <t>600x600x10mm</t>
        </is>
      </c>
      <c r="E753" s="1" t="n">
        <v>29.95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Polished</t>
        </is>
      </c>
      <c r="J753" t="inlineStr"/>
      <c r="K753" t="n">
        <v>229</v>
      </c>
      <c r="L753" t="n">
        <v>229</v>
      </c>
    </row>
    <row r="754">
      <c r="A754" s="1">
        <f>Hyperlink("https://www.wallsandfloors.co.uk/salon-porcelain-tiles-graphite-matt-600x600-tiles","Product")</f>
        <v/>
      </c>
      <c r="B754" s="1" t="inlineStr">
        <is>
          <t>12635</t>
        </is>
      </c>
      <c r="C754" s="1" t="inlineStr">
        <is>
          <t>Salon Porcelain Graphite Matt Tiles</t>
        </is>
      </c>
      <c r="D754" s="1" t="inlineStr">
        <is>
          <t>600x600x10mm</t>
        </is>
      </c>
      <c r="E754" s="1" t="n">
        <v>29.95</v>
      </c>
      <c r="F754" s="1" t="n">
        <v>0</v>
      </c>
      <c r="G754" s="1" t="inlineStr">
        <is>
          <t>SQM</t>
        </is>
      </c>
      <c r="H754" s="1" t="inlineStr">
        <is>
          <t>Porcelain</t>
        </is>
      </c>
      <c r="I754" s="1" t="inlineStr">
        <is>
          <t>Matt</t>
        </is>
      </c>
      <c r="J754" t="n">
        <v>179</v>
      </c>
      <c r="K754" t="n">
        <v>179</v>
      </c>
      <c r="L754" t="n">
        <v>179</v>
      </c>
    </row>
    <row r="755">
      <c r="A755" s="1">
        <f>Hyperlink("https://www.wallsandfloors.co.uk/salon-porcelain-tiles-graphite-matt-600x300-tiles","Product")</f>
        <v/>
      </c>
      <c r="B755" s="1" t="inlineStr">
        <is>
          <t>12649</t>
        </is>
      </c>
      <c r="C755" s="1" t="inlineStr">
        <is>
          <t>Salon Porcelain Graphite Matt Tiles</t>
        </is>
      </c>
      <c r="D755" s="1" t="inlineStr">
        <is>
          <t>600x300x10mm</t>
        </is>
      </c>
      <c r="E755" s="1" t="n">
        <v>29.95</v>
      </c>
      <c r="F755" s="1" t="n">
        <v>0</v>
      </c>
      <c r="G755" s="1" t="inlineStr">
        <is>
          <t>SQM</t>
        </is>
      </c>
      <c r="H755" s="1" t="inlineStr">
        <is>
          <t>Porcelain</t>
        </is>
      </c>
      <c r="I755" s="1" t="inlineStr">
        <is>
          <t>Matt</t>
        </is>
      </c>
      <c r="J755" t="n">
        <v>277</v>
      </c>
      <c r="K755" t="n">
        <v>277</v>
      </c>
      <c r="L755" t="n">
        <v>277</v>
      </c>
    </row>
    <row r="756">
      <c r="A756" s="1">
        <f>Hyperlink("https://www.wallsandfloors.co.uk/salon-porcelain-tiles-black-structured-600x600-tiles","Product")</f>
        <v/>
      </c>
      <c r="B756" s="1" t="inlineStr">
        <is>
          <t>12643</t>
        </is>
      </c>
      <c r="C756" s="1" t="inlineStr">
        <is>
          <t>Salon Porcelain Black Anti Slip Tiles</t>
        </is>
      </c>
      <c r="D756" s="1" t="inlineStr">
        <is>
          <t>600x600x10mm</t>
        </is>
      </c>
      <c r="E756" s="1" t="n">
        <v>29.95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n">
        <v>206</v>
      </c>
      <c r="K756" t="n">
        <v>206</v>
      </c>
      <c r="L756" t="n">
        <v>213</v>
      </c>
    </row>
    <row r="757">
      <c r="A757" s="1">
        <f>Hyperlink("https://www.wallsandfloors.co.uk/salon-porcelain-tiles-black-polished-600x600-tiles","Product")</f>
        <v/>
      </c>
      <c r="B757" s="1" t="inlineStr">
        <is>
          <t>12642</t>
        </is>
      </c>
      <c r="C757" s="1" t="inlineStr">
        <is>
          <t>Salon Porcelain Black Polished Tiles</t>
        </is>
      </c>
      <c r="D757" s="1" t="inlineStr">
        <is>
          <t>600x600x10mm</t>
        </is>
      </c>
      <c r="E757" s="1" t="n">
        <v>29.95</v>
      </c>
      <c r="F757" s="1" t="n">
        <v>0</v>
      </c>
      <c r="G757" s="1" t="inlineStr">
        <is>
          <t>SQM</t>
        </is>
      </c>
      <c r="H757" s="1" t="inlineStr">
        <is>
          <t>Porcelain</t>
        </is>
      </c>
      <c r="I757" s="1" t="inlineStr">
        <is>
          <t>Polished</t>
        </is>
      </c>
      <c r="J757" t="inlineStr"/>
      <c r="K757" t="n">
        <v>145</v>
      </c>
      <c r="L757" t="n">
        <v>145</v>
      </c>
    </row>
    <row r="758">
      <c r="A758" s="1">
        <f>Hyperlink("https://www.wallsandfloors.co.uk/salon-porcelain-tiles-black-polished-600x300-tiles","Product")</f>
        <v/>
      </c>
      <c r="B758" s="1" t="inlineStr">
        <is>
          <t>12656</t>
        </is>
      </c>
      <c r="C758" s="1" t="inlineStr">
        <is>
          <t>Salon Porcelain Black Polished Tiles</t>
        </is>
      </c>
      <c r="D758" s="1" t="inlineStr">
        <is>
          <t>600x300x10mm</t>
        </is>
      </c>
      <c r="E758" s="1" t="n">
        <v>29.95</v>
      </c>
      <c r="F758" s="1" t="n">
        <v>0</v>
      </c>
      <c r="G758" s="1" t="inlineStr">
        <is>
          <t>SQM</t>
        </is>
      </c>
      <c r="H758" s="1" t="inlineStr">
        <is>
          <t>Porcelain</t>
        </is>
      </c>
      <c r="I758" s="1" t="inlineStr">
        <is>
          <t>Polished</t>
        </is>
      </c>
      <c r="J758" t="n">
        <v>246</v>
      </c>
      <c r="K758" t="n">
        <v>246</v>
      </c>
      <c r="L758" t="n">
        <v>246</v>
      </c>
    </row>
    <row r="759">
      <c r="A759" s="1">
        <f>Hyperlink("https://www.wallsandfloors.co.uk/salon-porcelain-tiles-black-matt-600x600-tiles","Product")</f>
        <v/>
      </c>
      <c r="B759" s="1" t="inlineStr">
        <is>
          <t>12641</t>
        </is>
      </c>
      <c r="C759" s="1" t="inlineStr">
        <is>
          <t>Salon Porcelain Black Matt Tiles</t>
        </is>
      </c>
      <c r="D759" s="1" t="inlineStr">
        <is>
          <t>600x600x10mm</t>
        </is>
      </c>
      <c r="E759" s="1" t="n">
        <v>29.95</v>
      </c>
      <c r="F759" s="1" t="n">
        <v>0</v>
      </c>
      <c r="G759" s="1" t="inlineStr">
        <is>
          <t>SQM</t>
        </is>
      </c>
      <c r="H759" s="1" t="inlineStr">
        <is>
          <t>Porcelain</t>
        </is>
      </c>
      <c r="I759" s="1" t="inlineStr">
        <is>
          <t>Matt</t>
        </is>
      </c>
      <c r="J759" t="n">
        <v>71</v>
      </c>
      <c r="K759" t="n">
        <v>71</v>
      </c>
      <c r="L759" t="n">
        <v>71</v>
      </c>
    </row>
    <row r="760">
      <c r="A760" s="1">
        <f>Hyperlink("https://www.wallsandfloors.co.uk/salcombe-sands-tiles-mill-bay-beige-tiles","Product")</f>
        <v/>
      </c>
      <c r="B760" s="1" t="inlineStr">
        <is>
          <t>15541</t>
        </is>
      </c>
      <c r="C760" s="1" t="inlineStr">
        <is>
          <t>Salcombe Sands Mill Bay Beige Tiles</t>
        </is>
      </c>
      <c r="D760" s="1" t="inlineStr">
        <is>
          <t>600x300x9mm</t>
        </is>
      </c>
      <c r="E760" s="1" t="n">
        <v>36.95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inlineStr">
        <is>
          <t>In Stock</t>
        </is>
      </c>
      <c r="K760" t="inlineStr"/>
      <c r="L760" t="inlineStr">
        <is>
          <t>In Stock</t>
        </is>
      </c>
    </row>
    <row r="761">
      <c r="A761" s="1">
        <f>Hyperlink("https://www.wallsandfloors.co.uk/salcombe-sands-tiles-jubilee-grey-tiles","Product")</f>
        <v/>
      </c>
      <c r="B761" s="1" t="inlineStr">
        <is>
          <t>15543</t>
        </is>
      </c>
      <c r="C761" s="1" t="inlineStr">
        <is>
          <t>Salcombe Sands Jubilee Grey Tiles</t>
        </is>
      </c>
      <c r="D761" s="1" t="inlineStr">
        <is>
          <t>600x300x9mm</t>
        </is>
      </c>
      <c r="E761" s="1" t="n">
        <v>35.95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Matt</t>
        </is>
      </c>
      <c r="J761" t="inlineStr">
        <is>
          <t>Out of Stock</t>
        </is>
      </c>
      <c r="K761" t="inlineStr">
        <is>
          <t>Out of Stock</t>
        </is>
      </c>
      <c r="L761" t="inlineStr">
        <is>
          <t>Out of Stock</t>
        </is>
      </c>
    </row>
    <row r="762">
      <c r="A762" s="1">
        <f>Hyperlink("https://www.wallsandfloors.co.uk/salcombe-sands-tiles-cable-cove-white-tiles","Product")</f>
        <v/>
      </c>
      <c r="B762" s="1" t="inlineStr">
        <is>
          <t>15542</t>
        </is>
      </c>
      <c r="C762" s="1" t="inlineStr">
        <is>
          <t>Salcombe Sands Cable Cove White Tiles</t>
        </is>
      </c>
      <c r="D762" s="1" t="inlineStr">
        <is>
          <t>600x300x9mm</t>
        </is>
      </c>
      <c r="E762" s="1" t="n">
        <v>34.95</v>
      </c>
      <c r="F762" s="1" t="n">
        <v>0</v>
      </c>
      <c r="G762" s="1" t="inlineStr">
        <is>
          <t>SQM</t>
        </is>
      </c>
      <c r="H762" s="1" t="inlineStr">
        <is>
          <t>Ceramic</t>
        </is>
      </c>
      <c r="I762" s="1" t="inlineStr">
        <is>
          <t>Matt</t>
        </is>
      </c>
      <c r="J762" t="inlineStr">
        <is>
          <t>In Stock</t>
        </is>
      </c>
      <c r="K762" t="inlineStr">
        <is>
          <t>In Stock</t>
        </is>
      </c>
      <c r="L762" t="inlineStr">
        <is>
          <t>In Stock</t>
        </is>
      </c>
    </row>
    <row r="763">
      <c r="A763" s="1">
        <f>Hyperlink("https://www.wallsandfloors.co.uk/ruvido-hexagon-tiles-tribal-stone-tiles","Product")</f>
        <v/>
      </c>
      <c r="B763" s="1" t="inlineStr">
        <is>
          <t>14325</t>
        </is>
      </c>
      <c r="C763" s="1" t="inlineStr">
        <is>
          <t>Ruvido Tribal Stone Hexagon Tiles</t>
        </is>
      </c>
      <c r="D763" s="1" t="inlineStr">
        <is>
          <t>450x450x9mm</t>
        </is>
      </c>
      <c r="E763" s="1" t="n">
        <v>30.95</v>
      </c>
      <c r="F763" s="1" t="n">
        <v>0</v>
      </c>
      <c r="G763" s="1" t="inlineStr">
        <is>
          <t>SQM</t>
        </is>
      </c>
      <c r="H763" s="1" t="inlineStr">
        <is>
          <t>Porcelain</t>
        </is>
      </c>
      <c r="I763" s="1" t="inlineStr">
        <is>
          <t>Matt</t>
        </is>
      </c>
      <c r="J763" t="n">
        <v>280</v>
      </c>
      <c r="K763" t="n">
        <v>280</v>
      </c>
      <c r="L763" t="n">
        <v>280</v>
      </c>
    </row>
    <row r="764">
      <c r="A764" s="1">
        <f>Hyperlink("https://www.wallsandfloors.co.uk/salon-porcelain-tiles-graphite-polished-600x300-tiles","Product")</f>
        <v/>
      </c>
      <c r="B764" s="1" t="inlineStr">
        <is>
          <t>12650</t>
        </is>
      </c>
      <c r="C764" s="1" t="inlineStr">
        <is>
          <t>Salon Porcelain Graphite Polished Tiles</t>
        </is>
      </c>
      <c r="D764" s="1" t="inlineStr">
        <is>
          <t>600x300x10mm</t>
        </is>
      </c>
      <c r="E764" s="1" t="n">
        <v>29.95</v>
      </c>
      <c r="F764" s="1" t="n">
        <v>0</v>
      </c>
      <c r="G764" s="1" t="inlineStr">
        <is>
          <t>SQM</t>
        </is>
      </c>
      <c r="H764" s="1" t="inlineStr">
        <is>
          <t>Porcelain</t>
        </is>
      </c>
      <c r="I764" s="1" t="inlineStr">
        <is>
          <t>Polished</t>
        </is>
      </c>
      <c r="J764" t="n">
        <v>59</v>
      </c>
      <c r="K764" t="n">
        <v>59</v>
      </c>
      <c r="L764" t="n">
        <v>59</v>
      </c>
    </row>
    <row r="765">
      <c r="A765" s="1">
        <f>Hyperlink("https://www.wallsandfloors.co.uk/saloon-tiles-tavern-black-wood-tiles","Product")</f>
        <v/>
      </c>
      <c r="B765" s="1" t="inlineStr">
        <is>
          <t>14415</t>
        </is>
      </c>
      <c r="C765" s="1" t="inlineStr">
        <is>
          <t>Saloon Tavern Black Wood Tiles</t>
        </is>
      </c>
      <c r="D765" s="1" t="inlineStr">
        <is>
          <t>900x150x9.5mm</t>
        </is>
      </c>
      <c r="E765" s="1" t="n">
        <v>40.95</v>
      </c>
      <c r="F765" s="1" t="n">
        <v>0</v>
      </c>
      <c r="G765" s="1" t="inlineStr">
        <is>
          <t>SQM</t>
        </is>
      </c>
      <c r="H765" s="1" t="inlineStr">
        <is>
          <t>Porcelain</t>
        </is>
      </c>
      <c r="I765" s="1" t="inlineStr">
        <is>
          <t>Matt</t>
        </is>
      </c>
      <c r="J765" t="n">
        <v>186</v>
      </c>
      <c r="K765" t="n">
        <v>186</v>
      </c>
      <c r="L765" t="n">
        <v>186</v>
      </c>
    </row>
    <row r="766">
      <c r="A766" s="1">
        <f>Hyperlink("https://www.wallsandfloors.co.uk/saloon-tiles-tavern-white-wood-tiles","Product")</f>
        <v/>
      </c>
      <c r="B766" s="1" t="inlineStr">
        <is>
          <t>14416</t>
        </is>
      </c>
      <c r="C766" s="1" t="inlineStr">
        <is>
          <t>Saloon Tavern White Wood Effect Tiles</t>
        </is>
      </c>
      <c r="D766" s="1" t="inlineStr">
        <is>
          <t>900x150x9.5mm</t>
        </is>
      </c>
      <c r="E766" s="1" t="n">
        <v>40.95</v>
      </c>
      <c r="F766" s="1" t="n">
        <v>0</v>
      </c>
      <c r="G766" s="1" t="inlineStr">
        <is>
          <t>SQM</t>
        </is>
      </c>
      <c r="H766" s="1" t="inlineStr">
        <is>
          <t>Porcelain</t>
        </is>
      </c>
      <c r="I766" s="1" t="inlineStr">
        <is>
          <t>Matt</t>
        </is>
      </c>
      <c r="J766" t="inlineStr">
        <is>
          <t>Out of Stock</t>
        </is>
      </c>
      <c r="K766" t="inlineStr">
        <is>
          <t>Out of Stock</t>
        </is>
      </c>
      <c r="L766" t="n">
        <v>213</v>
      </c>
    </row>
    <row r="767">
      <c r="A767" s="1">
        <f>Hyperlink("https://www.wallsandfloors.co.uk/sand-wave-polished-desert-black-60x60-tiles","Product")</f>
        <v/>
      </c>
      <c r="B767" s="1" t="inlineStr">
        <is>
          <t>39149</t>
        </is>
      </c>
      <c r="C767" s="1" t="inlineStr">
        <is>
          <t>Titanic Wave Polished Desert Black 60X60 Tiles</t>
        </is>
      </c>
      <c r="D767" s="1" t="inlineStr">
        <is>
          <t>600x600x9mm</t>
        </is>
      </c>
      <c r="E767" s="1" t="n">
        <v>26.95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Polished</t>
        </is>
      </c>
      <c r="J767" t="inlineStr"/>
      <c r="K767" t="n">
        <v>353</v>
      </c>
      <c r="L767" t="n">
        <v>353</v>
      </c>
    </row>
    <row r="768">
      <c r="A768" s="1">
        <f>Hyperlink("https://www.wallsandfloors.co.uk/shimmer-mosaic-tiles-lipari-mosaic-tiles","Product")</f>
        <v/>
      </c>
      <c r="B768" s="1" t="inlineStr">
        <is>
          <t>12158</t>
        </is>
      </c>
      <c r="C768" s="1" t="inlineStr">
        <is>
          <t>Shimmer Lipari Mosaic Tiles</t>
        </is>
      </c>
      <c r="D768" s="1" t="inlineStr">
        <is>
          <t>330x330x4mm</t>
        </is>
      </c>
      <c r="E768" s="1" t="n">
        <v>15.95</v>
      </c>
      <c r="F768" s="1" t="n">
        <v>0</v>
      </c>
      <c r="G768" s="1" t="inlineStr">
        <is>
          <t>Sheet</t>
        </is>
      </c>
      <c r="H768" s="1" t="inlineStr">
        <is>
          <t>Glass</t>
        </is>
      </c>
      <c r="I768" s="1" t="inlineStr">
        <is>
          <t>Gloss</t>
        </is>
      </c>
      <c r="J768" t="inlineStr">
        <is>
          <t>In Stock</t>
        </is>
      </c>
      <c r="K768" t="inlineStr">
        <is>
          <t>In Stock</t>
        </is>
      </c>
      <c r="L768" t="inlineStr">
        <is>
          <t>In Stock</t>
        </is>
      </c>
    </row>
    <row r="769">
      <c r="A769" s="1">
        <f>Hyperlink("https://www.wallsandfloors.co.uk/sherwood-light-grey-20mm-wood-effect-tiles","Product")</f>
        <v/>
      </c>
      <c r="B769" s="1" t="inlineStr">
        <is>
          <t>44380</t>
        </is>
      </c>
      <c r="C769" s="1" t="inlineStr">
        <is>
          <t>Sherwood Light Grey Wood Effect Porcelain Paving Slabs</t>
        </is>
      </c>
      <c r="D769" s="1" t="inlineStr">
        <is>
          <t>1195x295x20mm</t>
        </is>
      </c>
      <c r="E769" s="1" t="n">
        <v>48.95</v>
      </c>
      <c r="F769" s="1" t="n">
        <v>0</v>
      </c>
      <c r="G769" s="1" t="inlineStr">
        <is>
          <t>SQM</t>
        </is>
      </c>
      <c r="H769" s="1" t="inlineStr">
        <is>
          <t>Porcelain</t>
        </is>
      </c>
      <c r="I769" s="1" t="inlineStr">
        <is>
          <t>Matt</t>
        </is>
      </c>
      <c r="J769" t="n">
        <v>125</v>
      </c>
      <c r="K769" t="n">
        <v>125</v>
      </c>
      <c r="L769" t="n">
        <v>125</v>
      </c>
    </row>
    <row r="770">
      <c r="A770" s="1">
        <f>Hyperlink("https://www.wallsandfloors.co.uk/sherwood-grey-20mm-wood-effect-tiles","Product")</f>
        <v/>
      </c>
      <c r="B770" s="1" t="inlineStr">
        <is>
          <t>44425</t>
        </is>
      </c>
      <c r="C770" s="1" t="inlineStr">
        <is>
          <t>Sherwood Grey Wood Effect Porcelain Paving Slabs</t>
        </is>
      </c>
      <c r="D770" s="1" t="inlineStr">
        <is>
          <t>1195x295x20mm</t>
        </is>
      </c>
      <c r="E770" s="1" t="n">
        <v>48.95</v>
      </c>
      <c r="F770" s="1" t="n">
        <v>0</v>
      </c>
      <c r="G770" s="1" t="inlineStr">
        <is>
          <t>SQM</t>
        </is>
      </c>
      <c r="H770" s="1" t="inlineStr">
        <is>
          <t>Porcelain</t>
        </is>
      </c>
      <c r="I770" s="1" t="inlineStr">
        <is>
          <t>Matt</t>
        </is>
      </c>
      <c r="J770" t="inlineStr">
        <is>
          <t>In Stock</t>
        </is>
      </c>
      <c r="K770" t="inlineStr"/>
      <c r="L770" t="inlineStr">
        <is>
          <t>Out of Stock</t>
        </is>
      </c>
    </row>
    <row r="771">
      <c r="A771" s="1">
        <f>Hyperlink("https://www.wallsandfloors.co.uk/sevenoaks-polished-timber-tiles-tudor-oak-polished-wood-effect-tiles","Product")</f>
        <v/>
      </c>
      <c r="B771" s="1" t="inlineStr">
        <is>
          <t>14861</t>
        </is>
      </c>
      <c r="C771" s="1" t="inlineStr">
        <is>
          <t>Sevenoaks Tudor Oak Polished Wood Effect Tiles</t>
        </is>
      </c>
      <c r="D771" s="1" t="inlineStr">
        <is>
          <t>1140x200x10mm</t>
        </is>
      </c>
      <c r="E771" s="1" t="n">
        <v>26.95</v>
      </c>
      <c r="F771" s="1" t="n">
        <v>0</v>
      </c>
      <c r="G771" s="1" t="inlineStr">
        <is>
          <t>SQM</t>
        </is>
      </c>
      <c r="H771" s="1" t="inlineStr">
        <is>
          <t>Porcelain</t>
        </is>
      </c>
      <c r="I771" s="1" t="inlineStr">
        <is>
          <t>Gloss</t>
        </is>
      </c>
      <c r="J771" t="inlineStr">
        <is>
          <t>In Stock</t>
        </is>
      </c>
      <c r="K771" t="inlineStr">
        <is>
          <t>In Stock</t>
        </is>
      </c>
      <c r="L771" t="inlineStr">
        <is>
          <t>In Stock</t>
        </is>
      </c>
    </row>
    <row r="772">
      <c r="A772" s="1">
        <f>Hyperlink("https://www.wallsandfloors.co.uk/serpentine-stone-effect-multi-colour-stone-effect-tiles","Product")</f>
        <v/>
      </c>
      <c r="B772" s="1" t="inlineStr">
        <is>
          <t>13988</t>
        </is>
      </c>
      <c r="C772" s="1" t="inlineStr">
        <is>
          <t>Multi Colour Stone Effect Tiles</t>
        </is>
      </c>
      <c r="D772" s="1" t="inlineStr">
        <is>
          <t>600x300x7mm</t>
        </is>
      </c>
      <c r="E772" s="1" t="n">
        <v>34.95</v>
      </c>
      <c r="F772" s="1" t="n">
        <v>0</v>
      </c>
      <c r="G772" s="1" t="inlineStr">
        <is>
          <t>SQM</t>
        </is>
      </c>
      <c r="H772" s="1" t="inlineStr">
        <is>
          <t>Porcelain</t>
        </is>
      </c>
      <c r="I772" s="1" t="inlineStr">
        <is>
          <t>Matt</t>
        </is>
      </c>
      <c r="J772" t="inlineStr">
        <is>
          <t>In Stock</t>
        </is>
      </c>
      <c r="K772" t="inlineStr">
        <is>
          <t>In Stock</t>
        </is>
      </c>
      <c r="L772" t="inlineStr">
        <is>
          <t>In Stock</t>
        </is>
      </c>
    </row>
    <row r="773">
      <c r="A773" s="1">
        <f>Hyperlink("https://www.wallsandfloors.co.uk/serpentine-stone-effect-grey-stone-effect-tiles","Product")</f>
        <v/>
      </c>
      <c r="B773" s="1" t="inlineStr">
        <is>
          <t>13986</t>
        </is>
      </c>
      <c r="C773" s="1" t="inlineStr">
        <is>
          <t>Grey Stone Effect Tiles</t>
        </is>
      </c>
      <c r="D773" s="1" t="inlineStr">
        <is>
          <t>600x300x7mm</t>
        </is>
      </c>
      <c r="E773" s="1" t="n">
        <v>34.95</v>
      </c>
      <c r="F773" s="1" t="n">
        <v>0</v>
      </c>
      <c r="G773" s="1" t="inlineStr">
        <is>
          <t>SQM</t>
        </is>
      </c>
      <c r="H773" s="1" t="inlineStr">
        <is>
          <t>Porcelain</t>
        </is>
      </c>
      <c r="I773" s="1" t="inlineStr">
        <is>
          <t>Matt</t>
        </is>
      </c>
      <c r="J773" t="inlineStr">
        <is>
          <t>In Stock</t>
        </is>
      </c>
      <c r="K773" t="inlineStr"/>
      <c r="L773" t="inlineStr">
        <is>
          <t>In Stock</t>
        </is>
      </c>
    </row>
    <row r="774">
      <c r="A774" s="1">
        <f>Hyperlink("https://www.wallsandfloors.co.uk/serpentine-stone-effect-beige-stone-effect-tiles","Product")</f>
        <v/>
      </c>
      <c r="B774" s="1" t="inlineStr">
        <is>
          <t>13985</t>
        </is>
      </c>
      <c r="C774" s="1" t="inlineStr">
        <is>
          <t>Beige Stone Effect Tiles</t>
        </is>
      </c>
      <c r="D774" s="1" t="inlineStr">
        <is>
          <t>600x300x7mm</t>
        </is>
      </c>
      <c r="E774" s="1" t="n">
        <v>34.95</v>
      </c>
      <c r="F774" s="1" t="n">
        <v>0</v>
      </c>
      <c r="G774" s="1" t="inlineStr">
        <is>
          <t>SQM</t>
        </is>
      </c>
      <c r="H774" s="1" t="inlineStr">
        <is>
          <t>Porcelain</t>
        </is>
      </c>
      <c r="I774" s="1" t="inlineStr">
        <is>
          <t>Matt</t>
        </is>
      </c>
      <c r="J774" t="inlineStr">
        <is>
          <t>In Stock</t>
        </is>
      </c>
      <c r="K774" t="inlineStr">
        <is>
          <t>In Stock</t>
        </is>
      </c>
      <c r="L774" t="inlineStr">
        <is>
          <t>In Stock</t>
        </is>
      </c>
    </row>
    <row r="775">
      <c r="A775" s="1">
        <f>Hyperlink("https://www.wallsandfloors.co.uk/serenity-tiles-shaded-grey-matt-floor-tiles","Product")</f>
        <v/>
      </c>
      <c r="B775" s="1" t="inlineStr">
        <is>
          <t>14152</t>
        </is>
      </c>
      <c r="C775" s="1" t="inlineStr">
        <is>
          <t>Shaded Grey Matt Floor Tiles</t>
        </is>
      </c>
      <c r="D775" s="1" t="inlineStr">
        <is>
          <t>600x300x9mm</t>
        </is>
      </c>
      <c r="E775" s="1" t="n">
        <v>27.95</v>
      </c>
      <c r="F775" s="1" t="n">
        <v>0</v>
      </c>
      <c r="G775" s="1" t="inlineStr">
        <is>
          <t>SQM</t>
        </is>
      </c>
      <c r="H775" s="1" t="inlineStr">
        <is>
          <t>Porcelain</t>
        </is>
      </c>
      <c r="I775" s="1" t="inlineStr">
        <is>
          <t>Matt</t>
        </is>
      </c>
      <c r="J775" t="inlineStr"/>
      <c r="K775" t="inlineStr">
        <is>
          <t>In Stock</t>
        </is>
      </c>
      <c r="L775" t="inlineStr">
        <is>
          <t>In Stock</t>
        </is>
      </c>
    </row>
    <row r="776">
      <c r="A776" s="1">
        <f>Hyperlink("https://www.wallsandfloors.co.uk/seraglio-marble-effect-tiles-lambeth-palace-wall-tiles","Product")</f>
        <v/>
      </c>
      <c r="B776" s="1" t="inlineStr">
        <is>
          <t>13329</t>
        </is>
      </c>
      <c r="C776" s="1" t="inlineStr">
        <is>
          <t>Lambeth Palace Wall Tiles</t>
        </is>
      </c>
      <c r="D776" s="1" t="inlineStr">
        <is>
          <t>600x300x11mm</t>
        </is>
      </c>
      <c r="E776" s="1" t="n">
        <v>35.95</v>
      </c>
      <c r="F776" s="1" t="n">
        <v>0</v>
      </c>
      <c r="G776" s="1" t="inlineStr">
        <is>
          <t>SQM</t>
        </is>
      </c>
      <c r="H776" s="1" t="inlineStr">
        <is>
          <t>Ceramic</t>
        </is>
      </c>
      <c r="I776" s="1" t="inlineStr">
        <is>
          <t>Gloss</t>
        </is>
      </c>
      <c r="J776" t="inlineStr">
        <is>
          <t>In Stock</t>
        </is>
      </c>
      <c r="K776" t="inlineStr">
        <is>
          <t>In Stock</t>
        </is>
      </c>
      <c r="L776" t="inlineStr">
        <is>
          <t>In Stock</t>
        </is>
      </c>
    </row>
    <row r="777">
      <c r="A777" s="1">
        <f>Hyperlink("https://www.wallsandfloors.co.uk/seraglio-marble-effect-tiles-lambeth-palace-floor-tiles","Product")</f>
        <v/>
      </c>
      <c r="B777" s="1" t="inlineStr">
        <is>
          <t>13316</t>
        </is>
      </c>
      <c r="C777" s="1" t="inlineStr">
        <is>
          <t>Lambeth Palace Floor Tiles</t>
        </is>
      </c>
      <c r="D777" s="1" t="inlineStr">
        <is>
          <t>600x600x10mm</t>
        </is>
      </c>
      <c r="E777" s="1" t="n">
        <v>45.95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Gloss</t>
        </is>
      </c>
      <c r="J777" t="inlineStr">
        <is>
          <t>In Stock</t>
        </is>
      </c>
      <c r="K777" t="inlineStr">
        <is>
          <t>In Stock</t>
        </is>
      </c>
      <c r="L777" t="inlineStr">
        <is>
          <t>In Stock</t>
        </is>
      </c>
    </row>
    <row r="778">
      <c r="A778" s="1">
        <f>Hyperlink("https://www.wallsandfloors.co.uk/seraglio-marble-effect-tiles-kensington-palace-wall-tiles","Product")</f>
        <v/>
      </c>
      <c r="B778" s="1" t="inlineStr">
        <is>
          <t>13323</t>
        </is>
      </c>
      <c r="C778" s="1" t="inlineStr">
        <is>
          <t>Kensington Palace Wall Tiles</t>
        </is>
      </c>
      <c r="D778" s="1" t="inlineStr">
        <is>
          <t>600x300x11mm</t>
        </is>
      </c>
      <c r="E778" s="1" t="n">
        <v>35.95</v>
      </c>
      <c r="F778" s="1" t="n">
        <v>0</v>
      </c>
      <c r="G778" s="1" t="inlineStr">
        <is>
          <t>SQM</t>
        </is>
      </c>
      <c r="H778" s="1" t="inlineStr">
        <is>
          <t>Ceramic</t>
        </is>
      </c>
      <c r="I778" s="1" t="inlineStr">
        <is>
          <t>Gloss</t>
        </is>
      </c>
      <c r="J778" t="inlineStr">
        <is>
          <t>In Stock</t>
        </is>
      </c>
      <c r="K778" t="inlineStr">
        <is>
          <t>In Stock</t>
        </is>
      </c>
      <c r="L778" t="inlineStr">
        <is>
          <t>In Stock</t>
        </is>
      </c>
    </row>
    <row r="779">
      <c r="A779" s="1">
        <f>Hyperlink("https://www.wallsandfloors.co.uk/seraglio-marble-effect-tiles-kensington-palace-floor-tiles","Product")</f>
        <v/>
      </c>
      <c r="B779" s="1" t="inlineStr">
        <is>
          <t>13312</t>
        </is>
      </c>
      <c r="C779" s="1" t="inlineStr">
        <is>
          <t>Kensington Palace Floor Tiles</t>
        </is>
      </c>
      <c r="D779" s="1" t="inlineStr">
        <is>
          <t>600x600x10mm</t>
        </is>
      </c>
      <c r="E779" s="1" t="n">
        <v>44.95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Gloss</t>
        </is>
      </c>
      <c r="J779" t="inlineStr">
        <is>
          <t>In Stock</t>
        </is>
      </c>
      <c r="K779" t="inlineStr">
        <is>
          <t>In Stock</t>
        </is>
      </c>
      <c r="L779" t="inlineStr">
        <is>
          <t>In Stock</t>
        </is>
      </c>
    </row>
    <row r="780">
      <c r="A780" s="1">
        <f>Hyperlink("https://www.wallsandfloors.co.uk/seraglio-marble-effect-tiles-buckingham-palace-floor-tiles","Product")</f>
        <v/>
      </c>
      <c r="B780" s="1" t="inlineStr">
        <is>
          <t>13309</t>
        </is>
      </c>
      <c r="C780" s="1" t="inlineStr">
        <is>
          <t>Buckingham Palace Floor Tiles</t>
        </is>
      </c>
      <c r="D780" s="1" t="inlineStr">
        <is>
          <t>600x600x10mm</t>
        </is>
      </c>
      <c r="E780" s="1" t="n">
        <v>45.95</v>
      </c>
      <c r="F780" s="1" t="n">
        <v>0</v>
      </c>
      <c r="G780" s="1" t="inlineStr">
        <is>
          <t>SQM</t>
        </is>
      </c>
      <c r="H780" s="1" t="inlineStr">
        <is>
          <t>Porcelain</t>
        </is>
      </c>
      <c r="I780" s="1" t="inlineStr">
        <is>
          <t>Gloss</t>
        </is>
      </c>
      <c r="J780" t="n">
        <v>56</v>
      </c>
      <c r="K780" t="n">
        <v>56</v>
      </c>
      <c r="L780" t="n">
        <v>56</v>
      </c>
    </row>
    <row r="781">
      <c r="A781" s="1">
        <f>Hyperlink("https://www.wallsandfloors.co.uk/seasoned-timber-tiles-silvered-ash-wood-effect-tiles","Product")</f>
        <v/>
      </c>
      <c r="B781" s="1" t="inlineStr">
        <is>
          <t>14627</t>
        </is>
      </c>
      <c r="C781" s="1" t="inlineStr">
        <is>
          <t>Seasoned Timber Silvered Ash Wood Effect Tiles</t>
        </is>
      </c>
      <c r="D781" s="1" t="inlineStr">
        <is>
          <t>1000x160x10.5mm</t>
        </is>
      </c>
      <c r="E781" s="1" t="n">
        <v>59.95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inlineStr">
        <is>
          <t>In Stock</t>
        </is>
      </c>
      <c r="K781" t="inlineStr">
        <is>
          <t>In Stock</t>
        </is>
      </c>
      <c r="L781" t="inlineStr">
        <is>
          <t>In Stock</t>
        </is>
      </c>
    </row>
    <row r="782">
      <c r="A782" s="1">
        <f>Hyperlink("https://www.wallsandfloors.co.uk/sea-green-matt-tiles","Product")</f>
        <v/>
      </c>
      <c r="B782" s="1" t="inlineStr">
        <is>
          <t>13684</t>
        </is>
      </c>
      <c r="C782" s="1" t="inlineStr">
        <is>
          <t>Marvel Matt Sea Green Wall Tiles</t>
        </is>
      </c>
      <c r="D782" s="1" t="inlineStr">
        <is>
          <t>148x148x6mm</t>
        </is>
      </c>
      <c r="E782" s="1" t="n">
        <v>23.95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Matt</t>
        </is>
      </c>
      <c r="J782" t="n">
        <v>65</v>
      </c>
      <c r="K782" t="n">
        <v>65</v>
      </c>
      <c r="L782" t="n">
        <v>65</v>
      </c>
    </row>
    <row r="783">
      <c r="A783" s="1">
        <f>Hyperlink("https://www.wallsandfloors.co.uk/scintilla-sapphire-tiles","Product")</f>
        <v/>
      </c>
      <c r="B783" s="1" t="inlineStr">
        <is>
          <t>39076</t>
        </is>
      </c>
      <c r="C783" s="1" t="inlineStr">
        <is>
          <t>Scintilla Sapphire Star Pattern Tiles</t>
        </is>
      </c>
      <c r="D783" s="1" t="inlineStr">
        <is>
          <t>450x450x10.5mm</t>
        </is>
      </c>
      <c r="E783" s="1" t="n">
        <v>19.95</v>
      </c>
      <c r="F783" s="1" t="n">
        <v>0</v>
      </c>
      <c r="G783" s="1" t="inlineStr">
        <is>
          <t>SQM</t>
        </is>
      </c>
      <c r="H783" s="1" t="inlineStr">
        <is>
          <t>Ceramic</t>
        </is>
      </c>
      <c r="I783" s="1" t="inlineStr">
        <is>
          <t>Matt</t>
        </is>
      </c>
      <c r="J783" t="n">
        <v>119</v>
      </c>
      <c r="K783" t="n">
        <v>114</v>
      </c>
      <c r="L783" t="n">
        <v>1217</v>
      </c>
    </row>
    <row r="784">
      <c r="A784" s="1">
        <f>Hyperlink("https://www.wallsandfloors.co.uk/scintilla-night-pattern-tiles","Product")</f>
        <v/>
      </c>
      <c r="B784" s="1" t="inlineStr">
        <is>
          <t>44251</t>
        </is>
      </c>
      <c r="C784" s="1" t="inlineStr">
        <is>
          <t>Scintilla Night Pattern Tiles</t>
        </is>
      </c>
      <c r="D784" s="1" t="inlineStr">
        <is>
          <t>450x450x10.5mm</t>
        </is>
      </c>
      <c r="E784" s="1" t="n">
        <v>19.95</v>
      </c>
      <c r="F784" s="1" t="n">
        <v>0</v>
      </c>
      <c r="G784" s="1" t="inlineStr">
        <is>
          <t>SQM</t>
        </is>
      </c>
      <c r="H784" s="1" t="inlineStr">
        <is>
          <t>Ceramic</t>
        </is>
      </c>
      <c r="I784" s="1" t="inlineStr">
        <is>
          <t>Matt</t>
        </is>
      </c>
      <c r="J784" t="inlineStr"/>
      <c r="K784" t="inlineStr"/>
      <c r="L784" t="n">
        <v>576</v>
      </c>
    </row>
    <row r="785">
      <c r="A785" s="1">
        <f>Hyperlink("https://www.wallsandfloors.co.uk/schluter-systems-schluter-kerdi-kereck-external-angle","Product")</f>
        <v/>
      </c>
      <c r="B785" s="1" t="inlineStr">
        <is>
          <t>12910</t>
        </is>
      </c>
      <c r="C785" s="1" t="inlineStr">
        <is>
          <t>Schluter Kerdi-Kereck External Angle</t>
        </is>
      </c>
      <c r="D785" s="1" t="inlineStr">
        <is>
          <t>Corner Shaped</t>
        </is>
      </c>
      <c r="E785" s="1" t="n">
        <v>6.45</v>
      </c>
      <c r="F785" s="1" t="n">
        <v>0</v>
      </c>
      <c r="G785" s="1" t="inlineStr">
        <is>
          <t>Pack</t>
        </is>
      </c>
      <c r="H785" s="1" t="inlineStr">
        <is>
          <t>Preparation Products</t>
        </is>
      </c>
      <c r="I785" s="1" t="inlineStr">
        <is>
          <t>-</t>
        </is>
      </c>
      <c r="J785" t="inlineStr"/>
      <c r="K785" t="inlineStr">
        <is>
          <t>In Stock</t>
        </is>
      </c>
      <c r="L785" t="inlineStr">
        <is>
          <t>In Stock</t>
        </is>
      </c>
    </row>
    <row r="786">
      <c r="A786" s="1">
        <f>Hyperlink("https://www.wallsandfloors.co.uk/schluter-systems-schluter-ditra-matting-roll-cut","Product")</f>
        <v/>
      </c>
      <c r="B786" s="1" t="inlineStr">
        <is>
          <t>10965</t>
        </is>
      </c>
      <c r="C786" s="1" t="inlineStr">
        <is>
          <t>Schluter  Ditra Matting Roll (Cut)</t>
        </is>
      </c>
      <c r="D786" s="1" t="inlineStr">
        <is>
          <t>1m</t>
        </is>
      </c>
      <c r="E786" s="1" t="n">
        <v>13.95</v>
      </c>
      <c r="F786" s="1" t="n">
        <v>0</v>
      </c>
      <c r="G786" s="1" t="inlineStr">
        <is>
          <t>Unit</t>
        </is>
      </c>
      <c r="H786" s="1" t="inlineStr">
        <is>
          <t>Preparation Products</t>
        </is>
      </c>
      <c r="I786" s="1" t="inlineStr">
        <is>
          <t>-</t>
        </is>
      </c>
      <c r="J786" t="inlineStr"/>
      <c r="K786" t="inlineStr">
        <is>
          <t>In Stock</t>
        </is>
      </c>
      <c r="L786" t="inlineStr">
        <is>
          <t>In Stock</t>
        </is>
      </c>
    </row>
    <row r="787">
      <c r="A787" s="1">
        <f>Hyperlink("https://www.wallsandfloors.co.uk/schluter-systems-schluter-ditra-matting-roll","Product")</f>
        <v/>
      </c>
      <c r="B787" s="1" t="inlineStr">
        <is>
          <t>10425</t>
        </is>
      </c>
      <c r="C787" s="1" t="inlineStr">
        <is>
          <t>Schluter Ditra Matting Roll</t>
        </is>
      </c>
      <c r="D787" s="1" t="inlineStr">
        <is>
          <t>30m</t>
        </is>
      </c>
      <c r="E787" s="1" t="n">
        <v>369.95</v>
      </c>
      <c r="F787" s="1" t="n">
        <v>0</v>
      </c>
      <c r="G787" s="1" t="inlineStr">
        <is>
          <t>Unit</t>
        </is>
      </c>
      <c r="H787" s="1" t="inlineStr">
        <is>
          <t>Preparation Products</t>
        </is>
      </c>
      <c r="I787" s="1" t="inlineStr">
        <is>
          <t>-</t>
        </is>
      </c>
      <c r="J787" t="n">
        <v>56</v>
      </c>
      <c r="K787" t="n">
        <v>56</v>
      </c>
      <c r="L787" t="n">
        <v>56</v>
      </c>
    </row>
    <row r="788">
      <c r="A788" s="1">
        <f>Hyperlink("https://www.wallsandfloors.co.uk/schluter-systems-ditra-sound-heavy-pe-mat","Product")</f>
        <v/>
      </c>
      <c r="B788" s="1" t="inlineStr">
        <is>
          <t>14419</t>
        </is>
      </c>
      <c r="C788" s="1" t="inlineStr">
        <is>
          <t>Ditra Sound Heavy Pe Mat</t>
        </is>
      </c>
      <c r="D788" s="1" t="inlineStr">
        <is>
          <t>750x550x3.5mm</t>
        </is>
      </c>
      <c r="E788" s="1" t="n">
        <v>9.949999999999999</v>
      </c>
      <c r="F788" s="1" t="n">
        <v>0</v>
      </c>
      <c r="G788" s="1" t="inlineStr">
        <is>
          <t>Units</t>
        </is>
      </c>
      <c r="H788" s="1" t="inlineStr">
        <is>
          <t>-</t>
        </is>
      </c>
      <c r="I788" s="1" t="inlineStr">
        <is>
          <t>Matt</t>
        </is>
      </c>
      <c r="J788" t="inlineStr"/>
      <c r="K788" t="n">
        <v>7</v>
      </c>
      <c r="L788" t="n">
        <v>7</v>
      </c>
    </row>
    <row r="789">
      <c r="A789" s="1">
        <f>Hyperlink("https://www.wallsandfloors.co.uk/santarem-anti-slip-tiles-pale-blue-anti-slip-tiles","Product")</f>
        <v/>
      </c>
      <c r="B789" s="1" t="inlineStr">
        <is>
          <t>11378</t>
        </is>
      </c>
      <c r="C789" s="1" t="inlineStr">
        <is>
          <t>Santarem Pale Blue Anti-Slip Tiles</t>
        </is>
      </c>
      <c r="D789" s="1" t="inlineStr">
        <is>
          <t>197x197x9mm</t>
        </is>
      </c>
      <c r="E789" s="1" t="n">
        <v>25.95</v>
      </c>
      <c r="F789" s="1" t="n">
        <v>0</v>
      </c>
      <c r="G789" s="1" t="inlineStr">
        <is>
          <t>SQM</t>
        </is>
      </c>
      <c r="H789" s="1" t="inlineStr">
        <is>
          <t>Porcelain</t>
        </is>
      </c>
      <c r="I789" s="1" t="inlineStr">
        <is>
          <t>Matt</t>
        </is>
      </c>
      <c r="J789" t="n">
        <v>177</v>
      </c>
      <c r="K789" t="inlineStr"/>
      <c r="L789" t="n">
        <v>177</v>
      </c>
    </row>
    <row r="790">
      <c r="A790" s="1">
        <f>Hyperlink("https://www.wallsandfloors.co.uk/santarem-anti-slip-tiles-black-anti-slip-tiles","Product")</f>
        <v/>
      </c>
      <c r="B790" s="1" t="inlineStr">
        <is>
          <t>11376</t>
        </is>
      </c>
      <c r="C790" s="1" t="inlineStr">
        <is>
          <t>Santarem Black Anti-Slip Tiles</t>
        </is>
      </c>
      <c r="D790" s="1" t="inlineStr">
        <is>
          <t>197x197x9mm</t>
        </is>
      </c>
      <c r="E790" s="1" t="n">
        <v>25.95</v>
      </c>
      <c r="F790" s="1" t="n">
        <v>0</v>
      </c>
      <c r="G790" s="1" t="inlineStr">
        <is>
          <t>SQM</t>
        </is>
      </c>
      <c r="H790" s="1" t="inlineStr">
        <is>
          <t>Porcelain</t>
        </is>
      </c>
      <c r="I790" s="1" t="inlineStr">
        <is>
          <t>Matt</t>
        </is>
      </c>
      <c r="J790" t="n">
        <v>83</v>
      </c>
      <c r="K790" t="inlineStr"/>
      <c r="L790" t="n">
        <v>83</v>
      </c>
    </row>
    <row r="791">
      <c r="A791" s="1">
        <f>Hyperlink("https://www.wallsandfloors.co.uk/ruvido-hexagon-tiles-oppidan-city-tiles","Product")</f>
        <v/>
      </c>
      <c r="B791" s="1" t="inlineStr">
        <is>
          <t>14323</t>
        </is>
      </c>
      <c r="C791" s="1" t="inlineStr">
        <is>
          <t>Ruvido Oppidan City Hexagon Tiles</t>
        </is>
      </c>
      <c r="D791" s="1" t="inlineStr">
        <is>
          <t>450x450x9mm</t>
        </is>
      </c>
      <c r="E791" s="1" t="n">
        <v>15</v>
      </c>
      <c r="F791" s="1" t="n">
        <v>0</v>
      </c>
      <c r="G791" s="1" t="inlineStr">
        <is>
          <t>SQM</t>
        </is>
      </c>
      <c r="H791" s="1" t="inlineStr">
        <is>
          <t>Porcelain</t>
        </is>
      </c>
      <c r="I791" s="1" t="inlineStr">
        <is>
          <t>Matt</t>
        </is>
      </c>
      <c r="J791" t="n">
        <v>0</v>
      </c>
      <c r="K791" t="inlineStr"/>
      <c r="L791" t="n">
        <v>0</v>
      </c>
    </row>
    <row r="792">
      <c r="A792" s="1">
        <f>Hyperlink("https://www.wallsandfloors.co.uk/shimmer-mosaic-tiles-san-domino-mosaic-tiles","Product")</f>
        <v/>
      </c>
      <c r="B792" s="1" t="inlineStr">
        <is>
          <t>12163</t>
        </is>
      </c>
      <c r="C792" s="1" t="inlineStr">
        <is>
          <t>San Domino Mosaic Tiles</t>
        </is>
      </c>
      <c r="D792" s="1" t="inlineStr">
        <is>
          <t>330x330x4mm</t>
        </is>
      </c>
      <c r="E792" s="1" t="n">
        <v>13.95</v>
      </c>
      <c r="F792" s="1" t="n">
        <v>0</v>
      </c>
      <c r="G792" s="1" t="inlineStr">
        <is>
          <t>Sheet</t>
        </is>
      </c>
      <c r="H792" s="1" t="inlineStr">
        <is>
          <t>Glass</t>
        </is>
      </c>
      <c r="I792" s="1" t="inlineStr">
        <is>
          <t>Gloss</t>
        </is>
      </c>
      <c r="J792" t="inlineStr">
        <is>
          <t>In Stock</t>
        </is>
      </c>
      <c r="K792" t="inlineStr">
        <is>
          <t>In Stock</t>
        </is>
      </c>
      <c r="L792" t="inlineStr">
        <is>
          <t>In Stock</t>
        </is>
      </c>
    </row>
    <row r="793">
      <c r="A793" s="1">
        <f>Hyperlink("https://www.wallsandfloors.co.uk/ruvido-hexagon-tiles-folk-tale-tiles","Product")</f>
        <v/>
      </c>
      <c r="B793" s="1" t="inlineStr">
        <is>
          <t>14321</t>
        </is>
      </c>
      <c r="C793" s="1" t="inlineStr">
        <is>
          <t>Ruvido Folk Tale Hexagon Tiles</t>
        </is>
      </c>
      <c r="D793" s="1" t="inlineStr">
        <is>
          <t>450x450x9mm</t>
        </is>
      </c>
      <c r="E793" s="1" t="n">
        <v>30.95</v>
      </c>
      <c r="F793" s="1" t="n">
        <v>0</v>
      </c>
      <c r="G793" s="1" t="inlineStr">
        <is>
          <t>SQM</t>
        </is>
      </c>
      <c r="H793" s="1" t="inlineStr">
        <is>
          <t>Porcelain</t>
        </is>
      </c>
      <c r="I793" s="1" t="inlineStr">
        <is>
          <t>Matt</t>
        </is>
      </c>
      <c r="J793" t="inlineStr"/>
      <c r="K793" t="inlineStr"/>
      <c r="L793" t="inlineStr">
        <is>
          <t>In Stock</t>
        </is>
      </c>
    </row>
    <row r="794">
      <c r="A794" s="1">
        <f>Hyperlink("https://www.wallsandfloors.co.uk/rustic-shimmer-copper-tiles","Product")</f>
        <v/>
      </c>
      <c r="B794" s="1" t="inlineStr">
        <is>
          <t>37275</t>
        </is>
      </c>
      <c r="C794" s="1" t="inlineStr">
        <is>
          <t>Crystal Rustic Shimmer Copper Split Face Tiles</t>
        </is>
      </c>
      <c r="D794" s="1" t="inlineStr">
        <is>
          <t>300x150x8-15mm</t>
        </is>
      </c>
      <c r="E794" s="1" t="n">
        <v>54.95</v>
      </c>
      <c r="F794" s="1" t="n">
        <v>0</v>
      </c>
      <c r="G794" s="1" t="inlineStr">
        <is>
          <t>SQM</t>
        </is>
      </c>
      <c r="H794" s="1" t="inlineStr">
        <is>
          <t>Quartzite</t>
        </is>
      </c>
      <c r="I794" s="1" t="inlineStr">
        <is>
          <t>Matt</t>
        </is>
      </c>
      <c r="J794" t="n">
        <v>84</v>
      </c>
      <c r="K794" t="n">
        <v>84</v>
      </c>
      <c r="L794" t="n">
        <v>84</v>
      </c>
    </row>
    <row r="795">
      <c r="A795" s="1">
        <f>Hyperlink("https://www.wallsandfloors.co.uk/rubi-tools-3mm-spacers","Product")</f>
        <v/>
      </c>
      <c r="B795" s="1" t="inlineStr">
        <is>
          <t>9114</t>
        </is>
      </c>
      <c r="C795" s="1" t="inlineStr">
        <is>
          <t>3mm Spacers</t>
        </is>
      </c>
      <c r="D795" s="1" t="inlineStr">
        <is>
          <t>3mm - 1000pk</t>
        </is>
      </c>
      <c r="E795" s="1" t="n">
        <v>9.449999999999999</v>
      </c>
      <c r="F795" s="1" t="n">
        <v>0</v>
      </c>
      <c r="G795" s="1" t="inlineStr">
        <is>
          <t>Unit</t>
        </is>
      </c>
      <c r="H795" s="1" t="inlineStr">
        <is>
          <t>Spacers</t>
        </is>
      </c>
      <c r="I795" s="1" t="inlineStr">
        <is>
          <t>-</t>
        </is>
      </c>
      <c r="J795" t="inlineStr"/>
      <c r="K795" t="inlineStr"/>
      <c r="L795" t="inlineStr">
        <is>
          <t>In Stock</t>
        </is>
      </c>
    </row>
    <row r="796">
      <c r="A796" s="1">
        <f>Hyperlink("https://www.wallsandfloors.co.uk/rubi-tools-1mm-spacers","Product")</f>
        <v/>
      </c>
      <c r="B796" s="1" t="inlineStr">
        <is>
          <t>9078</t>
        </is>
      </c>
      <c r="C796" s="1" t="inlineStr">
        <is>
          <t>1mm Spacers</t>
        </is>
      </c>
      <c r="D796" s="1" t="inlineStr">
        <is>
          <t>1mm - 1000pk</t>
        </is>
      </c>
      <c r="E796" s="1" t="n">
        <v>6.95</v>
      </c>
      <c r="F796" s="1" t="n">
        <v>0</v>
      </c>
      <c r="G796" s="1" t="inlineStr">
        <is>
          <t>Unit</t>
        </is>
      </c>
      <c r="H796" s="1" t="inlineStr">
        <is>
          <t>Spacers</t>
        </is>
      </c>
      <c r="I796" s="1" t="inlineStr">
        <is>
          <t>-</t>
        </is>
      </c>
      <c r="J796" t="inlineStr">
        <is>
          <t>In Stock</t>
        </is>
      </c>
      <c r="K796" t="inlineStr">
        <is>
          <t>In Stock</t>
        </is>
      </c>
      <c r="L796" t="inlineStr">
        <is>
          <t>In Stock</t>
        </is>
      </c>
    </row>
    <row r="797">
      <c r="A797" s="1">
        <f>Hyperlink("https://www.wallsandfloors.co.uk/rubi-t-spacers-2mm","Product")</f>
        <v/>
      </c>
      <c r="B797" s="1" t="inlineStr">
        <is>
          <t>35339</t>
        </is>
      </c>
      <c r="C797" s="1" t="inlineStr">
        <is>
          <t>2mm T Spacers</t>
        </is>
      </c>
      <c r="D797" s="1" t="inlineStr">
        <is>
          <t>2mm - 1000pk</t>
        </is>
      </c>
      <c r="E797" s="1" t="n">
        <v>8.949999999999999</v>
      </c>
      <c r="F797" s="1" t="n">
        <v>0</v>
      </c>
      <c r="G797" s="1" t="inlineStr">
        <is>
          <t>Unit</t>
        </is>
      </c>
      <c r="H797" s="1" t="inlineStr">
        <is>
          <t>P.V.C.</t>
        </is>
      </c>
      <c r="I797" s="1" t="inlineStr">
        <is>
          <t>-</t>
        </is>
      </c>
      <c r="J797" t="inlineStr">
        <is>
          <t>In Stock</t>
        </is>
      </c>
      <c r="K797" t="inlineStr">
        <is>
          <t>In Stock</t>
        </is>
      </c>
      <c r="L797" t="inlineStr">
        <is>
          <t>In Stock</t>
        </is>
      </c>
    </row>
    <row r="798">
      <c r="A798" s="1">
        <f>Hyperlink("https://www.wallsandfloors.co.uk/rubi-mini-kit-drygres-diamond-drill-bits-kit","Product")</f>
        <v/>
      </c>
      <c r="B798" s="1" t="inlineStr">
        <is>
          <t>34798</t>
        </is>
      </c>
      <c r="C798" s="1" t="inlineStr">
        <is>
          <t>Mini Drygres Diamond Drill Bits Kit</t>
        </is>
      </c>
      <c r="D798" s="1" t="n">
        <v>1</v>
      </c>
      <c r="E798" s="1" t="n">
        <v>77.55</v>
      </c>
      <c r="F798" s="1" t="n">
        <v>0</v>
      </c>
      <c r="G798" s="1" t="inlineStr">
        <is>
          <t>Unit</t>
        </is>
      </c>
      <c r="H798" s="1" t="inlineStr">
        <is>
          <t>Accessories</t>
        </is>
      </c>
      <c r="I798" s="1" t="inlineStr">
        <is>
          <t>-</t>
        </is>
      </c>
      <c r="J798" t="inlineStr">
        <is>
          <t>In Stock</t>
        </is>
      </c>
      <c r="K798" t="inlineStr">
        <is>
          <t>In Stock</t>
        </is>
      </c>
      <c r="L798" t="inlineStr">
        <is>
          <t>In Stock</t>
        </is>
      </c>
    </row>
    <row r="799">
      <c r="A799" s="1">
        <f>Hyperlink("https://www.wallsandfloors.co.uk/rubi-cpc2-200mm-diamond-blade","Product")</f>
        <v/>
      </c>
      <c r="B799" s="1" t="inlineStr">
        <is>
          <t>27520</t>
        </is>
      </c>
      <c r="C799" s="1" t="inlineStr">
        <is>
          <t>CPC2 200mm Porcelain Tile Diamond Blade</t>
        </is>
      </c>
      <c r="D799" s="1" t="inlineStr">
        <is>
          <t>200mm</t>
        </is>
      </c>
      <c r="E799" s="1" t="n">
        <v>54.85</v>
      </c>
      <c r="F799" s="1" t="n">
        <v>0</v>
      </c>
      <c r="G799" s="1" t="inlineStr"/>
      <c r="H799" s="1" t="inlineStr">
        <is>
          <t>Accessories</t>
        </is>
      </c>
      <c r="I799" s="1" t="inlineStr">
        <is>
          <t>-</t>
        </is>
      </c>
      <c r="J799" t="inlineStr">
        <is>
          <t>In Stock</t>
        </is>
      </c>
      <c r="K799" t="inlineStr"/>
      <c r="L799" t="inlineStr">
        <is>
          <t>In Stock</t>
        </is>
      </c>
    </row>
    <row r="800">
      <c r="A800" s="1">
        <f>Hyperlink("https://www.wallsandfloors.co.uk/rubber-basket-espuerta-no-99-33-l","Product")</f>
        <v/>
      </c>
      <c r="B800" s="1" t="inlineStr">
        <is>
          <t>40423</t>
        </is>
      </c>
      <c r="C800" s="1" t="inlineStr">
        <is>
          <t>Rubber Basket (33 L.)</t>
        </is>
      </c>
      <c r="D800" s="1" t="inlineStr">
        <is>
          <t>33Ltr</t>
        </is>
      </c>
      <c r="E800" s="1" t="n">
        <v>11.79</v>
      </c>
      <c r="F800" s="1" t="n">
        <v>0</v>
      </c>
      <c r="G800" s="1" t="inlineStr">
        <is>
          <t>Unit</t>
        </is>
      </c>
      <c r="H800" s="1" t="inlineStr">
        <is>
          <t>Tools</t>
        </is>
      </c>
      <c r="I800" s="1" t="inlineStr">
        <is>
          <t>-</t>
        </is>
      </c>
      <c r="J800" t="inlineStr">
        <is>
          <t>In Stock</t>
        </is>
      </c>
      <c r="K800" t="inlineStr">
        <is>
          <t>In Stock</t>
        </is>
      </c>
      <c r="L800" t="inlineStr">
        <is>
          <t>In Stock</t>
        </is>
      </c>
    </row>
    <row r="801">
      <c r="A801" s="1">
        <f>Hyperlink("https://www.wallsandfloors.co.uk/rosebery-statement-tiles-white-lane-tiles","Product")</f>
        <v/>
      </c>
      <c r="B801" s="1" t="inlineStr">
        <is>
          <t>35116</t>
        </is>
      </c>
      <c r="C801" s="1" t="inlineStr">
        <is>
          <t>White Lane Tiles</t>
        </is>
      </c>
      <c r="D801" s="1" t="inlineStr">
        <is>
          <t>200x200x6mm</t>
        </is>
      </c>
      <c r="E801" s="1" t="n">
        <v>29.95</v>
      </c>
      <c r="F801" s="1" t="n">
        <v>0</v>
      </c>
      <c r="G801" s="1" t="inlineStr">
        <is>
          <t>SQM</t>
        </is>
      </c>
      <c r="H801" s="1" t="inlineStr">
        <is>
          <t>Porcelain</t>
        </is>
      </c>
      <c r="I801" s="1" t="inlineStr">
        <is>
          <t>Matt</t>
        </is>
      </c>
      <c r="J801" t="n">
        <v>207</v>
      </c>
      <c r="K801" t="n">
        <v>207</v>
      </c>
      <c r="L801" t="n">
        <v>207</v>
      </c>
    </row>
    <row r="802">
      <c r="A802" s="1">
        <f>Hyperlink("https://www.wallsandfloors.co.uk/rosebery-statement-tiles-park-lane-tiles","Product")</f>
        <v/>
      </c>
      <c r="B802" s="1" t="inlineStr">
        <is>
          <t>15608</t>
        </is>
      </c>
      <c r="C802" s="1" t="inlineStr">
        <is>
          <t>Park Lane Tiles</t>
        </is>
      </c>
      <c r="D802" s="1" t="inlineStr">
        <is>
          <t>200x200x6mm</t>
        </is>
      </c>
      <c r="E802" s="1" t="n">
        <v>29.95</v>
      </c>
      <c r="F802" s="1" t="n">
        <v>0</v>
      </c>
      <c r="G802" s="1" t="inlineStr">
        <is>
          <t>SQM</t>
        </is>
      </c>
      <c r="H802" s="1" t="inlineStr">
        <is>
          <t>Porcelain</t>
        </is>
      </c>
      <c r="I802" s="1" t="inlineStr">
        <is>
          <t>Matt</t>
        </is>
      </c>
      <c r="J802" t="n">
        <v>130</v>
      </c>
      <c r="K802" t="inlineStr"/>
      <c r="L802" t="n">
        <v>130</v>
      </c>
    </row>
    <row r="803">
      <c r="A803" s="1">
        <f>Hyperlink("https://www.wallsandfloors.co.uk/rosebery-statement-tiles-may-fair-tiles","Product")</f>
        <v/>
      </c>
      <c r="B803" s="1" t="inlineStr">
        <is>
          <t>15609</t>
        </is>
      </c>
      <c r="C803" s="1" t="inlineStr">
        <is>
          <t>May Fair Tiles</t>
        </is>
      </c>
      <c r="D803" s="1" t="inlineStr">
        <is>
          <t>200x200x6mm</t>
        </is>
      </c>
      <c r="E803" s="1" t="n">
        <v>29.95</v>
      </c>
      <c r="F803" s="1" t="n">
        <v>0</v>
      </c>
      <c r="G803" s="1" t="inlineStr">
        <is>
          <t>SQM</t>
        </is>
      </c>
      <c r="H803" s="1" t="inlineStr">
        <is>
          <t>Porcelain</t>
        </is>
      </c>
      <c r="I803" s="1" t="inlineStr">
        <is>
          <t>Matt</t>
        </is>
      </c>
      <c r="J803" t="n">
        <v>111</v>
      </c>
      <c r="K803" t="n">
        <v>111</v>
      </c>
      <c r="L803" t="n">
        <v>111</v>
      </c>
    </row>
    <row r="804">
      <c r="A804" s="1">
        <f>Hyperlink("https://www.wallsandfloors.co.uk/rosebery-statement-tiles-harley-street-tiles","Product")</f>
        <v/>
      </c>
      <c r="B804" s="1" t="inlineStr">
        <is>
          <t>15610</t>
        </is>
      </c>
      <c r="C804" s="1" t="inlineStr">
        <is>
          <t>Harley Street Tiles</t>
        </is>
      </c>
      <c r="D804" s="1" t="inlineStr">
        <is>
          <t>200x200x6mm</t>
        </is>
      </c>
      <c r="E804" s="1" t="n">
        <v>29.95</v>
      </c>
      <c r="F804" s="1" t="n">
        <v>0</v>
      </c>
      <c r="G804" s="1" t="inlineStr">
        <is>
          <t>SQM</t>
        </is>
      </c>
      <c r="H804" s="1" t="inlineStr">
        <is>
          <t>Porcelain</t>
        </is>
      </c>
      <c r="I804" s="1" t="inlineStr">
        <is>
          <t>Matt</t>
        </is>
      </c>
      <c r="J804" t="n">
        <v>280</v>
      </c>
      <c r="K804" t="n">
        <v>280</v>
      </c>
      <c r="L804" t="n">
        <v>280</v>
      </c>
    </row>
    <row r="805">
      <c r="A805" s="1">
        <f>Hyperlink("https://www.wallsandfloors.co.uk/rubi-tools-3mm-t-spacers","Product")</f>
        <v/>
      </c>
      <c r="B805" s="1" t="inlineStr">
        <is>
          <t>9079</t>
        </is>
      </c>
      <c r="C805" s="1" t="inlineStr">
        <is>
          <t>3mm  T  Spacers</t>
        </is>
      </c>
      <c r="D805" s="1" t="inlineStr">
        <is>
          <t>3mm - 1000pk</t>
        </is>
      </c>
      <c r="E805" s="1" t="n">
        <v>13.75</v>
      </c>
      <c r="F805" s="1" t="n">
        <v>0</v>
      </c>
      <c r="G805" s="1" t="inlineStr">
        <is>
          <t>Unit</t>
        </is>
      </c>
      <c r="H805" s="1" t="inlineStr">
        <is>
          <t>Spacers</t>
        </is>
      </c>
      <c r="I805" s="1" t="inlineStr">
        <is>
          <t>-</t>
        </is>
      </c>
      <c r="J805" t="inlineStr">
        <is>
          <t>In Stock</t>
        </is>
      </c>
      <c r="K805" t="inlineStr">
        <is>
          <t>In Stock</t>
        </is>
      </c>
      <c r="L805" t="inlineStr">
        <is>
          <t>In Stock</t>
        </is>
      </c>
    </row>
    <row r="806">
      <c r="A806" s="1">
        <f>Hyperlink("https://www.wallsandfloors.co.uk/rosebery-statement-tiles-grey-square-tiles","Product")</f>
        <v/>
      </c>
      <c r="B806" s="1" t="inlineStr">
        <is>
          <t>35115</t>
        </is>
      </c>
      <c r="C806" s="1" t="inlineStr">
        <is>
          <t>Grey Square Tiles</t>
        </is>
      </c>
      <c r="D806" s="1" t="inlineStr">
        <is>
          <t>200x200x6mm</t>
        </is>
      </c>
      <c r="E806" s="1" t="n">
        <v>29.95</v>
      </c>
      <c r="F806" s="1" t="n">
        <v>0</v>
      </c>
      <c r="G806" s="1" t="inlineStr">
        <is>
          <t>SQM</t>
        </is>
      </c>
      <c r="H806" s="1" t="inlineStr">
        <is>
          <t>Porcelain</t>
        </is>
      </c>
      <c r="I806" s="1" t="inlineStr">
        <is>
          <t>Matt</t>
        </is>
      </c>
      <c r="J806" t="n">
        <v>122</v>
      </c>
      <c r="K806" t="n">
        <v>122</v>
      </c>
      <c r="L806" t="n">
        <v>122</v>
      </c>
    </row>
    <row r="807">
      <c r="A807" s="1">
        <f>Hyperlink("https://www.wallsandfloors.co.uk/rosebery-statement-tiles-cavendish-square-tiles","Product")</f>
        <v/>
      </c>
      <c r="B807" s="1" t="inlineStr">
        <is>
          <t>15612</t>
        </is>
      </c>
      <c r="C807" s="1" t="inlineStr">
        <is>
          <t>Cavendish Square Tiles</t>
        </is>
      </c>
      <c r="D807" s="1" t="inlineStr">
        <is>
          <t>200x200x6mm</t>
        </is>
      </c>
      <c r="E807" s="1" t="n">
        <v>29.95</v>
      </c>
      <c r="F807" s="1" t="n">
        <v>0</v>
      </c>
      <c r="G807" s="1" t="inlineStr">
        <is>
          <t>SQM</t>
        </is>
      </c>
      <c r="H807" s="1" t="inlineStr">
        <is>
          <t>Porcelain</t>
        </is>
      </c>
      <c r="I807" s="1" t="inlineStr">
        <is>
          <t>Matt</t>
        </is>
      </c>
      <c r="J807" t="n">
        <v>239</v>
      </c>
      <c r="K807" t="n">
        <v>239</v>
      </c>
      <c r="L807" t="n">
        <v>239</v>
      </c>
    </row>
    <row r="808">
      <c r="A808" s="1">
        <f>Hyperlink("https://www.wallsandfloors.co.uk/rosebery-statement-tiles-belgrave-square-tiles","Product")</f>
        <v/>
      </c>
      <c r="B808" s="1" t="inlineStr">
        <is>
          <t>15611</t>
        </is>
      </c>
      <c r="C808" s="1" t="inlineStr">
        <is>
          <t>Belgrave Square Tiles</t>
        </is>
      </c>
      <c r="D808" s="1" t="inlineStr">
        <is>
          <t>200x200x6mm</t>
        </is>
      </c>
      <c r="E808" s="1" t="n">
        <v>29.95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Matt</t>
        </is>
      </c>
      <c r="J808" t="inlineStr"/>
      <c r="K808" t="n">
        <v>83</v>
      </c>
      <c r="L808" t="n">
        <v>83</v>
      </c>
    </row>
    <row r="809">
      <c r="A809" s="1">
        <f>Hyperlink("https://www.wallsandfloors.co.uk/riverine-natural-soft-stone-wall-tiles","Product")</f>
        <v/>
      </c>
      <c r="B809" s="1" t="inlineStr">
        <is>
          <t>25121</t>
        </is>
      </c>
      <c r="C809" s="1" t="inlineStr">
        <is>
          <t>Natural Soft Stone Wall Tiles</t>
        </is>
      </c>
      <c r="D809" s="1" t="inlineStr">
        <is>
          <t>300x200x9mm</t>
        </is>
      </c>
      <c r="E809" s="1" t="n">
        <v>25.95</v>
      </c>
      <c r="F809" s="1" t="n">
        <v>0</v>
      </c>
      <c r="G809" s="1" t="inlineStr">
        <is>
          <t>SQM</t>
        </is>
      </c>
      <c r="H809" s="1" t="inlineStr">
        <is>
          <t>Ceramic</t>
        </is>
      </c>
      <c r="I809" s="1" t="inlineStr">
        <is>
          <t>Matt</t>
        </is>
      </c>
      <c r="J809" t="n">
        <v>54</v>
      </c>
      <c r="K809" t="inlineStr"/>
      <c r="L809" t="n">
        <v>54</v>
      </c>
    </row>
    <row r="810">
      <c r="A810" s="1">
        <f>Hyperlink("https://www.wallsandfloors.co.uk/riverine-natural-soft-stone-tiles","Product")</f>
        <v/>
      </c>
      <c r="B810" s="1" t="inlineStr">
        <is>
          <t>28542</t>
        </is>
      </c>
      <c r="C810" s="1" t="inlineStr">
        <is>
          <t>Natural Soft Stone Tiles</t>
        </is>
      </c>
      <c r="D810" s="1" t="inlineStr">
        <is>
          <t>305x305x6mm</t>
        </is>
      </c>
      <c r="E810" s="1" t="n">
        <v>28.95</v>
      </c>
      <c r="F810" s="1" t="n">
        <v>0</v>
      </c>
      <c r="G810" s="1" t="inlineStr">
        <is>
          <t>SQM</t>
        </is>
      </c>
      <c r="H810" s="1" t="inlineStr">
        <is>
          <t>Porcelain</t>
        </is>
      </c>
      <c r="I810" s="1" t="inlineStr">
        <is>
          <t>Matt</t>
        </is>
      </c>
      <c r="J810" t="inlineStr">
        <is>
          <t>Out of Stock</t>
        </is>
      </c>
      <c r="K810" t="inlineStr">
        <is>
          <t>Out of Stock</t>
        </is>
      </c>
      <c r="L810" t="inlineStr">
        <is>
          <t>Out of Stock</t>
        </is>
      </c>
    </row>
    <row r="811">
      <c r="A811" s="1">
        <f>Hyperlink("https://www.wallsandfloors.co.uk/riverine-grey-soft-stone-wall-tiles","Product")</f>
        <v/>
      </c>
      <c r="B811" s="1" t="inlineStr">
        <is>
          <t>25123</t>
        </is>
      </c>
      <c r="C811" s="1" t="inlineStr">
        <is>
          <t>Grey Soft Stone Wall Tiles</t>
        </is>
      </c>
      <c r="D811" s="1" t="inlineStr">
        <is>
          <t>300x200x9mm</t>
        </is>
      </c>
      <c r="E811" s="1" t="n">
        <v>25.95</v>
      </c>
      <c r="F811" s="1" t="n">
        <v>0</v>
      </c>
      <c r="G811" s="1" t="inlineStr">
        <is>
          <t>SQM</t>
        </is>
      </c>
      <c r="H811" s="1" t="inlineStr">
        <is>
          <t>Ceramic</t>
        </is>
      </c>
      <c r="I811" s="1" t="inlineStr">
        <is>
          <t>Matt</t>
        </is>
      </c>
      <c r="J811" t="inlineStr"/>
      <c r="K811" t="inlineStr">
        <is>
          <t>In Stock</t>
        </is>
      </c>
      <c r="L811" t="inlineStr">
        <is>
          <t>In Stock</t>
        </is>
      </c>
    </row>
    <row r="812">
      <c r="A812" s="1">
        <f>Hyperlink("https://www.wallsandfloors.co.uk/riverine-grey-soft-stone-tiles","Product")</f>
        <v/>
      </c>
      <c r="B812" s="1" t="inlineStr">
        <is>
          <t>28544</t>
        </is>
      </c>
      <c r="C812" s="1" t="inlineStr">
        <is>
          <t>Grey Soft Stone Tiles</t>
        </is>
      </c>
      <c r="D812" s="1" t="inlineStr">
        <is>
          <t>305x305x9mm</t>
        </is>
      </c>
      <c r="E812" s="1" t="n">
        <v>28.95</v>
      </c>
      <c r="F812" s="1" t="n">
        <v>0</v>
      </c>
      <c r="G812" s="1" t="inlineStr">
        <is>
          <t>SQM</t>
        </is>
      </c>
      <c r="H812" s="1" t="inlineStr">
        <is>
          <t>Ceramic</t>
        </is>
      </c>
      <c r="I812" s="1" t="inlineStr">
        <is>
          <t>Matt</t>
        </is>
      </c>
      <c r="J812" t="inlineStr">
        <is>
          <t>In Stock</t>
        </is>
      </c>
      <c r="K812" t="inlineStr"/>
      <c r="L812" t="inlineStr">
        <is>
          <t>In Stock</t>
        </is>
      </c>
    </row>
    <row r="813">
      <c r="A813" s="1">
        <f>Hyperlink("https://www.wallsandfloors.co.uk/riverine-cream-soft-stone-wall-tiles","Product")</f>
        <v/>
      </c>
      <c r="B813" s="1" t="inlineStr">
        <is>
          <t>25122</t>
        </is>
      </c>
      <c r="C813" s="1" t="inlineStr">
        <is>
          <t>Cream Soft Stone Wall Tiles</t>
        </is>
      </c>
      <c r="D813" s="1" t="inlineStr">
        <is>
          <t>300x200x9mm</t>
        </is>
      </c>
      <c r="E813" s="1" t="n">
        <v>25.95</v>
      </c>
      <c r="F813" s="1" t="n">
        <v>0</v>
      </c>
      <c r="G813" s="1" t="inlineStr">
        <is>
          <t>SQM</t>
        </is>
      </c>
      <c r="H813" s="1" t="inlineStr">
        <is>
          <t>Ceramic</t>
        </is>
      </c>
      <c r="I813" s="1" t="inlineStr">
        <is>
          <t>Matt</t>
        </is>
      </c>
      <c r="J813" t="inlineStr">
        <is>
          <t>Out of Stock</t>
        </is>
      </c>
      <c r="K813" t="inlineStr">
        <is>
          <t>Out of Stock</t>
        </is>
      </c>
      <c r="L813" t="inlineStr">
        <is>
          <t>In Stock</t>
        </is>
      </c>
    </row>
    <row r="814">
      <c r="A814" s="1">
        <f>Hyperlink("https://www.wallsandfloors.co.uk/riverine-cream-soft-stone-tiles","Product")</f>
        <v/>
      </c>
      <c r="B814" s="1" t="inlineStr">
        <is>
          <t>28543</t>
        </is>
      </c>
      <c r="C814" s="1" t="inlineStr">
        <is>
          <t>Cream Soft Stone Tiles</t>
        </is>
      </c>
      <c r="D814" s="1" t="inlineStr">
        <is>
          <t>305x305x9mm</t>
        </is>
      </c>
      <c r="E814" s="1" t="n">
        <v>28.95</v>
      </c>
      <c r="F814" s="1" t="n">
        <v>0</v>
      </c>
      <c r="G814" s="1" t="inlineStr">
        <is>
          <t>SQM</t>
        </is>
      </c>
      <c r="H814" s="1" t="inlineStr">
        <is>
          <t>Ceramic</t>
        </is>
      </c>
      <c r="I814" s="1" t="inlineStr">
        <is>
          <t>Matt</t>
        </is>
      </c>
      <c r="J814" t="inlineStr"/>
      <c r="K814" t="inlineStr"/>
      <c r="L814" t="n">
        <v>75</v>
      </c>
    </row>
    <row r="815">
      <c r="A815" s="1">
        <f>Hyperlink("https://www.wallsandfloors.co.uk/riverine-beige-soft-stone-wall-tiles","Product")</f>
        <v/>
      </c>
      <c r="B815" s="1" t="inlineStr">
        <is>
          <t>25124</t>
        </is>
      </c>
      <c r="C815" s="1" t="inlineStr">
        <is>
          <t>Beige Soft Stone Wall Tiles</t>
        </is>
      </c>
      <c r="D815" s="1" t="inlineStr">
        <is>
          <t>300x200x9mm</t>
        </is>
      </c>
      <c r="E815" s="1" t="n">
        <v>25.95</v>
      </c>
      <c r="F815" s="1" t="n">
        <v>0</v>
      </c>
      <c r="G815" s="1" t="inlineStr">
        <is>
          <t>SQM</t>
        </is>
      </c>
      <c r="H815" s="1" t="inlineStr">
        <is>
          <t>Ceramic</t>
        </is>
      </c>
      <c r="I815" s="1" t="inlineStr">
        <is>
          <t>Matt</t>
        </is>
      </c>
      <c r="J815" t="n">
        <v>220</v>
      </c>
      <c r="K815" t="inlineStr"/>
      <c r="L815" t="n">
        <v>220</v>
      </c>
    </row>
    <row r="816">
      <c r="A816" s="1">
        <f>Hyperlink("https://www.wallsandfloors.co.uk/riverine-beige-soft-stone-tiles","Product")</f>
        <v/>
      </c>
      <c r="B816" s="1" t="inlineStr">
        <is>
          <t>28545</t>
        </is>
      </c>
      <c r="C816" s="1" t="inlineStr">
        <is>
          <t>Riverine Beige Soft Stone Tiles</t>
        </is>
      </c>
      <c r="D816" s="1" t="inlineStr">
        <is>
          <t>305x305x9mm</t>
        </is>
      </c>
      <c r="E816" s="1" t="n">
        <v>28.95</v>
      </c>
      <c r="F816" s="1" t="n">
        <v>0</v>
      </c>
      <c r="G816" s="1" t="inlineStr">
        <is>
          <t>SQM</t>
        </is>
      </c>
      <c r="H816" s="1" t="inlineStr">
        <is>
          <t>Ceramic</t>
        </is>
      </c>
      <c r="I816" s="1" t="inlineStr">
        <is>
          <t>Matt</t>
        </is>
      </c>
      <c r="J816" t="inlineStr">
        <is>
          <t>In Stock</t>
        </is>
      </c>
      <c r="K816" t="inlineStr">
        <is>
          <t>In Stock</t>
        </is>
      </c>
      <c r="L816" t="inlineStr">
        <is>
          <t>In Stock</t>
        </is>
      </c>
    </row>
    <row r="817">
      <c r="A817" s="1">
        <f>Hyperlink("https://www.wallsandfloors.co.uk/rosebery-statement-tiles-charcoal-street-tiles","Product")</f>
        <v/>
      </c>
      <c r="B817" s="1" t="inlineStr">
        <is>
          <t>35114</t>
        </is>
      </c>
      <c r="C817" s="1" t="inlineStr">
        <is>
          <t>Charcoal Street Tiles</t>
        </is>
      </c>
      <c r="D817" s="1" t="inlineStr">
        <is>
          <t>200x200x6mm</t>
        </is>
      </c>
      <c r="E817" s="1" t="n">
        <v>29.95</v>
      </c>
      <c r="F817" s="1" t="n">
        <v>0</v>
      </c>
      <c r="G817" s="1" t="inlineStr">
        <is>
          <t>SQM</t>
        </is>
      </c>
      <c r="H817" s="1" t="inlineStr">
        <is>
          <t>Porcelain</t>
        </is>
      </c>
      <c r="I817" s="1" t="inlineStr">
        <is>
          <t>Matt</t>
        </is>
      </c>
      <c r="J817" t="inlineStr"/>
      <c r="K817" t="inlineStr"/>
      <c r="L817" t="n">
        <v>197</v>
      </c>
    </row>
    <row r="818">
      <c r="A818" s="1">
        <f>Hyperlink("https://www.wallsandfloors.co.uk/rubi-tools-rubi-air-knee-pads","Product")</f>
        <v/>
      </c>
      <c r="B818" s="1" t="inlineStr">
        <is>
          <t>9164</t>
        </is>
      </c>
      <c r="C818" s="1" t="inlineStr">
        <is>
          <t>Rubi Air Knee Pads</t>
        </is>
      </c>
      <c r="D818" s="1" t="inlineStr">
        <is>
          <t>1 Size</t>
        </is>
      </c>
      <c r="E818" s="1" t="n">
        <v>23.95</v>
      </c>
      <c r="F818" s="1" t="n">
        <v>0</v>
      </c>
      <c r="G818" s="1" t="inlineStr">
        <is>
          <t>Unit</t>
        </is>
      </c>
      <c r="H818" s="1" t="inlineStr">
        <is>
          <t>Safety Wear</t>
        </is>
      </c>
      <c r="I818" s="1" t="inlineStr">
        <is>
          <t>-</t>
        </is>
      </c>
      <c r="J818" t="inlineStr">
        <is>
          <t>In Stock</t>
        </is>
      </c>
      <c r="K818" t="inlineStr">
        <is>
          <t>In Stock</t>
        </is>
      </c>
      <c r="L818" t="inlineStr">
        <is>
          <t>In Stock</t>
        </is>
      </c>
    </row>
    <row r="819">
      <c r="A819" s="1">
        <f>Hyperlink("https://www.wallsandfloors.co.uk/rubi-tools-wedges-5mm","Product")</f>
        <v/>
      </c>
      <c r="B819" s="1" t="inlineStr">
        <is>
          <t>9678</t>
        </is>
      </c>
      <c r="C819" s="1" t="inlineStr">
        <is>
          <t>Wedges 5mm</t>
        </is>
      </c>
      <c r="D819" s="1" t="inlineStr">
        <is>
          <t>5mm</t>
        </is>
      </c>
      <c r="E819" s="1" t="n">
        <v>7.25</v>
      </c>
      <c r="F819" s="1" t="n">
        <v>0</v>
      </c>
      <c r="G819" s="1" t="inlineStr">
        <is>
          <t>Pack</t>
        </is>
      </c>
      <c r="H819" s="1" t="inlineStr">
        <is>
          <t>Spacers</t>
        </is>
      </c>
      <c r="I819" s="1" t="inlineStr">
        <is>
          <t>-</t>
        </is>
      </c>
      <c r="J819" t="inlineStr">
        <is>
          <t>In Stock</t>
        </is>
      </c>
      <c r="K819" t="inlineStr"/>
      <c r="L819" t="inlineStr">
        <is>
          <t>In Stock</t>
        </is>
      </c>
    </row>
    <row r="820">
      <c r="A820" s="1">
        <f>Hyperlink("https://www.wallsandfloors.co.uk/rubiclean-pro-washboy","Product")</f>
        <v/>
      </c>
      <c r="B820" s="1" t="inlineStr">
        <is>
          <t>40395</t>
        </is>
      </c>
      <c r="C820" s="1" t="inlineStr">
        <is>
          <t>RUBICLEAN PRO Washboy</t>
        </is>
      </c>
      <c r="D820" s="1" t="n">
        <v>1</v>
      </c>
      <c r="E820" s="1" t="n">
        <v>31.45</v>
      </c>
      <c r="F820" s="1" t="n">
        <v>0</v>
      </c>
      <c r="G820" s="1" t="inlineStr">
        <is>
          <t>Unit</t>
        </is>
      </c>
      <c r="H820" s="1" t="inlineStr">
        <is>
          <t>Accessories</t>
        </is>
      </c>
      <c r="I820" s="1" t="inlineStr">
        <is>
          <t>-</t>
        </is>
      </c>
      <c r="J820" t="inlineStr">
        <is>
          <t>In Stock</t>
        </is>
      </c>
      <c r="K820" t="inlineStr">
        <is>
          <t>In Stock</t>
        </is>
      </c>
      <c r="L820" t="inlineStr">
        <is>
          <t>In Stock</t>
        </is>
      </c>
    </row>
    <row r="821">
      <c r="A821" s="1">
        <f>Hyperlink("https://www.wallsandfloors.co.uk/rustic-metro-tiles-teal-gloss-tiles","Product")</f>
        <v/>
      </c>
      <c r="B821" s="1" t="inlineStr">
        <is>
          <t>12181</t>
        </is>
      </c>
      <c r="C821" s="1" t="inlineStr">
        <is>
          <t>Teal Rustic Metro Tiles</t>
        </is>
      </c>
      <c r="D821" s="1" t="inlineStr">
        <is>
          <t>150x75x7mm</t>
        </is>
      </c>
      <c r="E821" s="1" t="n">
        <v>20.95</v>
      </c>
      <c r="F821" s="1" t="n">
        <v>0</v>
      </c>
      <c r="G821" s="1" t="inlineStr">
        <is>
          <t>SQM</t>
        </is>
      </c>
      <c r="H821" s="1" t="inlineStr">
        <is>
          <t>Ceramic</t>
        </is>
      </c>
      <c r="I821" s="1" t="inlineStr">
        <is>
          <t>Gloss</t>
        </is>
      </c>
      <c r="J821" t="n">
        <v>59</v>
      </c>
      <c r="K821" t="n">
        <v>59</v>
      </c>
      <c r="L821" t="n">
        <v>59</v>
      </c>
    </row>
    <row r="822">
      <c r="A822" s="1">
        <f>Hyperlink("https://www.wallsandfloors.co.uk/rustic-metro-tiles-sage-gloss-tiles","Product")</f>
        <v/>
      </c>
      <c r="B822" s="1" t="inlineStr">
        <is>
          <t>12182</t>
        </is>
      </c>
      <c r="C822" s="1" t="inlineStr">
        <is>
          <t>Sage Green Rustic Metro Tiles</t>
        </is>
      </c>
      <c r="D822" s="1" t="inlineStr">
        <is>
          <t>150x75x7mm</t>
        </is>
      </c>
      <c r="E822" s="1" t="n">
        <v>20.95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Gloss</t>
        </is>
      </c>
      <c r="J822" t="n">
        <v>105</v>
      </c>
      <c r="K822" t="n">
        <v>105</v>
      </c>
      <c r="L822" t="n">
        <v>105</v>
      </c>
    </row>
    <row r="823">
      <c r="A823" s="1">
        <f>Hyperlink("https://www.wallsandfloors.co.uk/rustic-metro-tiles-grey-gloss-tiles","Product")</f>
        <v/>
      </c>
      <c r="B823" s="1" t="inlineStr">
        <is>
          <t>12178</t>
        </is>
      </c>
      <c r="C823" s="1" t="inlineStr">
        <is>
          <t>Grey Rustic Metro Tiles</t>
        </is>
      </c>
      <c r="D823" s="1" t="inlineStr">
        <is>
          <t>150x75x7mm</t>
        </is>
      </c>
      <c r="E823" s="1" t="n">
        <v>20.95</v>
      </c>
      <c r="F823" s="1" t="n">
        <v>0</v>
      </c>
      <c r="G823" s="1" t="inlineStr">
        <is>
          <t>SQM</t>
        </is>
      </c>
      <c r="H823" s="1" t="inlineStr">
        <is>
          <t>Ceramic</t>
        </is>
      </c>
      <c r="I823" s="1" t="inlineStr">
        <is>
          <t>Gloss</t>
        </is>
      </c>
      <c r="J823" t="n">
        <v>210</v>
      </c>
      <c r="K823" t="inlineStr"/>
      <c r="L823" t="n">
        <v>210</v>
      </c>
    </row>
    <row r="824">
      <c r="A824" s="1">
        <f>Hyperlink("https://www.wallsandfloors.co.uk/rustic-metro-tiles-graphite-grey-gloss-tiles","Product")</f>
        <v/>
      </c>
      <c r="B824" s="1" t="inlineStr">
        <is>
          <t>12179</t>
        </is>
      </c>
      <c r="C824" s="1" t="inlineStr">
        <is>
          <t>Graphite Grey Rustic Metro Tiles</t>
        </is>
      </c>
      <c r="D824" s="1" t="inlineStr">
        <is>
          <t>150x75x7mm</t>
        </is>
      </c>
      <c r="E824" s="1" t="n">
        <v>20.95</v>
      </c>
      <c r="F824" s="1" t="n">
        <v>0</v>
      </c>
      <c r="G824" s="1" t="inlineStr">
        <is>
          <t>SQM</t>
        </is>
      </c>
      <c r="H824" s="1" t="inlineStr">
        <is>
          <t>Ceramic</t>
        </is>
      </c>
      <c r="I824" s="1" t="inlineStr">
        <is>
          <t>Gloss</t>
        </is>
      </c>
      <c r="J824" t="inlineStr"/>
      <c r="K824" t="n">
        <v>157</v>
      </c>
      <c r="L824" t="n">
        <v>157</v>
      </c>
    </row>
    <row r="825">
      <c r="A825" s="1">
        <f>Hyperlink("https://www.wallsandfloors.co.uk/rustic-metro-tiles-eton-gloss-tile","Product")</f>
        <v/>
      </c>
      <c r="B825" s="1" t="inlineStr">
        <is>
          <t>12896</t>
        </is>
      </c>
      <c r="C825" s="1" t="inlineStr">
        <is>
          <t>Eton Teal Rustic Metro Tiles</t>
        </is>
      </c>
      <c r="D825" s="1" t="inlineStr">
        <is>
          <t>150x75x7mm</t>
        </is>
      </c>
      <c r="E825" s="1" t="n">
        <v>20.95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160</v>
      </c>
      <c r="K825" t="n">
        <v>160</v>
      </c>
      <c r="L825" t="n">
        <v>160</v>
      </c>
    </row>
    <row r="826">
      <c r="A826" s="1">
        <f>Hyperlink("https://www.wallsandfloors.co.uk/rustic-metro-tiles-cream-gloss-tiles","Product")</f>
        <v/>
      </c>
      <c r="B826" s="1" t="inlineStr">
        <is>
          <t>12177</t>
        </is>
      </c>
      <c r="C826" s="1" t="inlineStr">
        <is>
          <t>Cream Rustic Metro Tiles</t>
        </is>
      </c>
      <c r="D826" s="1" t="inlineStr">
        <is>
          <t>150x75x7mm</t>
        </is>
      </c>
      <c r="E826" s="1" t="n">
        <v>20.95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inlineStr">
        <is>
          <t>In Stock</t>
        </is>
      </c>
      <c r="K826" t="inlineStr">
        <is>
          <t>In Stock</t>
        </is>
      </c>
      <c r="L826" t="inlineStr">
        <is>
          <t>In Stock</t>
        </is>
      </c>
    </row>
    <row r="827">
      <c r="A827" s="1">
        <f>Hyperlink("https://www.wallsandfloors.co.uk/rustic-metro-tiles-chocolate-gloss-tiles","Product")</f>
        <v/>
      </c>
      <c r="B827" s="1" t="inlineStr">
        <is>
          <t>12176</t>
        </is>
      </c>
      <c r="C827" s="1" t="inlineStr">
        <is>
          <t>Chocolate Brown Rustic Metro Tiles</t>
        </is>
      </c>
      <c r="D827" s="1" t="inlineStr">
        <is>
          <t>150x75x7mm</t>
        </is>
      </c>
      <c r="E827" s="1" t="n">
        <v>20.95</v>
      </c>
      <c r="F827" s="1" t="n">
        <v>0</v>
      </c>
      <c r="G827" s="1" t="inlineStr">
        <is>
          <t>SQM</t>
        </is>
      </c>
      <c r="H827" s="1" t="inlineStr">
        <is>
          <t>Ceramic</t>
        </is>
      </c>
      <c r="I827" s="1" t="inlineStr">
        <is>
          <t>Gloss</t>
        </is>
      </c>
      <c r="J827" t="n">
        <v>85</v>
      </c>
      <c r="K827" t="inlineStr"/>
      <c r="L827" t="n">
        <v>85</v>
      </c>
    </row>
    <row r="828">
      <c r="A828" s="1">
        <f>Hyperlink("https://www.wallsandfloors.co.uk/memoir-encaustic-effect-tiles-arundel-scored-tiles","Product")</f>
        <v/>
      </c>
      <c r="B828" s="1" t="inlineStr">
        <is>
          <t>15383</t>
        </is>
      </c>
      <c r="C828" s="1" t="inlineStr">
        <is>
          <t>Memoir Encaustic Arundel Pattern Tiles</t>
        </is>
      </c>
      <c r="D828" s="1" t="inlineStr">
        <is>
          <t>450x450x10mm</t>
        </is>
      </c>
      <c r="E828" s="1" t="n">
        <v>20.95</v>
      </c>
      <c r="F828" s="1" t="n">
        <v>0</v>
      </c>
      <c r="G828" s="1" t="inlineStr">
        <is>
          <t>SQM</t>
        </is>
      </c>
      <c r="H828" s="1" t="inlineStr">
        <is>
          <t>Ceramic</t>
        </is>
      </c>
      <c r="I828" s="1" t="inlineStr">
        <is>
          <t>Matt</t>
        </is>
      </c>
      <c r="J828" t="n">
        <v>142</v>
      </c>
      <c r="K828" t="n">
        <v>142</v>
      </c>
      <c r="L828" t="n">
        <v>142</v>
      </c>
    </row>
    <row r="829">
      <c r="A829" s="1">
        <f>Hyperlink("https://www.wallsandfloors.co.uk/rustic-metro-tiles-almond-gloss-tiles","Product")</f>
        <v/>
      </c>
      <c r="B829" s="1" t="inlineStr">
        <is>
          <t>12172</t>
        </is>
      </c>
      <c r="C829" s="1" t="inlineStr">
        <is>
          <t>Almond Cream Rustic Metro Tiles</t>
        </is>
      </c>
      <c r="D829" s="1" t="inlineStr">
        <is>
          <t>150x75x7mm</t>
        </is>
      </c>
      <c r="E829" s="1" t="n">
        <v>20.95</v>
      </c>
      <c r="F829" s="1" t="n">
        <v>0</v>
      </c>
      <c r="G829" s="1" t="inlineStr">
        <is>
          <t>SQM</t>
        </is>
      </c>
      <c r="H829" s="1" t="inlineStr">
        <is>
          <t>Ceramic</t>
        </is>
      </c>
      <c r="I829" s="1" t="inlineStr">
        <is>
          <t>Gloss</t>
        </is>
      </c>
      <c r="J829" t="n">
        <v>101</v>
      </c>
      <c r="K829" t="n">
        <v>101</v>
      </c>
      <c r="L829" t="n">
        <v>101</v>
      </c>
    </row>
    <row r="830">
      <c r="A830" s="1">
        <f>Hyperlink("https://www.wallsandfloors.co.uk/rustic-metro-cedar-tile","Product")</f>
        <v/>
      </c>
      <c r="B830" s="1" t="inlineStr">
        <is>
          <t>12175</t>
        </is>
      </c>
      <c r="C830" s="1" t="inlineStr">
        <is>
          <t>Cedar Green Rustic Metro Tiles</t>
        </is>
      </c>
      <c r="D830" s="1" t="inlineStr">
        <is>
          <t>150x75x7mm</t>
        </is>
      </c>
      <c r="E830" s="1" t="n">
        <v>20.95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Gloss</t>
        </is>
      </c>
      <c r="J830" t="inlineStr"/>
      <c r="K830" t="n">
        <v>83</v>
      </c>
      <c r="L830" t="n">
        <v>83</v>
      </c>
    </row>
    <row r="831">
      <c r="A831" s="1">
        <f>Hyperlink("https://www.wallsandfloors.co.uk/rustic-metro-300x100-white-gloss-tiles","Product")</f>
        <v/>
      </c>
      <c r="B831" s="1" t="inlineStr">
        <is>
          <t>15085</t>
        </is>
      </c>
      <c r="C831" s="1" t="inlineStr">
        <is>
          <t>White Rustic Metro Tiles</t>
        </is>
      </c>
      <c r="D831" s="1" t="inlineStr">
        <is>
          <t>300x100x7mm</t>
        </is>
      </c>
      <c r="E831" s="1" t="n">
        <v>20.95</v>
      </c>
      <c r="F831" s="1" t="n">
        <v>0</v>
      </c>
      <c r="G831" s="1" t="inlineStr">
        <is>
          <t>SQM</t>
        </is>
      </c>
      <c r="H831" s="1" t="inlineStr">
        <is>
          <t>Ceramic</t>
        </is>
      </c>
      <c r="I831" s="1" t="inlineStr">
        <is>
          <t>Gloss</t>
        </is>
      </c>
      <c r="J831" t="inlineStr">
        <is>
          <t>Out of Stock</t>
        </is>
      </c>
      <c r="K831" t="inlineStr">
        <is>
          <t>Out of Stock</t>
        </is>
      </c>
      <c r="L831" t="inlineStr">
        <is>
          <t>Out of Stock</t>
        </is>
      </c>
    </row>
    <row r="832">
      <c r="A832" s="1">
        <f>Hyperlink("https://www.wallsandfloors.co.uk/rustic-metro-300x100-teal-gloss-tiles","Product")</f>
        <v/>
      </c>
      <c r="B832" s="1" t="inlineStr">
        <is>
          <t>15104</t>
        </is>
      </c>
      <c r="C832" s="1" t="inlineStr">
        <is>
          <t>Teal Rustic Metro Tiles</t>
        </is>
      </c>
      <c r="D832" s="1" t="inlineStr">
        <is>
          <t>300x100x7mm</t>
        </is>
      </c>
      <c r="E832" s="1" t="n">
        <v>20.95</v>
      </c>
      <c r="F832" s="1" t="n">
        <v>0</v>
      </c>
      <c r="G832" s="1" t="inlineStr">
        <is>
          <t>SQM</t>
        </is>
      </c>
      <c r="H832" s="1" t="inlineStr">
        <is>
          <t>Ceramic</t>
        </is>
      </c>
      <c r="I832" s="1" t="inlineStr">
        <is>
          <t>Gloss</t>
        </is>
      </c>
      <c r="J832" t="n">
        <v>122</v>
      </c>
      <c r="K832" t="n">
        <v>122</v>
      </c>
      <c r="L832" t="n">
        <v>122</v>
      </c>
    </row>
    <row r="833">
      <c r="A833" s="1">
        <f>Hyperlink("https://www.wallsandfloors.co.uk/rustic-metro-300x100-sage-gloss-tiles","Product")</f>
        <v/>
      </c>
      <c r="B833" s="1" t="inlineStr">
        <is>
          <t>15106</t>
        </is>
      </c>
      <c r="C833" s="1" t="inlineStr">
        <is>
          <t>Sage Rustic Metro Tiles</t>
        </is>
      </c>
      <c r="D833" s="1" t="inlineStr">
        <is>
          <t>300x100x7mm</t>
        </is>
      </c>
      <c r="E833" s="1" t="n">
        <v>20.95</v>
      </c>
      <c r="F833" s="1" t="n">
        <v>0</v>
      </c>
      <c r="G833" s="1" t="inlineStr">
        <is>
          <t>SQM</t>
        </is>
      </c>
      <c r="H833" s="1" t="inlineStr">
        <is>
          <t>Ceramic</t>
        </is>
      </c>
      <c r="I833" s="1" t="inlineStr">
        <is>
          <t>Gloss</t>
        </is>
      </c>
      <c r="J833" t="n">
        <v>157</v>
      </c>
      <c r="K833" t="n">
        <v>157</v>
      </c>
      <c r="L833" t="n">
        <v>157</v>
      </c>
    </row>
    <row r="834">
      <c r="A834" s="1">
        <f>Hyperlink("https://www.wallsandfloors.co.uk/rustic-metro-300x100-grey-gloss-tiles","Product")</f>
        <v/>
      </c>
      <c r="B834" s="1" t="inlineStr">
        <is>
          <t>15094</t>
        </is>
      </c>
      <c r="C834" s="1" t="inlineStr">
        <is>
          <t>Grey Rustic Metro Tiles</t>
        </is>
      </c>
      <c r="D834" s="1" t="inlineStr">
        <is>
          <t>300x100x7mm</t>
        </is>
      </c>
      <c r="E834" s="1" t="n">
        <v>20.95</v>
      </c>
      <c r="F834" s="1" t="n">
        <v>0</v>
      </c>
      <c r="G834" s="1" t="inlineStr"/>
      <c r="H834" s="1" t="inlineStr">
        <is>
          <t>Ceramic</t>
        </is>
      </c>
      <c r="I834" s="1" t="inlineStr">
        <is>
          <t>Gloss</t>
        </is>
      </c>
      <c r="J834" t="inlineStr">
        <is>
          <t>In Stock</t>
        </is>
      </c>
      <c r="K834" t="inlineStr"/>
      <c r="L834" t="inlineStr">
        <is>
          <t>In Stock</t>
        </is>
      </c>
    </row>
    <row r="835">
      <c r="A835" s="1">
        <f>Hyperlink("https://www.wallsandfloors.co.uk/rustic-masonry-brick-effect-tiles-dove-white-painted-brick-effect-tiles","Product")</f>
        <v/>
      </c>
      <c r="B835" s="1" t="inlineStr">
        <is>
          <t>15209</t>
        </is>
      </c>
      <c r="C835" s="1" t="inlineStr">
        <is>
          <t>Rustic Masonry Dove White Brick Effect Tiles</t>
        </is>
      </c>
      <c r="D835" s="1" t="inlineStr">
        <is>
          <t>310x560x10mm</t>
        </is>
      </c>
      <c r="E835" s="1" t="n">
        <v>33.95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Matt</t>
        </is>
      </c>
      <c r="J835" t="n">
        <v>354</v>
      </c>
      <c r="K835" t="n">
        <v>355</v>
      </c>
      <c r="L835" t="n">
        <v>355</v>
      </c>
    </row>
    <row r="836">
      <c r="A836" s="1">
        <f>Hyperlink("https://www.wallsandfloors.co.uk/rustic-masonry-brick-effect-tiles-classic-red-brick-effect-tiles","Product")</f>
        <v/>
      </c>
      <c r="B836" s="1" t="inlineStr">
        <is>
          <t>15210</t>
        </is>
      </c>
      <c r="C836" s="1" t="inlineStr">
        <is>
          <t>Rustic Masonry Classic Red Brick Effect Tiles</t>
        </is>
      </c>
      <c r="D836" s="1" t="inlineStr">
        <is>
          <t>310x560x10mm</t>
        </is>
      </c>
      <c r="E836" s="1" t="n">
        <v>33.95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Matt</t>
        </is>
      </c>
      <c r="J836" t="inlineStr"/>
      <c r="K836" t="inlineStr"/>
      <c r="L836" t="n">
        <v>495</v>
      </c>
    </row>
    <row r="837">
      <c r="A837" s="1">
        <f>Hyperlink("https://www.wallsandfloors.co.uk/rustic-masonry-brick-effect-tiles-archaic-painted-brick-effect-tiles","Product")</f>
        <v/>
      </c>
      <c r="B837" s="1" t="inlineStr">
        <is>
          <t>15211</t>
        </is>
      </c>
      <c r="C837" s="1" t="inlineStr">
        <is>
          <t>Rustic Masonry Archaic Brick Effect Tiles</t>
        </is>
      </c>
      <c r="D837" s="1" t="inlineStr">
        <is>
          <t>310x560x10mm</t>
        </is>
      </c>
      <c r="E837" s="1" t="n">
        <v>33.95</v>
      </c>
      <c r="F837" s="1" t="n">
        <v>0</v>
      </c>
      <c r="G837" s="1" t="inlineStr">
        <is>
          <t>SQM</t>
        </is>
      </c>
      <c r="H837" s="1" t="inlineStr">
        <is>
          <t>Porcelain</t>
        </is>
      </c>
      <c r="I837" s="1" t="inlineStr">
        <is>
          <t>Matt</t>
        </is>
      </c>
      <c r="J837" t="inlineStr"/>
      <c r="K837" t="inlineStr"/>
      <c r="L837" t="inlineStr">
        <is>
          <t>In Stock</t>
        </is>
      </c>
    </row>
    <row r="838">
      <c r="A838" s="1">
        <f>Hyperlink("https://www.wallsandfloors.co.uk/rural-stone-effect-tiles-rural-brown-tiles","Product")</f>
        <v/>
      </c>
      <c r="B838" s="1" t="inlineStr">
        <is>
          <t>15294</t>
        </is>
      </c>
      <c r="C838" s="1" t="inlineStr">
        <is>
          <t>Rural Brown Tiles</t>
        </is>
      </c>
      <c r="D838" s="1" t="inlineStr">
        <is>
          <t>200x100x6mm</t>
        </is>
      </c>
      <c r="E838" s="1" t="n">
        <v>37.95</v>
      </c>
      <c r="F838" s="1" t="n">
        <v>0</v>
      </c>
      <c r="G838" s="1" t="inlineStr"/>
      <c r="H838" s="1" t="inlineStr">
        <is>
          <t>Ceramic</t>
        </is>
      </c>
      <c r="I838" s="1" t="inlineStr">
        <is>
          <t>Matt</t>
        </is>
      </c>
      <c r="J838" t="inlineStr">
        <is>
          <t>Out of Stock</t>
        </is>
      </c>
      <c r="K838" t="inlineStr">
        <is>
          <t>In Stock</t>
        </is>
      </c>
      <c r="L838" t="inlineStr">
        <is>
          <t>In Stock</t>
        </is>
      </c>
    </row>
    <row r="839">
      <c r="A839" s="1">
        <f>Hyperlink("https://www.wallsandfloors.co.uk/rural-stone-effect-tiles-pebble-grey-tiles","Product")</f>
        <v/>
      </c>
      <c r="B839" s="1" t="inlineStr">
        <is>
          <t>15296</t>
        </is>
      </c>
      <c r="C839" s="1" t="inlineStr">
        <is>
          <t>Pebble Grey Tiles</t>
        </is>
      </c>
      <c r="D839" s="1" t="inlineStr">
        <is>
          <t>200x100x6mm</t>
        </is>
      </c>
      <c r="E839" s="1" t="n">
        <v>37.95</v>
      </c>
      <c r="F839" s="1" t="n">
        <v>0</v>
      </c>
      <c r="G839" s="1" t="inlineStr">
        <is>
          <t>SQM</t>
        </is>
      </c>
      <c r="H839" s="1" t="inlineStr">
        <is>
          <t>Ceramic</t>
        </is>
      </c>
      <c r="I839" s="1" t="inlineStr">
        <is>
          <t>Matt</t>
        </is>
      </c>
      <c r="J839" t="inlineStr">
        <is>
          <t>In Stock</t>
        </is>
      </c>
      <c r="K839" t="inlineStr">
        <is>
          <t>In Stock</t>
        </is>
      </c>
      <c r="L839" t="inlineStr">
        <is>
          <t>In Stock</t>
        </is>
      </c>
    </row>
    <row r="840">
      <c r="A840" s="1">
        <f>Hyperlink("https://www.wallsandfloors.co.uk/rural-stone-effect-tiles-natural-beige-tiles","Product")</f>
        <v/>
      </c>
      <c r="B840" s="1" t="inlineStr">
        <is>
          <t>15293</t>
        </is>
      </c>
      <c r="C840" s="1" t="inlineStr">
        <is>
          <t>Natural Beige Tiles</t>
        </is>
      </c>
      <c r="D840" s="1" t="inlineStr">
        <is>
          <t>200x100x6mm</t>
        </is>
      </c>
      <c r="E840" s="1" t="n">
        <v>37.95</v>
      </c>
      <c r="F840" s="1" t="n">
        <v>0</v>
      </c>
      <c r="G840" s="1" t="inlineStr"/>
      <c r="H840" s="1" t="inlineStr">
        <is>
          <t>Ceramic</t>
        </is>
      </c>
      <c r="I840" s="1" t="inlineStr">
        <is>
          <t>Matt</t>
        </is>
      </c>
      <c r="J840" t="inlineStr">
        <is>
          <t>In Stock</t>
        </is>
      </c>
      <c r="K840" t="inlineStr">
        <is>
          <t>In Stock</t>
        </is>
      </c>
      <c r="L840" t="inlineStr">
        <is>
          <t>In Stock</t>
        </is>
      </c>
    </row>
    <row r="841">
      <c r="A841" s="1">
        <f>Hyperlink("https://www.wallsandfloors.co.uk/rural-stone-effect-tiles-chalk-white-tiles","Product")</f>
        <v/>
      </c>
      <c r="B841" s="1" t="inlineStr">
        <is>
          <t>15298</t>
        </is>
      </c>
      <c r="C841" s="1" t="inlineStr">
        <is>
          <t>Chalk White Tiles</t>
        </is>
      </c>
      <c r="D841" s="1" t="inlineStr">
        <is>
          <t>200x100x6mm</t>
        </is>
      </c>
      <c r="E841" s="1" t="n">
        <v>37.95</v>
      </c>
      <c r="F841" s="1" t="n">
        <v>0</v>
      </c>
      <c r="G841" s="1" t="inlineStr">
        <is>
          <t>SQM</t>
        </is>
      </c>
      <c r="H841" s="1" t="inlineStr">
        <is>
          <t>Ceramic</t>
        </is>
      </c>
      <c r="I841" s="1" t="inlineStr">
        <is>
          <t>Matt</t>
        </is>
      </c>
      <c r="J841" t="inlineStr">
        <is>
          <t>In Stock</t>
        </is>
      </c>
      <c r="K841" t="inlineStr">
        <is>
          <t>In Stock</t>
        </is>
      </c>
      <c r="L841" t="inlineStr">
        <is>
          <t>In Stock</t>
        </is>
      </c>
    </row>
    <row r="842">
      <c r="A842" s="1">
        <f>Hyperlink("https://www.wallsandfloors.co.uk/rubimix-9bl-110v-mixer","Product")</f>
        <v/>
      </c>
      <c r="B842" s="1" t="inlineStr">
        <is>
          <t>27502</t>
        </is>
      </c>
      <c r="C842" s="1" t="inlineStr">
        <is>
          <t>RUBIMIX-9 N 110V Electric Mixer</t>
        </is>
      </c>
      <c r="D842" s="1" t="inlineStr">
        <is>
          <t>1 Size</t>
        </is>
      </c>
      <c r="E842" s="1" t="n">
        <v>158.95</v>
      </c>
      <c r="F842" s="1" t="n">
        <v>0</v>
      </c>
      <c r="G842" s="1" t="inlineStr">
        <is>
          <t>Unit</t>
        </is>
      </c>
      <c r="H842" s="1" t="inlineStr">
        <is>
          <t>Tools</t>
        </is>
      </c>
      <c r="I842" s="1" t="inlineStr">
        <is>
          <t>-</t>
        </is>
      </c>
      <c r="J842" t="inlineStr">
        <is>
          <t>In Stock</t>
        </is>
      </c>
      <c r="K842" t="inlineStr">
        <is>
          <t>In Stock</t>
        </is>
      </c>
      <c r="L842" t="inlineStr">
        <is>
          <t>In Stock</t>
        </is>
      </c>
    </row>
    <row r="843">
      <c r="A843" s="1">
        <f>Hyperlink("https://www.wallsandfloors.co.uk/rubimix-9-bl-220v-50-60hz-uk-electric-mixer","Product")</f>
        <v/>
      </c>
      <c r="B843" s="1" t="inlineStr">
        <is>
          <t>27503</t>
        </is>
      </c>
      <c r="C843" s="1" t="inlineStr">
        <is>
          <t>RUBIMIX-9-BL Electric Mixer</t>
        </is>
      </c>
      <c r="D843" s="1" t="n">
        <v>1</v>
      </c>
      <c r="E843" s="1" t="n">
        <v>158.25</v>
      </c>
      <c r="F843" s="1" t="n">
        <v>0</v>
      </c>
      <c r="G843" s="1" t="inlineStr">
        <is>
          <t>Unit</t>
        </is>
      </c>
      <c r="H843" s="1" t="inlineStr">
        <is>
          <t>-</t>
        </is>
      </c>
      <c r="I843" s="1" t="inlineStr">
        <is>
          <t>-</t>
        </is>
      </c>
      <c r="J843" t="inlineStr"/>
      <c r="K843" t="inlineStr">
        <is>
          <t>In Stock</t>
        </is>
      </c>
      <c r="L843" t="inlineStr">
        <is>
          <t>In Stock</t>
        </is>
      </c>
    </row>
    <row r="844">
      <c r="A844" s="1">
        <f>Hyperlink("https://www.wallsandfloors.co.uk/ruvido-hexagon-tiles-eclipse-stone-tiles","Product")</f>
        <v/>
      </c>
      <c r="B844" s="1" t="inlineStr">
        <is>
          <t>14326</t>
        </is>
      </c>
      <c r="C844" s="1" t="inlineStr">
        <is>
          <t>Ruvido Eclipse Stone Hexagon Tiles</t>
        </is>
      </c>
      <c r="D844" s="1" t="inlineStr">
        <is>
          <t>450x450x9mm</t>
        </is>
      </c>
      <c r="E844" s="1" t="n">
        <v>30.95</v>
      </c>
      <c r="F844" s="1" t="n">
        <v>0</v>
      </c>
      <c r="G844" s="1" t="inlineStr">
        <is>
          <t>SQM</t>
        </is>
      </c>
      <c r="H844" s="1" t="inlineStr">
        <is>
          <t>Porcelain</t>
        </is>
      </c>
      <c r="I844" s="1" t="inlineStr">
        <is>
          <t>Matt</t>
        </is>
      </c>
      <c r="J844" t="n">
        <v>138</v>
      </c>
      <c r="K844" t="n">
        <v>138</v>
      </c>
      <c r="L844" t="n">
        <v>138</v>
      </c>
    </row>
    <row r="845">
      <c r="A845" s="1">
        <f>Hyperlink("https://www.wallsandfloors.co.uk/titanic-silver-grey-polished-60x30-tiles","Product")</f>
        <v/>
      </c>
      <c r="B845" s="1" t="inlineStr">
        <is>
          <t>39826</t>
        </is>
      </c>
      <c r="C845" s="1" t="inlineStr">
        <is>
          <t>Titanic Silver Grey Polished Tiles</t>
        </is>
      </c>
      <c r="D845" s="1" t="inlineStr">
        <is>
          <t>600x300x9.5mm</t>
        </is>
      </c>
      <c r="E845" s="1" t="n">
        <v>22.95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Polished</t>
        </is>
      </c>
      <c r="J845" t="inlineStr"/>
      <c r="K845" t="n">
        <v>261</v>
      </c>
      <c r="L845" t="n">
        <v>261</v>
      </c>
    </row>
    <row r="846">
      <c r="A846" s="1">
        <f>Hyperlink("https://www.wallsandfloors.co.uk/shower-white-15kg","Product")</f>
        <v/>
      </c>
      <c r="B846" s="1" t="inlineStr">
        <is>
          <t>33584</t>
        </is>
      </c>
      <c r="C846" s="1" t="inlineStr">
        <is>
          <t>Norcros Shower White Tile Adhesive 10ltr Per Unit</t>
        </is>
      </c>
      <c r="D846" s="1" t="inlineStr">
        <is>
          <t>15kg</t>
        </is>
      </c>
      <c r="E846" s="1" t="n">
        <v>14.95</v>
      </c>
      <c r="F846" s="1" t="n">
        <v>0</v>
      </c>
      <c r="G846" s="1" t="inlineStr">
        <is>
          <t>Unit</t>
        </is>
      </c>
      <c r="H846" s="1" t="inlineStr">
        <is>
          <t>Adhesive</t>
        </is>
      </c>
      <c r="I846" s="1" t="inlineStr">
        <is>
          <t>-</t>
        </is>
      </c>
      <c r="J846" t="inlineStr">
        <is>
          <t>In Stock</t>
        </is>
      </c>
      <c r="K846" t="inlineStr">
        <is>
          <t>In Stock</t>
        </is>
      </c>
      <c r="L846" t="inlineStr">
        <is>
          <t>In Stock</t>
        </is>
      </c>
    </row>
    <row r="847">
      <c r="A847" s="1">
        <f>Hyperlink("https://www.wallsandfloors.co.uk/smoked-pewter-tiles","Product")</f>
        <v/>
      </c>
      <c r="B847" s="1" t="inlineStr">
        <is>
          <t>38981</t>
        </is>
      </c>
      <c r="C847" s="1" t="inlineStr">
        <is>
          <t>Nyans Smoked Pewter Grey Wood Effect Tiles</t>
        </is>
      </c>
      <c r="D847" s="1" t="inlineStr">
        <is>
          <t>593x98x9.5mm</t>
        </is>
      </c>
      <c r="E847" s="1" t="n">
        <v>40.95</v>
      </c>
      <c r="F847" s="1" t="n">
        <v>0</v>
      </c>
      <c r="G847" s="1" t="inlineStr">
        <is>
          <t>SQM</t>
        </is>
      </c>
      <c r="H847" s="1" t="inlineStr">
        <is>
          <t>Porcelain</t>
        </is>
      </c>
      <c r="I847" s="1" t="inlineStr">
        <is>
          <t>Matt</t>
        </is>
      </c>
      <c r="J847" t="inlineStr"/>
      <c r="K847" t="inlineStr"/>
      <c r="L847" t="n">
        <v>95</v>
      </c>
    </row>
    <row r="848">
      <c r="A848" s="1">
        <f>Hyperlink("https://www.wallsandfloors.co.uk/tartan-ashened-wood-tiles","Product")</f>
        <v/>
      </c>
      <c r="B848" s="1" t="inlineStr">
        <is>
          <t>44031</t>
        </is>
      </c>
      <c r="C848" s="1" t="inlineStr">
        <is>
          <t>Tartan Ashened Wood Hexagon Tiles</t>
        </is>
      </c>
      <c r="D848" s="1" t="inlineStr">
        <is>
          <t>333x280x9mm</t>
        </is>
      </c>
      <c r="E848" s="1" t="n">
        <v>35.95</v>
      </c>
      <c r="F848" s="1" t="n">
        <v>0</v>
      </c>
      <c r="G848" s="1" t="inlineStr">
        <is>
          <t>SQM</t>
        </is>
      </c>
      <c r="H848" s="1" t="inlineStr">
        <is>
          <t>Porcelain</t>
        </is>
      </c>
      <c r="I848" s="1" t="inlineStr">
        <is>
          <t>Matt</t>
        </is>
      </c>
      <c r="J848" t="n">
        <v>54</v>
      </c>
      <c r="K848" t="n">
        <v>54</v>
      </c>
      <c r="L848" t="n">
        <v>54</v>
      </c>
    </row>
    <row r="849">
      <c r="A849" s="1">
        <f>Hyperlink("https://www.wallsandfloors.co.uk/tarnished-grey-stone-effect-mosaic-tiles","Product")</f>
        <v/>
      </c>
      <c r="B849" s="1" t="inlineStr">
        <is>
          <t>40294</t>
        </is>
      </c>
      <c r="C849" s="1" t="inlineStr">
        <is>
          <t>Nantlle Valley Tarnished Grey Stone Effect Mosaic Tiles</t>
        </is>
      </c>
      <c r="D849" s="1" t="inlineStr">
        <is>
          <t>300x300x10.3mm</t>
        </is>
      </c>
      <c r="E849" s="1" t="n">
        <v>9.949999999999999</v>
      </c>
      <c r="F849" s="1" t="n">
        <v>0</v>
      </c>
      <c r="G849" s="1" t="inlineStr">
        <is>
          <t>Sheet</t>
        </is>
      </c>
      <c r="H849" s="1" t="inlineStr">
        <is>
          <t>Porcelain</t>
        </is>
      </c>
      <c r="I849" s="1" t="inlineStr">
        <is>
          <t>Matt</t>
        </is>
      </c>
      <c r="J849" t="inlineStr">
        <is>
          <t>In Stock</t>
        </is>
      </c>
      <c r="K849" t="inlineStr">
        <is>
          <t>In Stock</t>
        </is>
      </c>
      <c r="L849" t="inlineStr">
        <is>
          <t>In Stock</t>
        </is>
      </c>
    </row>
    <row r="850">
      <c r="A850" s="1">
        <f>Hyperlink("https://www.wallsandfloors.co.uk/tangier-wall-tiles-white-gloss-antiqua-wall-tiles","Product")</f>
        <v/>
      </c>
      <c r="B850" s="1" t="inlineStr">
        <is>
          <t>13609</t>
        </is>
      </c>
      <c r="C850" s="1" t="inlineStr">
        <is>
          <t>Tangier White Gloss Antiqua Wall Tiles</t>
        </is>
      </c>
      <c r="D850" s="1" t="inlineStr">
        <is>
          <t>200x200x8mm</t>
        </is>
      </c>
      <c r="E850" s="1" t="n">
        <v>30.95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inlineStr"/>
      <c r="K850" t="inlineStr">
        <is>
          <t>In Stock</t>
        </is>
      </c>
      <c r="L850" t="inlineStr">
        <is>
          <t>In Stock</t>
        </is>
      </c>
    </row>
    <row r="851">
      <c r="A851" s="1">
        <f>Hyperlink("https://www.wallsandfloors.co.uk/tangier-wall-tiles-blue-gloss-antiqua-wall-tiles","Product")</f>
        <v/>
      </c>
      <c r="B851" s="1" t="inlineStr">
        <is>
          <t>13611</t>
        </is>
      </c>
      <c r="C851" s="1" t="inlineStr">
        <is>
          <t>Blue Gloss Antiqua Wall Tiles</t>
        </is>
      </c>
      <c r="D851" s="1" t="inlineStr">
        <is>
          <t>200x200x8mm</t>
        </is>
      </c>
      <c r="E851" s="1" t="n">
        <v>30.95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inlineStr"/>
      <c r="K851" t="inlineStr">
        <is>
          <t>Out of Stock</t>
        </is>
      </c>
      <c r="L851" t="inlineStr">
        <is>
          <t>Out of Stock</t>
        </is>
      </c>
    </row>
    <row r="852">
      <c r="A852" s="1">
        <f>Hyperlink("https://www.wallsandfloors.co.uk/tangier-wall-tiles-antiqua-decor-wall-tiles","Product")</f>
        <v/>
      </c>
      <c r="B852" s="1" t="inlineStr">
        <is>
          <t>13621</t>
        </is>
      </c>
      <c r="C852" s="1" t="inlineStr">
        <is>
          <t>Tangier Antiqua Decor Pattern Wall Tiles</t>
        </is>
      </c>
      <c r="D852" s="1" t="inlineStr">
        <is>
          <t>200x200x8mm</t>
        </is>
      </c>
      <c r="E852" s="1" t="n">
        <v>40.95</v>
      </c>
      <c r="F852" s="1" t="n">
        <v>0</v>
      </c>
      <c r="G852" s="1" t="inlineStr">
        <is>
          <t>SQM</t>
        </is>
      </c>
      <c r="H852" s="1" t="inlineStr">
        <is>
          <t>Ceramic</t>
        </is>
      </c>
      <c r="I852" s="1" t="inlineStr">
        <is>
          <t>Gloss</t>
        </is>
      </c>
      <c r="J852" t="n">
        <v>249</v>
      </c>
      <c r="K852" t="n">
        <v>249</v>
      </c>
      <c r="L852" t="n">
        <v>249</v>
      </c>
    </row>
    <row r="853">
      <c r="A853" s="1">
        <f>Hyperlink("https://www.wallsandfloors.co.uk/tangier-floor-tiles-white-matt-antiqua-floor-tiles","Product")</f>
        <v/>
      </c>
      <c r="B853" s="1" t="inlineStr">
        <is>
          <t>13608</t>
        </is>
      </c>
      <c r="C853" s="1" t="inlineStr">
        <is>
          <t>Tangier White Matt Antiqua Tiles</t>
        </is>
      </c>
      <c r="D853" s="1" t="inlineStr">
        <is>
          <t>200x200x9mm</t>
        </is>
      </c>
      <c r="E853" s="1" t="n">
        <v>30.95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Matt</t>
        </is>
      </c>
      <c r="J853" t="n">
        <v>61</v>
      </c>
      <c r="K853" t="inlineStr"/>
      <c r="L853" t="n">
        <v>61</v>
      </c>
    </row>
    <row r="854">
      <c r="A854" s="1">
        <f>Hyperlink("https://www.wallsandfloors.co.uk/tangier-floor-tiles-antiqua-decor-floor-tiles","Product")</f>
        <v/>
      </c>
      <c r="B854" s="1" t="inlineStr">
        <is>
          <t>13606</t>
        </is>
      </c>
      <c r="C854" s="1" t="inlineStr">
        <is>
          <t>Tangier Antiqua Decor Pattern Floor Tiles</t>
        </is>
      </c>
      <c r="D854" s="1" t="inlineStr">
        <is>
          <t>200x200x9mm</t>
        </is>
      </c>
      <c r="E854" s="1" t="n">
        <v>40.95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Matt</t>
        </is>
      </c>
      <c r="J854" t="n">
        <v>63</v>
      </c>
      <c r="K854" t="n">
        <v>63</v>
      </c>
      <c r="L854" t="n">
        <v>63</v>
      </c>
    </row>
    <row r="855">
      <c r="A855" s="1">
        <f>Hyperlink("https://www.wallsandfloors.co.uk/talasni-tiles-white-matt-tiles","Product")</f>
        <v/>
      </c>
      <c r="B855" s="1" t="inlineStr">
        <is>
          <t>14148</t>
        </is>
      </c>
      <c r="C855" s="1" t="inlineStr">
        <is>
          <t>White Matt Tiles</t>
        </is>
      </c>
      <c r="D855" s="1" t="inlineStr">
        <is>
          <t>750x250x8mm</t>
        </is>
      </c>
      <c r="E855" s="1" t="n">
        <v>20.95</v>
      </c>
      <c r="F855" s="1" t="n">
        <v>0</v>
      </c>
      <c r="G855" s="1" t="inlineStr">
        <is>
          <t>SQM</t>
        </is>
      </c>
      <c r="H855" s="1" t="inlineStr">
        <is>
          <t>Ceramic</t>
        </is>
      </c>
      <c r="I855" s="1" t="inlineStr">
        <is>
          <t>Matt</t>
        </is>
      </c>
      <c r="J855" t="inlineStr">
        <is>
          <t>Out of Stock</t>
        </is>
      </c>
      <c r="K855" t="inlineStr">
        <is>
          <t>Out of Stock</t>
        </is>
      </c>
      <c r="L855" t="inlineStr">
        <is>
          <t>Out of Stock</t>
        </is>
      </c>
    </row>
    <row r="856">
      <c r="A856" s="1">
        <f>Hyperlink("https://www.wallsandfloors.co.uk/surfel-mink-concrete-tiles","Product")</f>
        <v/>
      </c>
      <c r="B856" s="1" t="inlineStr">
        <is>
          <t>39251</t>
        </is>
      </c>
      <c r="C856" s="1" t="inlineStr">
        <is>
          <t>Surfel Mink Concrete Tiles</t>
        </is>
      </c>
      <c r="D856" s="1" t="inlineStr">
        <is>
          <t>897x897x10.5mm</t>
        </is>
      </c>
      <c r="E856" s="1" t="n">
        <v>46.95</v>
      </c>
      <c r="F856" s="1" t="n">
        <v>0</v>
      </c>
      <c r="G856" s="1" t="inlineStr">
        <is>
          <t>SQM</t>
        </is>
      </c>
      <c r="H856" s="1" t="inlineStr">
        <is>
          <t>Porcelain</t>
        </is>
      </c>
      <c r="I856" s="1" t="inlineStr">
        <is>
          <t>Matt</t>
        </is>
      </c>
      <c r="J856" t="inlineStr"/>
      <c r="K856" t="n">
        <v>166</v>
      </c>
      <c r="L856" t="n">
        <v>166</v>
      </c>
    </row>
    <row r="857">
      <c r="A857" s="1">
        <f>Hyperlink("https://www.wallsandfloors.co.uk/surfel-bronze-tiles","Product")</f>
        <v/>
      </c>
      <c r="B857" s="1" t="inlineStr">
        <is>
          <t>39252</t>
        </is>
      </c>
      <c r="C857" s="1" t="inlineStr">
        <is>
          <t>Surfel Bronze Tiles</t>
        </is>
      </c>
      <c r="D857" s="1" t="inlineStr">
        <is>
          <t>890x890x10.5mm</t>
        </is>
      </c>
      <c r="E857" s="1" t="n">
        <v>47.95</v>
      </c>
      <c r="F857" s="1" t="n">
        <v>0</v>
      </c>
      <c r="G857" s="1" t="inlineStr">
        <is>
          <t>SQM</t>
        </is>
      </c>
      <c r="H857" s="1" t="inlineStr">
        <is>
          <t>Porcelain</t>
        </is>
      </c>
      <c r="I857" s="1" t="inlineStr">
        <is>
          <t>Matt</t>
        </is>
      </c>
      <c r="J857" t="n">
        <v>170</v>
      </c>
      <c r="K857" t="n">
        <v>170</v>
      </c>
      <c r="L857" t="n">
        <v>170</v>
      </c>
    </row>
    <row r="858">
      <c r="A858" s="1">
        <f>Hyperlink("https://www.wallsandfloors.co.uk/taurus-granit-tibet-tiles","Product")</f>
        <v/>
      </c>
      <c r="B858" s="1" t="inlineStr">
        <is>
          <t>37365</t>
        </is>
      </c>
      <c r="C858" s="1" t="inlineStr">
        <is>
          <t>Granito Taurus Granit Tibet Tiles</t>
        </is>
      </c>
      <c r="D858" s="1" t="inlineStr">
        <is>
          <t>598x298x10mm</t>
        </is>
      </c>
      <c r="E858" s="1" t="n">
        <v>15.45</v>
      </c>
      <c r="F858" s="1" t="n">
        <v>0</v>
      </c>
      <c r="G858" s="1" t="inlineStr">
        <is>
          <t>SQM</t>
        </is>
      </c>
      <c r="H858" s="1" t="inlineStr">
        <is>
          <t>Porcelain</t>
        </is>
      </c>
      <c r="I858" s="1" t="inlineStr">
        <is>
          <t>Matt</t>
        </is>
      </c>
      <c r="J858" t="n">
        <v>118</v>
      </c>
      <c r="K858" t="n">
        <v>118</v>
      </c>
      <c r="L858" t="n">
        <v>118</v>
      </c>
    </row>
    <row r="859">
      <c r="A859" s="1">
        <f>Hyperlink("https://www.wallsandfloors.co.uk/super-white-triangle-70x70x100mm-tiles","Product")</f>
        <v/>
      </c>
      <c r="B859" s="1" t="inlineStr">
        <is>
          <t>990207</t>
        </is>
      </c>
      <c r="C859" s="1" t="inlineStr">
        <is>
          <t>Super White Triangle 70x70x100mm Tiles</t>
        </is>
      </c>
      <c r="D859" s="1" t="inlineStr">
        <is>
          <t>70x70x100mm</t>
        </is>
      </c>
      <c r="E859" s="1" t="n">
        <v>3.38</v>
      </c>
      <c r="F859" s="1" t="n">
        <v>0</v>
      </c>
      <c r="G859" s="1" t="inlineStr">
        <is>
          <t>SQM</t>
        </is>
      </c>
      <c r="H859" s="1" t="inlineStr">
        <is>
          <t>Porcelain</t>
        </is>
      </c>
      <c r="I859" s="1" t="inlineStr">
        <is>
          <t>Matt</t>
        </is>
      </c>
      <c r="J859" t="inlineStr"/>
      <c r="K859" t="n">
        <v>1051</v>
      </c>
      <c r="L859" t="n">
        <v>1051</v>
      </c>
    </row>
    <row r="860">
      <c r="A860" s="1">
        <f>Hyperlink("https://www.wallsandfloors.co.uk/super-white-strip-150x50mm-tiles","Product")</f>
        <v/>
      </c>
      <c r="B860" s="1" t="inlineStr">
        <is>
          <t>990282</t>
        </is>
      </c>
      <c r="C860" s="1" t="inlineStr">
        <is>
          <t>Super White Strip Tiles</t>
        </is>
      </c>
      <c r="D860" s="1" t="inlineStr">
        <is>
          <t>150x50x9-10mm</t>
        </is>
      </c>
      <c r="E860" s="1" t="n">
        <v>3.2</v>
      </c>
      <c r="F860" s="1" t="n">
        <v>0</v>
      </c>
      <c r="G860" s="1" t="inlineStr">
        <is>
          <t>SQM</t>
        </is>
      </c>
      <c r="H860" s="1" t="inlineStr">
        <is>
          <t>Porcelain</t>
        </is>
      </c>
      <c r="I860" s="1" t="inlineStr">
        <is>
          <t>Matt</t>
        </is>
      </c>
      <c r="J860" t="n">
        <v>131</v>
      </c>
      <c r="K860" t="n">
        <v>131</v>
      </c>
      <c r="L860" t="n">
        <v>131</v>
      </c>
    </row>
    <row r="861">
      <c r="A861" s="1">
        <f>Hyperlink("https://www.wallsandfloors.co.uk/super-white-squares-50mm-tiles","Product")</f>
        <v/>
      </c>
      <c r="B861" s="1" t="inlineStr">
        <is>
          <t>990097</t>
        </is>
      </c>
      <c r="C861" s="1" t="inlineStr">
        <is>
          <t>Super White Squares 50mm Tiles</t>
        </is>
      </c>
      <c r="D861" s="1" t="inlineStr">
        <is>
          <t>50x50x9-10mm</t>
        </is>
      </c>
      <c r="E861" s="1" t="n">
        <v>0.67</v>
      </c>
      <c r="F861" s="1" t="n">
        <v>0</v>
      </c>
      <c r="G861" s="1" t="inlineStr">
        <is>
          <t>SQM</t>
        </is>
      </c>
      <c r="H861" s="1" t="inlineStr">
        <is>
          <t>Porcelain</t>
        </is>
      </c>
      <c r="I861" s="1" t="inlineStr">
        <is>
          <t>Matt</t>
        </is>
      </c>
      <c r="J861" t="n">
        <v>1504</v>
      </c>
      <c r="K861" t="inlineStr"/>
      <c r="L861" t="n">
        <v>1504</v>
      </c>
    </row>
    <row r="862">
      <c r="A862" s="1">
        <f>Hyperlink("https://www.wallsandfloors.co.uk/super-white-squares-35mm-tiles","Product")</f>
        <v/>
      </c>
      <c r="B862" s="1" t="inlineStr">
        <is>
          <t>990122</t>
        </is>
      </c>
      <c r="C862" s="1" t="inlineStr">
        <is>
          <t>Super White Squares 35mm Tiles</t>
        </is>
      </c>
      <c r="D862" s="1" t="inlineStr">
        <is>
          <t>35x35x9-10mm</t>
        </is>
      </c>
      <c r="E862" s="1" t="n">
        <v>0.52</v>
      </c>
      <c r="F862" s="1" t="n">
        <v>0</v>
      </c>
      <c r="G862" s="1" t="inlineStr">
        <is>
          <t>SQM</t>
        </is>
      </c>
      <c r="H862" s="1" t="inlineStr">
        <is>
          <t>Porcelain</t>
        </is>
      </c>
      <c r="I862" s="1" t="inlineStr">
        <is>
          <t>Matt</t>
        </is>
      </c>
      <c r="J862" t="n">
        <v>1001</v>
      </c>
      <c r="K862" t="inlineStr"/>
      <c r="L862" t="n">
        <v>1001</v>
      </c>
    </row>
    <row r="863">
      <c r="A863" s="1">
        <f>Hyperlink("https://www.wallsandfloors.co.uk/super-white-600x600-polished-tiles","Product")</f>
        <v/>
      </c>
      <c r="B863" s="1" t="inlineStr">
        <is>
          <t>44121</t>
        </is>
      </c>
      <c r="C863" s="1" t="inlineStr">
        <is>
          <t>White Polished Tiles</t>
        </is>
      </c>
      <c r="D863" s="1" t="inlineStr">
        <is>
          <t>600x600x8mm</t>
        </is>
      </c>
      <c r="E863" s="1" t="n">
        <v>24.95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Polished</t>
        </is>
      </c>
      <c r="J863" t="inlineStr">
        <is>
          <t>Out of Stock</t>
        </is>
      </c>
      <c r="K863" t="inlineStr"/>
      <c r="L863" t="inlineStr">
        <is>
          <t>Out of Stock</t>
        </is>
      </c>
    </row>
    <row r="864">
      <c r="A864" s="1">
        <f>Hyperlink("https://www.wallsandfloors.co.uk/super-white-300x600-polished-tiles","Product")</f>
        <v/>
      </c>
      <c r="B864" s="1" t="inlineStr">
        <is>
          <t>44103</t>
        </is>
      </c>
      <c r="C864" s="1" t="inlineStr">
        <is>
          <t>White Polished Tiles</t>
        </is>
      </c>
      <c r="D864" s="1" t="inlineStr">
        <is>
          <t>300x600x9mm</t>
        </is>
      </c>
      <c r="E864" s="1" t="n">
        <v>24.95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Polished</t>
        </is>
      </c>
      <c r="J864" t="inlineStr"/>
      <c r="K864" t="n">
        <v>318</v>
      </c>
      <c r="L864" t="n">
        <v>318</v>
      </c>
    </row>
    <row r="865">
      <c r="A865" s="1">
        <f>Hyperlink("https://www.wallsandfloors.co.uk/super-white-100x100x140mm-tiles","Product")</f>
        <v/>
      </c>
      <c r="B865" s="1" t="inlineStr">
        <is>
          <t>990232</t>
        </is>
      </c>
      <c r="C865" s="1" t="inlineStr">
        <is>
          <t>Super White Triangle Tiles</t>
        </is>
      </c>
      <c r="D865" s="1" t="inlineStr">
        <is>
          <t>100x100x1400mm</t>
        </is>
      </c>
      <c r="E865" s="1" t="n">
        <v>4.46</v>
      </c>
      <c r="F865" s="1" t="n">
        <v>0</v>
      </c>
      <c r="G865" s="1" t="inlineStr">
        <is>
          <t>SQM</t>
        </is>
      </c>
      <c r="H865" s="1" t="inlineStr">
        <is>
          <t>Porcelain</t>
        </is>
      </c>
      <c r="I865" s="1" t="inlineStr">
        <is>
          <t>Matt</t>
        </is>
      </c>
      <c r="J865" t="n">
        <v>180</v>
      </c>
      <c r="K865" t="n">
        <v>180</v>
      </c>
      <c r="L865" t="n">
        <v>180</v>
      </c>
    </row>
    <row r="866">
      <c r="A866" s="1">
        <f>Hyperlink("https://www.wallsandfloors.co.uk/super-flat-white-gloss","Product")</f>
        <v/>
      </c>
      <c r="B866" s="1" t="inlineStr">
        <is>
          <t>10640</t>
        </is>
      </c>
      <c r="C866" s="1" t="inlineStr">
        <is>
          <t>White Gloss Smooth Tiles</t>
        </is>
      </c>
      <c r="D866" s="1" t="inlineStr">
        <is>
          <t>400x250x8mm</t>
        </is>
      </c>
      <c r="E866" s="1" t="n">
        <v>17.95</v>
      </c>
      <c r="F866" s="1" t="n">
        <v>0</v>
      </c>
      <c r="G866" s="1" t="inlineStr">
        <is>
          <t>SQM</t>
        </is>
      </c>
      <c r="H866" s="1" t="inlineStr">
        <is>
          <t>Ceramic</t>
        </is>
      </c>
      <c r="I866" s="1" t="inlineStr">
        <is>
          <t>-</t>
        </is>
      </c>
      <c r="J866" t="inlineStr">
        <is>
          <t>Out of Stock</t>
        </is>
      </c>
      <c r="K866" t="inlineStr">
        <is>
          <t>Out of Stock</t>
        </is>
      </c>
      <c r="L866" t="inlineStr">
        <is>
          <t>Out of Stock</t>
        </is>
      </c>
    </row>
    <row r="867">
      <c r="A867" s="1">
        <f>Hyperlink("https://www.wallsandfloors.co.uk/super-black-800x800-polished-tiles","Product")</f>
        <v/>
      </c>
      <c r="B867" s="1" t="inlineStr">
        <is>
          <t>44206</t>
        </is>
      </c>
      <c r="C867" s="1" t="inlineStr">
        <is>
          <t>Black Polished Floor Tiles</t>
        </is>
      </c>
      <c r="D867" s="1" t="inlineStr">
        <is>
          <t>800x800x8mm</t>
        </is>
      </c>
      <c r="E867" s="1" t="n">
        <v>29.95</v>
      </c>
      <c r="F867" s="1" t="n">
        <v>0</v>
      </c>
      <c r="G867" s="1" t="inlineStr">
        <is>
          <t>SQM</t>
        </is>
      </c>
      <c r="H867" s="1" t="inlineStr">
        <is>
          <t>Porcelain</t>
        </is>
      </c>
      <c r="I867" s="1" t="inlineStr">
        <is>
          <t>Polished</t>
        </is>
      </c>
      <c r="J867" t="n">
        <v>88</v>
      </c>
      <c r="K867" t="n">
        <v>88</v>
      </c>
      <c r="L867" t="n">
        <v>88</v>
      </c>
    </row>
    <row r="868">
      <c r="A868" s="1">
        <f>Hyperlink("https://www.wallsandfloors.co.uk/super-black-600x600-polished-tiles","Product")</f>
        <v/>
      </c>
      <c r="B868" s="1" t="inlineStr">
        <is>
          <t>44205</t>
        </is>
      </c>
      <c r="C868" s="1" t="inlineStr">
        <is>
          <t>Black Polished Tiles</t>
        </is>
      </c>
      <c r="D868" s="1" t="inlineStr">
        <is>
          <t>600x600x8mm</t>
        </is>
      </c>
      <c r="E868" s="1" t="n">
        <v>24.95</v>
      </c>
      <c r="F868" s="1" t="n">
        <v>0</v>
      </c>
      <c r="G868" s="1" t="inlineStr">
        <is>
          <t>SQM</t>
        </is>
      </c>
      <c r="H868" s="1" t="inlineStr">
        <is>
          <t>Porcelain</t>
        </is>
      </c>
      <c r="I868" s="1" t="inlineStr">
        <is>
          <t>Polished</t>
        </is>
      </c>
      <c r="J868" t="inlineStr"/>
      <c r="K868" t="inlineStr"/>
      <c r="L868" t="inlineStr">
        <is>
          <t>Out of Stock</t>
        </is>
      </c>
    </row>
    <row r="869">
      <c r="A869" s="1">
        <f>Hyperlink("https://www.wallsandfloors.co.uk/super-black-300x600-polished-tiles","Product")</f>
        <v/>
      </c>
      <c r="B869" s="1" t="inlineStr">
        <is>
          <t>44122</t>
        </is>
      </c>
      <c r="C869" s="1" t="inlineStr">
        <is>
          <t>Black Polished Tiles</t>
        </is>
      </c>
      <c r="D869" s="1" t="inlineStr">
        <is>
          <t>300x600x8mm</t>
        </is>
      </c>
      <c r="E869" s="1" t="n">
        <v>24.95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Polished</t>
        </is>
      </c>
      <c r="J869" t="inlineStr">
        <is>
          <t>Out of Stock</t>
        </is>
      </c>
      <c r="K869" t="inlineStr"/>
      <c r="L869" t="inlineStr">
        <is>
          <t>Out of Stock</t>
        </is>
      </c>
    </row>
    <row r="870">
      <c r="A870" s="1">
        <f>Hyperlink("https://www.wallsandfloors.co.uk/super-white-triangle-50x50x70mm-tiles","Product")</f>
        <v/>
      </c>
      <c r="B870" s="1" t="inlineStr">
        <is>
          <t>990182</t>
        </is>
      </c>
      <c r="C870" s="1" t="inlineStr">
        <is>
          <t>Super White Triangle Tiles</t>
        </is>
      </c>
      <c r="D870" s="1" t="inlineStr">
        <is>
          <t>50x50x70mm</t>
        </is>
      </c>
      <c r="E870" s="1" t="n">
        <v>1.5</v>
      </c>
      <c r="F870" s="1" t="n">
        <v>0</v>
      </c>
      <c r="G870" s="1" t="inlineStr">
        <is>
          <t>SQM</t>
        </is>
      </c>
      <c r="H870" s="1" t="inlineStr">
        <is>
          <t>Porcelain</t>
        </is>
      </c>
      <c r="I870" s="1" t="inlineStr">
        <is>
          <t>Matt</t>
        </is>
      </c>
      <c r="J870" t="n">
        <v>601</v>
      </c>
      <c r="K870" t="n">
        <v>601</v>
      </c>
      <c r="L870" t="n">
        <v>601</v>
      </c>
    </row>
    <row r="871">
      <c r="A871" s="1">
        <f>Hyperlink("https://www.wallsandfloors.co.uk/tavla-matt-calico-tiles","Product")</f>
        <v/>
      </c>
      <c r="B871" s="1" t="inlineStr">
        <is>
          <t>39248</t>
        </is>
      </c>
      <c r="C871" s="1" t="inlineStr">
        <is>
          <t>Tavla Matt Calico Limestone Effect Tiles</t>
        </is>
      </c>
      <c r="D871" s="1" t="inlineStr">
        <is>
          <t>897x897x10.5mm</t>
        </is>
      </c>
      <c r="E871" s="1" t="n">
        <v>47.95</v>
      </c>
      <c r="F871" s="1" t="n">
        <v>0</v>
      </c>
      <c r="G871" s="1" t="inlineStr">
        <is>
          <t>SQM</t>
        </is>
      </c>
      <c r="H871" s="1" t="inlineStr">
        <is>
          <t>Porcelain</t>
        </is>
      </c>
      <c r="I871" s="1" t="inlineStr">
        <is>
          <t>Matt</t>
        </is>
      </c>
      <c r="J871" t="n">
        <v>60</v>
      </c>
      <c r="K871" t="n">
        <v>60</v>
      </c>
      <c r="L871" t="n">
        <v>60</v>
      </c>
    </row>
    <row r="872">
      <c r="A872" s="1">
        <f>Hyperlink("https://www.wallsandfloors.co.uk/tavla-matt-grey-tiles","Product")</f>
        <v/>
      </c>
      <c r="B872" s="1" t="inlineStr">
        <is>
          <t>39250</t>
        </is>
      </c>
      <c r="C872" s="1" t="inlineStr">
        <is>
          <t>Tavla Matt Grey Limestone Effect Tiles</t>
        </is>
      </c>
      <c r="D872" s="1" t="inlineStr">
        <is>
          <t>897x897x10.5mm</t>
        </is>
      </c>
      <c r="E872" s="1" t="n">
        <v>47.95</v>
      </c>
      <c r="F872" s="1" t="n">
        <v>0</v>
      </c>
      <c r="G872" s="1" t="inlineStr">
        <is>
          <t>SQM</t>
        </is>
      </c>
      <c r="H872" s="1" t="inlineStr">
        <is>
          <t>Porcelain</t>
        </is>
      </c>
      <c r="I872" s="1" t="inlineStr">
        <is>
          <t>Matt</t>
        </is>
      </c>
      <c r="J872" t="n">
        <v>60</v>
      </c>
      <c r="K872" t="n">
        <v>60</v>
      </c>
      <c r="L872" t="n">
        <v>60</v>
      </c>
    </row>
    <row r="873">
      <c r="A873" s="1">
        <f>Hyperlink("https://www.wallsandfloors.co.uk/tcr-4-1-2-115-porcelain-tile-diamond-blade","Product")</f>
        <v/>
      </c>
      <c r="B873" s="1" t="inlineStr">
        <is>
          <t>27527</t>
        </is>
      </c>
      <c r="C873" s="1" t="inlineStr">
        <is>
          <t>TCR 4 115 mm 1/2" Porcelain Tile Diamond Blade</t>
        </is>
      </c>
      <c r="D873" s="1" t="inlineStr">
        <is>
          <t>115mm</t>
        </is>
      </c>
      <c r="E873" s="1" t="n">
        <v>31.55</v>
      </c>
      <c r="F873" s="1" t="n">
        <v>0</v>
      </c>
      <c r="G873" s="1" t="inlineStr">
        <is>
          <t>Unit</t>
        </is>
      </c>
      <c r="H873" s="1" t="inlineStr">
        <is>
          <t>Accessories</t>
        </is>
      </c>
      <c r="I873" s="1" t="inlineStr">
        <is>
          <t>-</t>
        </is>
      </c>
      <c r="J873" t="inlineStr">
        <is>
          <t>In Stock</t>
        </is>
      </c>
      <c r="K873" t="inlineStr">
        <is>
          <t>In Stock</t>
        </is>
      </c>
      <c r="L873" t="inlineStr">
        <is>
          <t>In Stock</t>
        </is>
      </c>
    </row>
    <row r="874">
      <c r="A874" s="1">
        <f>Hyperlink("https://www.wallsandfloors.co.uk/titanic-linear-pebble-grey-mosaic-tiles","Product")</f>
        <v/>
      </c>
      <c r="B874" s="1" t="inlineStr">
        <is>
          <t>39778</t>
        </is>
      </c>
      <c r="C874" s="1" t="inlineStr">
        <is>
          <t>Titanic Linear Pebble Grey Mosaic Tiles</t>
        </is>
      </c>
      <c r="D874" s="1" t="inlineStr">
        <is>
          <t>406x300x8mm</t>
        </is>
      </c>
      <c r="E874" s="1" t="n">
        <v>7.8</v>
      </c>
      <c r="F874" s="1" t="n">
        <v>0</v>
      </c>
      <c r="G874" s="1" t="inlineStr">
        <is>
          <t>Sheet</t>
        </is>
      </c>
      <c r="H874" s="1" t="inlineStr">
        <is>
          <t>Glass</t>
        </is>
      </c>
      <c r="I874" s="1" t="inlineStr">
        <is>
          <t>Mixed</t>
        </is>
      </c>
      <c r="J874" t="n">
        <v>29</v>
      </c>
      <c r="K874" t="n">
        <v>29</v>
      </c>
      <c r="L874" t="n">
        <v>29</v>
      </c>
    </row>
    <row r="875">
      <c r="A875" s="1">
        <f>Hyperlink("https://www.wallsandfloors.co.uk/titanic-linear-alabaster-white-tiles","Product")</f>
        <v/>
      </c>
      <c r="B875" s="1" t="inlineStr">
        <is>
          <t>39779</t>
        </is>
      </c>
      <c r="C875" s="1" t="inlineStr">
        <is>
          <t>Titanic Linear Alabaster White Tiles</t>
        </is>
      </c>
      <c r="D875" s="1" t="inlineStr">
        <is>
          <t>406x300x8mm</t>
        </is>
      </c>
      <c r="E875" s="1" t="n">
        <v>12.95</v>
      </c>
      <c r="F875" s="1" t="n">
        <v>0</v>
      </c>
      <c r="G875" s="1" t="inlineStr">
        <is>
          <t>Sheet</t>
        </is>
      </c>
      <c r="H875" s="1" t="inlineStr">
        <is>
          <t>Glass</t>
        </is>
      </c>
      <c r="I875" s="1" t="inlineStr">
        <is>
          <t>Mixed</t>
        </is>
      </c>
      <c r="J875" t="inlineStr"/>
      <c r="K875" t="inlineStr">
        <is>
          <t>In Stock</t>
        </is>
      </c>
      <c r="L875" t="inlineStr">
        <is>
          <t>In Stock</t>
        </is>
      </c>
    </row>
    <row r="876">
      <c r="A876" s="1">
        <f>Hyperlink("https://www.wallsandfloors.co.uk/titanic-graphite-polished-80x80-tiles","Product")</f>
        <v/>
      </c>
      <c r="B876" s="1" t="inlineStr">
        <is>
          <t>37208</t>
        </is>
      </c>
      <c r="C876" s="1" t="inlineStr">
        <is>
          <t>Titanic Graphite Polished Tiles</t>
        </is>
      </c>
      <c r="D876" s="1" t="inlineStr">
        <is>
          <t>800x800x10.8mm</t>
        </is>
      </c>
      <c r="E876" s="1" t="n">
        <v>29.95</v>
      </c>
      <c r="F876" s="1" t="n">
        <v>0</v>
      </c>
      <c r="G876" s="1" t="inlineStr">
        <is>
          <t>SQM</t>
        </is>
      </c>
      <c r="H876" s="1" t="inlineStr">
        <is>
          <t>Porcelain</t>
        </is>
      </c>
      <c r="I876" s="1" t="inlineStr">
        <is>
          <t>Polished</t>
        </is>
      </c>
      <c r="J876" t="n">
        <v>625</v>
      </c>
      <c r="K876" t="n">
        <v>625</v>
      </c>
      <c r="L876" t="n">
        <v>625</v>
      </c>
    </row>
    <row r="877">
      <c r="A877" s="1">
        <f>Hyperlink("https://www.wallsandfloors.co.uk/titanic-graphite-polished-80x40-tiles","Product")</f>
        <v/>
      </c>
      <c r="B877" s="1" t="inlineStr">
        <is>
          <t>37207</t>
        </is>
      </c>
      <c r="C877" s="1" t="inlineStr">
        <is>
          <t>Titanic Graphite Polished Tiles</t>
        </is>
      </c>
      <c r="D877" s="1" t="inlineStr">
        <is>
          <t>800x400x10.8mm</t>
        </is>
      </c>
      <c r="E877" s="1" t="n">
        <v>20.75</v>
      </c>
      <c r="F877" s="1" t="n">
        <v>0</v>
      </c>
      <c r="G877" s="1" t="inlineStr">
        <is>
          <t>SQM</t>
        </is>
      </c>
      <c r="H877" s="1" t="inlineStr">
        <is>
          <t>Porcelain</t>
        </is>
      </c>
      <c r="I877" s="1" t="inlineStr">
        <is>
          <t>Polished</t>
        </is>
      </c>
      <c r="J877" t="n">
        <v>78</v>
      </c>
      <c r="K877" t="n">
        <v>78</v>
      </c>
      <c r="L877" t="n">
        <v>78</v>
      </c>
    </row>
    <row r="878">
      <c r="A878" s="1">
        <f>Hyperlink("https://www.wallsandfloors.co.uk/titanic-coal-linear-desert-black-mosaic-tiles","Product")</f>
        <v/>
      </c>
      <c r="B878" s="1" t="inlineStr">
        <is>
          <t>39777</t>
        </is>
      </c>
      <c r="C878" s="1" t="inlineStr">
        <is>
          <t>Titanic Linear Desert Black Mosaic Tiles</t>
        </is>
      </c>
      <c r="D878" s="1" t="inlineStr">
        <is>
          <t>406x300x8mm</t>
        </is>
      </c>
      <c r="E878" s="1" t="n">
        <v>8</v>
      </c>
      <c r="F878" s="1" t="n">
        <v>0</v>
      </c>
      <c r="G878" s="1" t="inlineStr">
        <is>
          <t>Sheet</t>
        </is>
      </c>
      <c r="H878" s="1" t="inlineStr">
        <is>
          <t>Glass</t>
        </is>
      </c>
      <c r="I878" s="1" t="inlineStr">
        <is>
          <t>Mixed</t>
        </is>
      </c>
      <c r="J878" t="n">
        <v>92</v>
      </c>
      <c r="K878" t="n">
        <v>92</v>
      </c>
      <c r="L878" t="n">
        <v>92</v>
      </c>
    </row>
    <row r="879">
      <c r="A879" s="1">
        <f>Hyperlink("https://www.wallsandfloors.co.uk/titanic-chevron-pebble-grey-tiles","Product")</f>
        <v/>
      </c>
      <c r="B879" s="1" t="inlineStr">
        <is>
          <t>39774</t>
        </is>
      </c>
      <c r="C879" s="1" t="inlineStr">
        <is>
          <t>Titanic Chevron Pebble Grey Tiles</t>
        </is>
      </c>
      <c r="D879" s="1" t="inlineStr">
        <is>
          <t>315x298x8mm</t>
        </is>
      </c>
      <c r="E879" s="1" t="n">
        <v>8</v>
      </c>
      <c r="F879" s="1" t="n">
        <v>0</v>
      </c>
      <c r="G879" s="1" t="inlineStr">
        <is>
          <t>SQM</t>
        </is>
      </c>
      <c r="H879" s="1" t="inlineStr">
        <is>
          <t>Glass</t>
        </is>
      </c>
      <c r="I879" s="1" t="inlineStr">
        <is>
          <t>Mixed</t>
        </is>
      </c>
      <c r="J879" t="inlineStr"/>
      <c r="K879" t="n">
        <v>7</v>
      </c>
      <c r="L879" t="n">
        <v>7</v>
      </c>
    </row>
    <row r="880">
      <c r="A880" s="1">
        <f>Hyperlink("https://www.wallsandfloors.co.uk/titanic-chevron-alabaster-white-tiles","Product")</f>
        <v/>
      </c>
      <c r="B880" s="1" t="inlineStr">
        <is>
          <t>39775</t>
        </is>
      </c>
      <c r="C880" s="1" t="inlineStr">
        <is>
          <t>Titanic Chevron Alabaster White Tiles</t>
        </is>
      </c>
      <c r="D880" s="1" t="inlineStr">
        <is>
          <t>315x298x8mm</t>
        </is>
      </c>
      <c r="E880" s="1" t="n">
        <v>8</v>
      </c>
      <c r="F880" s="1" t="n">
        <v>0</v>
      </c>
      <c r="G880" s="1" t="inlineStr">
        <is>
          <t>SQM</t>
        </is>
      </c>
      <c r="H880" s="1" t="inlineStr">
        <is>
          <t>Glass</t>
        </is>
      </c>
      <c r="I880" s="1" t="inlineStr">
        <is>
          <t>Mixed</t>
        </is>
      </c>
      <c r="J880" t="n">
        <v>102</v>
      </c>
      <c r="K880" t="n">
        <v>102</v>
      </c>
      <c r="L880" t="n">
        <v>102</v>
      </c>
    </row>
    <row r="881">
      <c r="A881" s="1">
        <f>Hyperlink("https://www.wallsandfloors.co.uk/tints-rose-brick-tiles","Product")</f>
        <v/>
      </c>
      <c r="B881" s="1" t="inlineStr">
        <is>
          <t>37747</t>
        </is>
      </c>
      <c r="C881" s="1" t="inlineStr">
        <is>
          <t>Tints Rose Brick Tiles</t>
        </is>
      </c>
      <c r="D881" s="1" t="inlineStr">
        <is>
          <t>200x100x6mm</t>
        </is>
      </c>
      <c r="E881" s="1" t="n">
        <v>30.95</v>
      </c>
      <c r="F881" s="1" t="n">
        <v>0</v>
      </c>
      <c r="G881" s="1" t="inlineStr">
        <is>
          <t>SQM</t>
        </is>
      </c>
      <c r="H881" s="1" t="inlineStr">
        <is>
          <t>Ceramic</t>
        </is>
      </c>
      <c r="I881" s="1" t="inlineStr">
        <is>
          <t>Gloss</t>
        </is>
      </c>
      <c r="J881" t="inlineStr">
        <is>
          <t>Out of Stock</t>
        </is>
      </c>
      <c r="K881" t="inlineStr"/>
      <c r="L881" t="inlineStr">
        <is>
          <t>Out of Stock</t>
        </is>
      </c>
    </row>
    <row r="882">
      <c r="A882" s="1">
        <f>Hyperlink("https://www.wallsandfloors.co.uk/tints-calm-brick-tiles","Product")</f>
        <v/>
      </c>
      <c r="B882" s="1" t="inlineStr">
        <is>
          <t>37748</t>
        </is>
      </c>
      <c r="C882" s="1" t="inlineStr">
        <is>
          <t>Tints Calm Brick Tiles</t>
        </is>
      </c>
      <c r="D882" s="1" t="inlineStr">
        <is>
          <t>200x100x6mm</t>
        </is>
      </c>
      <c r="E882" s="1" t="n">
        <v>30.95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Gloss</t>
        </is>
      </c>
      <c r="J882" t="n">
        <v>191</v>
      </c>
      <c r="K882" t="n">
        <v>191</v>
      </c>
      <c r="L882" t="n">
        <v>191</v>
      </c>
    </row>
    <row r="883">
      <c r="A883" s="1">
        <f>Hyperlink("https://www.wallsandfloors.co.uk/tile-spacers-long-spacer-2mm-1000","Product")</f>
        <v/>
      </c>
      <c r="B883" s="1" t="inlineStr">
        <is>
          <t>27378</t>
        </is>
      </c>
      <c r="C883" s="1" t="inlineStr">
        <is>
          <t>Long Tile Spacers 2mm Long (1000)</t>
        </is>
      </c>
      <c r="D883" s="1" t="inlineStr">
        <is>
          <t>2mm</t>
        </is>
      </c>
      <c r="E883" s="1" t="n">
        <v>8.75</v>
      </c>
      <c r="F883" s="1" t="n">
        <v>0</v>
      </c>
      <c r="G883" s="1" t="inlineStr">
        <is>
          <t>Unit</t>
        </is>
      </c>
      <c r="H883" s="1" t="inlineStr">
        <is>
          <t>Accessories</t>
        </is>
      </c>
      <c r="I883" s="1" t="inlineStr">
        <is>
          <t>-</t>
        </is>
      </c>
      <c r="J883" t="inlineStr">
        <is>
          <t>In Stock</t>
        </is>
      </c>
      <c r="K883" t="inlineStr">
        <is>
          <t>In Stock</t>
        </is>
      </c>
      <c r="L883" t="inlineStr">
        <is>
          <t>In Stock</t>
        </is>
      </c>
    </row>
    <row r="884">
      <c r="A884" s="1">
        <f>Hyperlink("https://www.wallsandfloors.co.uk/tile-spacers-4mm-1000","Product")</f>
        <v/>
      </c>
      <c r="B884" s="1" t="inlineStr">
        <is>
          <t>27380</t>
        </is>
      </c>
      <c r="C884" s="1" t="inlineStr">
        <is>
          <t>Rubi 4mm Tile Spacers</t>
        </is>
      </c>
      <c r="D884" s="1" t="inlineStr">
        <is>
          <t>4mm - 1000pk</t>
        </is>
      </c>
      <c r="E884" s="1" t="n">
        <v>13.45</v>
      </c>
      <c r="F884" s="1" t="n">
        <v>0</v>
      </c>
      <c r="G884" s="1" t="inlineStr">
        <is>
          <t>Unit</t>
        </is>
      </c>
      <c r="H884" s="1" t="inlineStr">
        <is>
          <t>P.V.C.</t>
        </is>
      </c>
      <c r="I884" s="1" t="inlineStr">
        <is>
          <t>-</t>
        </is>
      </c>
      <c r="J884" t="inlineStr">
        <is>
          <t>In Stock</t>
        </is>
      </c>
      <c r="K884" t="inlineStr"/>
      <c r="L884" t="inlineStr">
        <is>
          <t>In Stock</t>
        </is>
      </c>
    </row>
    <row r="885">
      <c r="A885" s="1">
        <f>Hyperlink("https://www.wallsandfloors.co.uk/tile-level-quick-set","Product")</f>
        <v/>
      </c>
      <c r="B885" s="1" t="inlineStr">
        <is>
          <t>36840</t>
        </is>
      </c>
      <c r="C885" s="1" t="inlineStr">
        <is>
          <t>Tile Level Quick Set</t>
        </is>
      </c>
      <c r="D885" s="1" t="inlineStr">
        <is>
          <t>1 Size</t>
        </is>
      </c>
      <c r="E885" s="1" t="n">
        <v>49.95</v>
      </c>
      <c r="F885" s="1" t="n">
        <v>0</v>
      </c>
      <c r="G885" s="1" t="inlineStr">
        <is>
          <t>Unit</t>
        </is>
      </c>
      <c r="H885" s="1" t="inlineStr">
        <is>
          <t>Tools</t>
        </is>
      </c>
      <c r="I885" s="1" t="inlineStr">
        <is>
          <t>-</t>
        </is>
      </c>
      <c r="J885" t="inlineStr"/>
      <c r="K885" t="inlineStr"/>
      <c r="L885" t="inlineStr">
        <is>
          <t>In Stock</t>
        </is>
      </c>
    </row>
    <row r="886">
      <c r="A886" s="1">
        <f>Hyperlink("https://www.wallsandfloors.co.uk/tile-level-caps-b-100-u","Product")</f>
        <v/>
      </c>
      <c r="B886" s="1" t="inlineStr">
        <is>
          <t>40397</t>
        </is>
      </c>
      <c r="C886" s="1" t="inlineStr">
        <is>
          <t>Tile Level Caps (100)</t>
        </is>
      </c>
      <c r="D886" s="1" t="inlineStr">
        <is>
          <t>1.5mm</t>
        </is>
      </c>
      <c r="E886" s="1" t="n">
        <v>15.45</v>
      </c>
      <c r="F886" s="1" t="n">
        <v>0</v>
      </c>
      <c r="G886" s="1" t="inlineStr">
        <is>
          <t>Unit</t>
        </is>
      </c>
      <c r="H886" s="1" t="inlineStr">
        <is>
          <t>Accessories</t>
        </is>
      </c>
      <c r="I886" s="1" t="inlineStr">
        <is>
          <t>-</t>
        </is>
      </c>
      <c r="J886" t="inlineStr">
        <is>
          <t>In Stock</t>
        </is>
      </c>
      <c r="K886" t="inlineStr">
        <is>
          <t>In Stock</t>
        </is>
      </c>
      <c r="L886" t="inlineStr">
        <is>
          <t>In Stock</t>
        </is>
      </c>
    </row>
    <row r="887">
      <c r="A887" s="1">
        <f>Hyperlink("https://www.wallsandfloors.co.uk/tile-level-b-100-u-strip","Product")</f>
        <v/>
      </c>
      <c r="B887" s="1" t="inlineStr">
        <is>
          <t>40398</t>
        </is>
      </c>
      <c r="C887" s="1" t="inlineStr">
        <is>
          <t>Tile Level Strip (100)</t>
        </is>
      </c>
      <c r="D887" s="1" t="inlineStr">
        <is>
          <t>16x3mm</t>
        </is>
      </c>
      <c r="E887" s="1" t="n">
        <v>16.95</v>
      </c>
      <c r="F887" s="1" t="n">
        <v>0</v>
      </c>
      <c r="G887" s="1" t="inlineStr">
        <is>
          <t>Unit</t>
        </is>
      </c>
      <c r="H887" s="1" t="inlineStr">
        <is>
          <t>Accessories</t>
        </is>
      </c>
      <c r="I887" s="1" t="inlineStr">
        <is>
          <t>-</t>
        </is>
      </c>
      <c r="J887" t="inlineStr">
        <is>
          <t>In Stock</t>
        </is>
      </c>
      <c r="K887" t="inlineStr">
        <is>
          <t>In Stock</t>
        </is>
      </c>
      <c r="L887" t="inlineStr">
        <is>
          <t>In Stock</t>
        </is>
      </c>
    </row>
    <row r="888">
      <c r="A888" s="1">
        <f>Hyperlink("https://www.wallsandfloors.co.uk/thermonet-heating-system-200w-under-tile-heater-mat-200w-sqm-9-sqm","Product")</f>
        <v/>
      </c>
      <c r="B888" s="1" t="inlineStr">
        <is>
          <t>9310</t>
        </is>
      </c>
      <c r="C888" s="1" t="inlineStr">
        <is>
          <t>Under Tile Heater Mat 200W/sqm - 9 Sqm</t>
        </is>
      </c>
      <c r="D888" s="1" t="inlineStr">
        <is>
          <t>9.0 Sqm</t>
        </is>
      </c>
      <c r="E888" s="1" t="n">
        <v>634.5</v>
      </c>
      <c r="F888" s="1" t="n">
        <v>0</v>
      </c>
      <c r="G888" s="1" t="inlineStr">
        <is>
          <t>Units</t>
        </is>
      </c>
      <c r="H888" s="1" t="inlineStr">
        <is>
          <t>Accessories</t>
        </is>
      </c>
      <c r="I888" s="1" t="inlineStr">
        <is>
          <t>-</t>
        </is>
      </c>
      <c r="J888" t="n">
        <v>2</v>
      </c>
      <c r="K888" t="n">
        <v>2</v>
      </c>
      <c r="L888" t="n">
        <v>2</v>
      </c>
    </row>
    <row r="889">
      <c r="A889" s="1">
        <f>Hyperlink("https://www.wallsandfloors.co.uk/thermonet-heating-system-150w-under-tile-heater-mat-150w-sqm-4-95-sqm-9292","Product")</f>
        <v/>
      </c>
      <c r="B889" s="1" t="inlineStr">
        <is>
          <t>9292</t>
        </is>
      </c>
      <c r="C889" s="1" t="inlineStr">
        <is>
          <t>Under Tile Heater Mat 150W/sqm - 4.95 Sqm</t>
        </is>
      </c>
      <c r="D889" s="1" t="inlineStr">
        <is>
          <t>4.95 Sqm</t>
        </is>
      </c>
      <c r="E889" s="1" t="n">
        <v>330</v>
      </c>
      <c r="F889" s="1" t="n">
        <v>0</v>
      </c>
      <c r="G889" s="1" t="inlineStr">
        <is>
          <t>Units</t>
        </is>
      </c>
      <c r="H889" s="1" t="inlineStr">
        <is>
          <t>Accessories</t>
        </is>
      </c>
      <c r="I889" s="1" t="inlineStr">
        <is>
          <t>-</t>
        </is>
      </c>
      <c r="J889" t="n">
        <v>1</v>
      </c>
      <c r="K889" t="n">
        <v>1</v>
      </c>
      <c r="L889" t="n">
        <v>1</v>
      </c>
    </row>
    <row r="890">
      <c r="A890" s="1">
        <f>Hyperlink("https://www.wallsandfloors.co.uk/texxtile-lux-tiles","Product")</f>
        <v/>
      </c>
      <c r="B890" s="1" t="inlineStr">
        <is>
          <t>38599</t>
        </is>
      </c>
      <c r="C890" s="1" t="inlineStr">
        <is>
          <t>Texxtile Lux Tiles</t>
        </is>
      </c>
      <c r="D890" s="1" t="inlineStr">
        <is>
          <t>185x185x8mm</t>
        </is>
      </c>
      <c r="E890" s="1" t="n">
        <v>34.95</v>
      </c>
      <c r="F890" s="1" t="n">
        <v>0</v>
      </c>
      <c r="G890" s="1" t="inlineStr">
        <is>
          <t>SQM</t>
        </is>
      </c>
      <c r="H890" s="1" t="inlineStr">
        <is>
          <t>Porcelain</t>
        </is>
      </c>
      <c r="I890" s="1" t="inlineStr">
        <is>
          <t>Matt</t>
        </is>
      </c>
      <c r="J890" t="n">
        <v>391</v>
      </c>
      <c r="K890" t="n">
        <v>391</v>
      </c>
      <c r="L890" t="n">
        <v>391</v>
      </c>
    </row>
    <row r="891">
      <c r="A891" s="1">
        <f>Hyperlink("https://www.wallsandfloors.co.uk/texxtile-earl-tiles","Product")</f>
        <v/>
      </c>
      <c r="B891" s="1" t="inlineStr">
        <is>
          <t>38601</t>
        </is>
      </c>
      <c r="C891" s="1" t="inlineStr">
        <is>
          <t>Texxtile Earl Tiles</t>
        </is>
      </c>
      <c r="D891" s="1" t="inlineStr">
        <is>
          <t>185x185x8mm</t>
        </is>
      </c>
      <c r="E891" s="1" t="n">
        <v>34.95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Matt</t>
        </is>
      </c>
      <c r="J891" t="inlineStr"/>
      <c r="K891" t="inlineStr"/>
      <c r="L891" t="n">
        <v>286</v>
      </c>
    </row>
    <row r="892">
      <c r="A892" s="1">
        <f>Hyperlink("https://www.wallsandfloors.co.uk/texxtile-cotton-tiles","Product")</f>
        <v/>
      </c>
      <c r="B892" s="1" t="inlineStr">
        <is>
          <t>38602</t>
        </is>
      </c>
      <c r="C892" s="1" t="inlineStr">
        <is>
          <t>Texxtile Cotton Tiles</t>
        </is>
      </c>
      <c r="D892" s="1" t="inlineStr">
        <is>
          <t>185x185x8mm</t>
        </is>
      </c>
      <c r="E892" s="1" t="n">
        <v>34.95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Matt</t>
        </is>
      </c>
      <c r="J892" t="n">
        <v>334</v>
      </c>
      <c r="K892" t="n">
        <v>334</v>
      </c>
      <c r="L892" t="n">
        <v>334</v>
      </c>
    </row>
    <row r="893">
      <c r="A893" s="1">
        <f>Hyperlink("https://www.wallsandfloors.co.uk/texxtile-ashen-tiles","Product")</f>
        <v/>
      </c>
      <c r="B893" s="1" t="inlineStr">
        <is>
          <t>38600</t>
        </is>
      </c>
      <c r="C893" s="1" t="inlineStr">
        <is>
          <t>Texxtile Ashen Tiles</t>
        </is>
      </c>
      <c r="D893" s="1" t="inlineStr">
        <is>
          <t>185x185x8mm</t>
        </is>
      </c>
      <c r="E893" s="1" t="n">
        <v>34.95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Matt</t>
        </is>
      </c>
      <c r="J893" t="n">
        <v>507</v>
      </c>
      <c r="K893" t="n">
        <v>507</v>
      </c>
      <c r="L893" t="n">
        <v>507</v>
      </c>
    </row>
    <row r="894">
      <c r="A894" s="1">
        <f>Hyperlink("https://www.wallsandfloors.co.uk/tephra-viridian-herringbone-mix-mosaic-tiles","Product")</f>
        <v/>
      </c>
      <c r="B894" s="1" t="inlineStr">
        <is>
          <t>37465</t>
        </is>
      </c>
      <c r="C894" s="1" t="inlineStr">
        <is>
          <t>Tephra Viridian Herringbone Mix Mosaic Tiles</t>
        </is>
      </c>
      <c r="D894" s="1" t="inlineStr">
        <is>
          <t>312x309x8mm</t>
        </is>
      </c>
      <c r="E894" s="1" t="n">
        <v>6.4</v>
      </c>
      <c r="F894" s="1" t="n">
        <v>0</v>
      </c>
      <c r="G894" s="1" t="inlineStr">
        <is>
          <t>Sheet</t>
        </is>
      </c>
      <c r="H894" s="1" t="inlineStr">
        <is>
          <t>Basalt, Glass</t>
        </is>
      </c>
      <c r="I894" s="1" t="inlineStr">
        <is>
          <t>Satin</t>
        </is>
      </c>
      <c r="J894" t="n">
        <v>49</v>
      </c>
      <c r="K894" t="inlineStr"/>
      <c r="L894" t="n">
        <v>49</v>
      </c>
    </row>
    <row r="895">
      <c r="A895" s="1">
        <f>Hyperlink("https://www.wallsandfloors.co.uk/tephra-glaucous-linear-mosaic-tiles","Product")</f>
        <v/>
      </c>
      <c r="B895" s="1" t="inlineStr">
        <is>
          <t>37464</t>
        </is>
      </c>
      <c r="C895" s="1" t="inlineStr">
        <is>
          <t>Tephra Glaucous Linear Mosaic Tiles</t>
        </is>
      </c>
      <c r="D895" s="1" t="inlineStr">
        <is>
          <t>350x300x8mm</t>
        </is>
      </c>
      <c r="E895" s="1" t="n">
        <v>8.550000000000001</v>
      </c>
      <c r="F895" s="1" t="n">
        <v>0</v>
      </c>
      <c r="G895" s="1" t="inlineStr"/>
      <c r="H895" s="1" t="inlineStr">
        <is>
          <t>Basalt</t>
        </is>
      </c>
      <c r="I895" s="1" t="inlineStr">
        <is>
          <t>Satin</t>
        </is>
      </c>
      <c r="J895" t="inlineStr"/>
      <c r="K895" t="n">
        <v>30</v>
      </c>
      <c r="L895" t="n">
        <v>30</v>
      </c>
    </row>
    <row r="896">
      <c r="A896" s="1">
        <f>Hyperlink("https://www.wallsandfloors.co.uk/tephra-dusted-moon-herringbone-mix-mosaic-tiles","Product")</f>
        <v/>
      </c>
      <c r="B896" s="1" t="inlineStr">
        <is>
          <t>37467</t>
        </is>
      </c>
      <c r="C896" s="1" t="inlineStr">
        <is>
          <t>Tephra Dusted Moon Herringbone Mix Mosaic Tiles</t>
        </is>
      </c>
      <c r="D896" s="1" t="inlineStr">
        <is>
          <t>312x309x8mm</t>
        </is>
      </c>
      <c r="E896" s="1" t="n">
        <v>6.35</v>
      </c>
      <c r="F896" s="1" t="n">
        <v>0</v>
      </c>
      <c r="G896" s="1" t="inlineStr">
        <is>
          <t>Sheet</t>
        </is>
      </c>
      <c r="H896" s="1" t="inlineStr">
        <is>
          <t>Basalt, Glass</t>
        </is>
      </c>
      <c r="I896" s="1" t="inlineStr">
        <is>
          <t>Satin</t>
        </is>
      </c>
      <c r="J896" t="n">
        <v>70</v>
      </c>
      <c r="K896" t="n">
        <v>70</v>
      </c>
      <c r="L896" t="n">
        <v>70</v>
      </c>
    </row>
    <row r="897">
      <c r="A897" s="1">
        <f>Hyperlink("https://www.wallsandfloors.co.uk/suburban-stone-tiles-white-stone-matt-wall-tiles","Product")</f>
        <v/>
      </c>
      <c r="B897" s="1" t="inlineStr">
        <is>
          <t>14598</t>
        </is>
      </c>
      <c r="C897" s="1" t="inlineStr">
        <is>
          <t>White Stone Matt Wall Tiles</t>
        </is>
      </c>
      <c r="D897" s="1" t="inlineStr">
        <is>
          <t>360x275x9mm</t>
        </is>
      </c>
      <c r="E897" s="1" t="n">
        <v>23.95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Matt</t>
        </is>
      </c>
      <c r="J897" t="inlineStr">
        <is>
          <t>In Stock</t>
        </is>
      </c>
      <c r="K897" t="inlineStr">
        <is>
          <t>In Stock</t>
        </is>
      </c>
      <c r="L897" t="inlineStr">
        <is>
          <t>In Stock</t>
        </is>
      </c>
    </row>
    <row r="898">
      <c r="A898" s="1">
        <f>Hyperlink("https://www.wallsandfloors.co.uk/siberian-stone-effect-tiles-gris-tile","Product")</f>
        <v/>
      </c>
      <c r="B898" s="1" t="inlineStr">
        <is>
          <t>12297</t>
        </is>
      </c>
      <c r="C898" s="1" t="inlineStr">
        <is>
          <t>Gris Tile</t>
        </is>
      </c>
      <c r="D898" s="1" t="inlineStr">
        <is>
          <t>625x320x9mm</t>
        </is>
      </c>
      <c r="E898" s="1" t="n">
        <v>29.95</v>
      </c>
      <c r="F898" s="1" t="n">
        <v>0</v>
      </c>
      <c r="G898" s="1" t="inlineStr">
        <is>
          <t>SQM</t>
        </is>
      </c>
      <c r="H898" s="1" t="inlineStr">
        <is>
          <t>Porcelain</t>
        </is>
      </c>
      <c r="I898" s="1" t="inlineStr">
        <is>
          <t>Matt</t>
        </is>
      </c>
      <c r="J898" t="inlineStr">
        <is>
          <t>In Stock</t>
        </is>
      </c>
      <c r="K898" t="inlineStr"/>
      <c r="L898" t="n">
        <v>227</v>
      </c>
    </row>
    <row r="899">
      <c r="A899" s="1">
        <f>Hyperlink("https://www.wallsandfloors.co.uk/suburban-stone-tiles-soft-pebble-wall-tiles","Product")</f>
        <v/>
      </c>
      <c r="B899" s="1" t="inlineStr">
        <is>
          <t>14600</t>
        </is>
      </c>
      <c r="C899" s="1" t="inlineStr">
        <is>
          <t>Soft Pebble Wall Tiles</t>
        </is>
      </c>
      <c r="D899" s="1" t="inlineStr">
        <is>
          <t>360x275x9mm</t>
        </is>
      </c>
      <c r="E899" s="1" t="n">
        <v>23.95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Matt</t>
        </is>
      </c>
      <c r="J899" t="inlineStr">
        <is>
          <t>In Stock</t>
        </is>
      </c>
      <c r="K899" t="inlineStr">
        <is>
          <t>In Stock</t>
        </is>
      </c>
      <c r="L899" t="inlineStr">
        <is>
          <t>In Stock</t>
        </is>
      </c>
    </row>
    <row r="900">
      <c r="A900" s="1">
        <f>Hyperlink("https://www.wallsandfloors.co.uk/suburban-stone-tiles-grey-stone-wall-tiles","Product")</f>
        <v/>
      </c>
      <c r="B900" s="1" t="inlineStr">
        <is>
          <t>14604</t>
        </is>
      </c>
      <c r="C900" s="1" t="inlineStr">
        <is>
          <t>Grey Stone Wall Tiles</t>
        </is>
      </c>
      <c r="D900" s="1" t="inlineStr">
        <is>
          <t>360x275x9mm</t>
        </is>
      </c>
      <c r="E900" s="1" t="n">
        <v>29.95</v>
      </c>
      <c r="F900" s="1" t="n">
        <v>0</v>
      </c>
      <c r="G900" s="1" t="inlineStr"/>
      <c r="H900" s="1" t="inlineStr">
        <is>
          <t>Ceramic</t>
        </is>
      </c>
      <c r="I900" s="1" t="inlineStr">
        <is>
          <t>Matt</t>
        </is>
      </c>
      <c r="J900" t="inlineStr">
        <is>
          <t>In Stock</t>
        </is>
      </c>
      <c r="K900" t="inlineStr">
        <is>
          <t>In Stock</t>
        </is>
      </c>
      <c r="L900" t="inlineStr">
        <is>
          <t>In Stock</t>
        </is>
      </c>
    </row>
    <row r="901">
      <c r="A901" s="1">
        <f>Hyperlink("https://www.wallsandfloors.co.uk/stone-age-mosaico-chalky-tiles-58874","Product")</f>
        <v/>
      </c>
      <c r="B901" s="1" t="inlineStr">
        <is>
          <t>42088</t>
        </is>
      </c>
      <c r="C901" s="1" t="inlineStr">
        <is>
          <t>Stone Age Mosaico Chalky Tiles</t>
        </is>
      </c>
      <c r="D901" s="1" t="inlineStr">
        <is>
          <t>400x250x8.3mm</t>
        </is>
      </c>
      <c r="E901" s="1" t="n">
        <v>13.95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Matt</t>
        </is>
      </c>
      <c r="J901" t="inlineStr">
        <is>
          <t>In Stock</t>
        </is>
      </c>
      <c r="K901" t="inlineStr">
        <is>
          <t>In Stock</t>
        </is>
      </c>
      <c r="L901" t="inlineStr">
        <is>
          <t>In Stock</t>
        </is>
      </c>
    </row>
    <row r="902">
      <c r="A902" s="1">
        <f>Hyperlink("https://www.wallsandfloors.co.uk/stesso-pepper-stone-mosaic-tiles","Product")</f>
        <v/>
      </c>
      <c r="B902" s="1" t="inlineStr">
        <is>
          <t>37256</t>
        </is>
      </c>
      <c r="C902" s="1" t="inlineStr">
        <is>
          <t>Stesso Pepper Stone Mosaic Tiles</t>
        </is>
      </c>
      <c r="D902" s="1" t="inlineStr">
        <is>
          <t>262x298x6mm</t>
        </is>
      </c>
      <c r="E902" s="1" t="n">
        <v>6.45</v>
      </c>
      <c r="F902" s="1" t="n">
        <v>0</v>
      </c>
      <c r="G902" s="1" t="inlineStr">
        <is>
          <t>Sheet</t>
        </is>
      </c>
      <c r="H902" s="1" t="inlineStr">
        <is>
          <t>Glass</t>
        </is>
      </c>
      <c r="I902" s="1" t="inlineStr">
        <is>
          <t>Matt</t>
        </is>
      </c>
      <c r="J902" t="inlineStr"/>
      <c r="K902" t="n">
        <v>120</v>
      </c>
      <c r="L902" t="n">
        <v>120</v>
      </c>
    </row>
    <row r="903">
      <c r="A903" s="1">
        <f>Hyperlink("https://www.wallsandfloors.co.uk/starline-riven-finish-tiles-light-grey-tiles","Product")</f>
        <v/>
      </c>
      <c r="B903" s="1" t="inlineStr">
        <is>
          <t>11050</t>
        </is>
      </c>
      <c r="C903" s="1" t="inlineStr">
        <is>
          <t>Starline Light Grey Anti Slip Floor Tiles</t>
        </is>
      </c>
      <c r="D903" s="1" t="inlineStr">
        <is>
          <t>300x300x6mm</t>
        </is>
      </c>
      <c r="E903" s="1" t="n">
        <v>15.95</v>
      </c>
      <c r="F903" s="1" t="n">
        <v>0</v>
      </c>
      <c r="G903" s="1" t="inlineStr">
        <is>
          <t>SQM</t>
        </is>
      </c>
      <c r="H903" s="1" t="inlineStr">
        <is>
          <t>Porcelain</t>
        </is>
      </c>
      <c r="I903" s="1" t="inlineStr">
        <is>
          <t>Matt</t>
        </is>
      </c>
      <c r="J903" t="n">
        <v>80</v>
      </c>
      <c r="K903" t="n">
        <v>80</v>
      </c>
      <c r="L903" t="n">
        <v>80</v>
      </c>
    </row>
    <row r="904">
      <c r="A904" s="1">
        <f>Hyperlink("https://www.wallsandfloors.co.uk/starline-riven-finish-tiles-dark-grey-tiles","Product")</f>
        <v/>
      </c>
      <c r="B904" s="1" t="inlineStr">
        <is>
          <t>11051</t>
        </is>
      </c>
      <c r="C904" s="1" t="inlineStr">
        <is>
          <t>Dark Grey Tiles</t>
        </is>
      </c>
      <c r="D904" s="1" t="inlineStr">
        <is>
          <t>300x300x6mm</t>
        </is>
      </c>
      <c r="E904" s="1" t="n">
        <v>15.95</v>
      </c>
      <c r="F904" s="1" t="n">
        <v>0</v>
      </c>
      <c r="G904" s="1" t="inlineStr">
        <is>
          <t>SQM</t>
        </is>
      </c>
      <c r="H904" s="1" t="inlineStr">
        <is>
          <t>Porcelain</t>
        </is>
      </c>
      <c r="I904" s="1" t="inlineStr">
        <is>
          <t>Matt</t>
        </is>
      </c>
      <c r="J904" t="n">
        <v>248</v>
      </c>
      <c r="K904" t="n">
        <v>248</v>
      </c>
      <c r="L904" t="n">
        <v>248</v>
      </c>
    </row>
    <row r="905">
      <c r="A905" s="1">
        <f>Hyperlink("https://www.wallsandfloors.co.uk/starline-riven-finish-tiles-anthracite-tiles","Product")</f>
        <v/>
      </c>
      <c r="B905" s="1" t="inlineStr">
        <is>
          <t>11048</t>
        </is>
      </c>
      <c r="C905" s="1" t="inlineStr">
        <is>
          <t>Anthracite Tiles</t>
        </is>
      </c>
      <c r="D905" s="1" t="inlineStr">
        <is>
          <t>300x300x6mm</t>
        </is>
      </c>
      <c r="E905" s="1" t="n">
        <v>15.95</v>
      </c>
      <c r="F905" s="1" t="n">
        <v>0</v>
      </c>
      <c r="G905" s="1" t="inlineStr">
        <is>
          <t>SQM</t>
        </is>
      </c>
      <c r="H905" s="1" t="inlineStr">
        <is>
          <t>Porcelain</t>
        </is>
      </c>
      <c r="I905" s="1" t="inlineStr">
        <is>
          <t>Matt</t>
        </is>
      </c>
      <c r="J905" t="inlineStr"/>
      <c r="K905" t="n">
        <v>158</v>
      </c>
      <c r="L905" t="n">
        <v>158</v>
      </c>
    </row>
    <row r="906">
      <c r="A906" s="1">
        <f>Hyperlink("https://www.wallsandfloors.co.uk/starline-natural-finish-tiles-dark-grey-tiles","Product")</f>
        <v/>
      </c>
      <c r="B906" s="1" t="inlineStr">
        <is>
          <t>11046</t>
        </is>
      </c>
      <c r="C906" s="1" t="inlineStr">
        <is>
          <t>Starline Natural Finish Dark Grey Tiles</t>
        </is>
      </c>
      <c r="D906" s="1" t="inlineStr">
        <is>
          <t>300x300x6mm</t>
        </is>
      </c>
      <c r="E906" s="1" t="n">
        <v>13.95</v>
      </c>
      <c r="F906" s="1" t="n">
        <v>0</v>
      </c>
      <c r="G906" s="1" t="inlineStr">
        <is>
          <t>SQM</t>
        </is>
      </c>
      <c r="H906" s="1" t="inlineStr">
        <is>
          <t>Porcelain</t>
        </is>
      </c>
      <c r="I906" s="1" t="inlineStr">
        <is>
          <t>Matt</t>
        </is>
      </c>
      <c r="J906" t="n">
        <v>330</v>
      </c>
      <c r="K906" t="n">
        <v>330</v>
      </c>
      <c r="L906" t="n">
        <v>330</v>
      </c>
    </row>
    <row r="907">
      <c r="A907" s="1">
        <f>Hyperlink("https://www.wallsandfloors.co.uk/starline-natural-finish-tiles-anthracite-tiles","Product")</f>
        <v/>
      </c>
      <c r="B907" s="1" t="inlineStr">
        <is>
          <t>11044</t>
        </is>
      </c>
      <c r="C907" s="1" t="inlineStr">
        <is>
          <t>Starline Anthracite Tiles</t>
        </is>
      </c>
      <c r="D907" s="1" t="inlineStr">
        <is>
          <t>300x300x6mm</t>
        </is>
      </c>
      <c r="E907" s="1" t="n">
        <v>13.95</v>
      </c>
      <c r="F907" s="1" t="n">
        <v>0</v>
      </c>
      <c r="G907" s="1" t="inlineStr">
        <is>
          <t>SQM</t>
        </is>
      </c>
      <c r="H907" s="1" t="inlineStr">
        <is>
          <t>Porcelain</t>
        </is>
      </c>
      <c r="I907" s="1" t="inlineStr">
        <is>
          <t>Matt</t>
        </is>
      </c>
      <c r="J907" t="n">
        <v>84</v>
      </c>
      <c r="K907" t="inlineStr"/>
      <c r="L907" t="n">
        <v>84</v>
      </c>
    </row>
    <row r="908">
      <c r="A908" s="1">
        <f>Hyperlink("https://www.wallsandfloors.co.uk/stainless-steel-square-edge-trims-stainless-steel-08mm","Product")</f>
        <v/>
      </c>
      <c r="B908" s="1" t="inlineStr">
        <is>
          <t>9548</t>
        </is>
      </c>
      <c r="C908" s="1" t="inlineStr">
        <is>
          <t>Square Edge 08mm Stainless Steel Tile Trim</t>
        </is>
      </c>
      <c r="D908" s="1" t="inlineStr">
        <is>
          <t>2.5m Length x 8mm Depth</t>
        </is>
      </c>
      <c r="E908" s="1" t="n">
        <v>16.95</v>
      </c>
      <c r="F908" s="1" t="n">
        <v>0</v>
      </c>
      <c r="G908" s="1" t="inlineStr">
        <is>
          <t>Unit</t>
        </is>
      </c>
      <c r="H908" s="1" t="inlineStr">
        <is>
          <t>Metal</t>
        </is>
      </c>
      <c r="I908" s="1" t="inlineStr">
        <is>
          <t>-</t>
        </is>
      </c>
      <c r="J908" t="inlineStr"/>
      <c r="K908" t="inlineStr">
        <is>
          <t>In Stock</t>
        </is>
      </c>
      <c r="L908" t="inlineStr">
        <is>
          <t>In Stock</t>
        </is>
      </c>
    </row>
    <row r="909">
      <c r="A909" s="1">
        <f>Hyperlink("https://www.wallsandfloors.co.uk/stainless-steel-mosaic-tiles-norton-brushed-mosaic-tiles","Product")</f>
        <v/>
      </c>
      <c r="B909" s="1" t="inlineStr">
        <is>
          <t>3926</t>
        </is>
      </c>
      <c r="C909" s="1" t="inlineStr">
        <is>
          <t>Stainless Steel Norton Brushed Mosaic Tiles</t>
        </is>
      </c>
      <c r="D909" s="1" t="inlineStr">
        <is>
          <t>305x305x8mm</t>
        </is>
      </c>
      <c r="E909" s="1" t="n">
        <v>7.75</v>
      </c>
      <c r="F909" s="1" t="n">
        <v>0</v>
      </c>
      <c r="G909" s="1" t="inlineStr">
        <is>
          <t>Sheet</t>
        </is>
      </c>
      <c r="H909" s="1" t="inlineStr">
        <is>
          <t>Metal</t>
        </is>
      </c>
      <c r="I909" s="1" t="inlineStr">
        <is>
          <t>Matt</t>
        </is>
      </c>
      <c r="J909" t="inlineStr"/>
      <c r="K909" t="inlineStr"/>
      <c r="L909" t="n">
        <v>56</v>
      </c>
    </row>
    <row r="910">
      <c r="A910" s="1">
        <f>Hyperlink("https://www.wallsandfloors.co.uk/sponge-float-pro-plus-plastic-handle","Product")</f>
        <v/>
      </c>
      <c r="B910" s="1" t="inlineStr">
        <is>
          <t>40393</t>
        </is>
      </c>
      <c r="C910" s="1" t="inlineStr">
        <is>
          <t>Sponge PRO PLUS Float with Plastic Handle</t>
        </is>
      </c>
      <c r="D910" s="1" t="n">
        <v>1</v>
      </c>
      <c r="E910" s="1" t="n">
        <v>7.84</v>
      </c>
      <c r="F910" s="1" t="n">
        <v>0</v>
      </c>
      <c r="G910" s="1" t="inlineStr">
        <is>
          <t>Unit</t>
        </is>
      </c>
      <c r="H910" s="1" t="inlineStr">
        <is>
          <t>Accessories</t>
        </is>
      </c>
      <c r="I910" s="1" t="inlineStr">
        <is>
          <t>-</t>
        </is>
      </c>
      <c r="J910" t="inlineStr">
        <is>
          <t>In Stock</t>
        </is>
      </c>
      <c r="K910" t="inlineStr"/>
      <c r="L910" t="inlineStr">
        <is>
          <t>In Stock</t>
        </is>
      </c>
    </row>
    <row r="911">
      <c r="A911" s="1">
        <f>Hyperlink("https://www.wallsandfloors.co.uk/stone-age-tiles-chalky-stone-45x45-floor-tiles","Product")</f>
        <v/>
      </c>
      <c r="B911" s="1" t="inlineStr">
        <is>
          <t>14310</t>
        </is>
      </c>
      <c r="C911" s="1" t="inlineStr">
        <is>
          <t>Stone Age Chalky Floor Tiles</t>
        </is>
      </c>
      <c r="D911" s="1" t="inlineStr">
        <is>
          <t>450x450x7mm</t>
        </is>
      </c>
      <c r="E911" s="1" t="n">
        <v>14.95</v>
      </c>
      <c r="F911" s="1" t="n">
        <v>0</v>
      </c>
      <c r="G911" s="1" t="inlineStr">
        <is>
          <t>SQM</t>
        </is>
      </c>
      <c r="H911" s="1" t="inlineStr">
        <is>
          <t>Ceramic</t>
        </is>
      </c>
      <c r="I911" s="1" t="inlineStr">
        <is>
          <t>Matt</t>
        </is>
      </c>
      <c r="J911" t="n">
        <v>52</v>
      </c>
      <c r="K911" t="n">
        <v>52</v>
      </c>
      <c r="L911" t="n">
        <v>52</v>
      </c>
    </row>
    <row r="912">
      <c r="A912" s="1">
        <f>Hyperlink("https://www.wallsandfloors.co.uk/spellbound-tiles-matt-white-200x100-tiles","Product")</f>
        <v/>
      </c>
      <c r="B912" s="1" t="inlineStr">
        <is>
          <t>14917</t>
        </is>
      </c>
      <c r="C912" s="1" t="inlineStr">
        <is>
          <t>Spellbound Matt White Tiles</t>
        </is>
      </c>
      <c r="D912" s="1" t="inlineStr">
        <is>
          <t>197x97x6mm</t>
        </is>
      </c>
      <c r="E912" s="1" t="n">
        <v>25.95</v>
      </c>
      <c r="F912" s="1" t="n">
        <v>0</v>
      </c>
      <c r="G912" s="1" t="inlineStr">
        <is>
          <t>SQM</t>
        </is>
      </c>
      <c r="H912" s="1" t="inlineStr">
        <is>
          <t>Ceramic</t>
        </is>
      </c>
      <c r="I912" s="1" t="inlineStr">
        <is>
          <t>Matt</t>
        </is>
      </c>
      <c r="J912" t="inlineStr"/>
      <c r="K912" t="n">
        <v>52</v>
      </c>
      <c r="L912" t="n">
        <v>52</v>
      </c>
    </row>
    <row r="913">
      <c r="A913" s="1">
        <f>Hyperlink("https://www.wallsandfloors.co.uk/spellbound-tiles-matt-black-100x100-tiles","Product")</f>
        <v/>
      </c>
      <c r="B913" s="1" t="inlineStr">
        <is>
          <t>14913</t>
        </is>
      </c>
      <c r="C913" s="1" t="inlineStr">
        <is>
          <t>Spellbound Matt Black Tiles</t>
        </is>
      </c>
      <c r="D913" s="1" t="inlineStr">
        <is>
          <t>97x97x6mm</t>
        </is>
      </c>
      <c r="E913" s="1" t="n">
        <v>25.95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Matt</t>
        </is>
      </c>
      <c r="J913" t="inlineStr">
        <is>
          <t>In Stock</t>
        </is>
      </c>
      <c r="K913" t="inlineStr">
        <is>
          <t>In Stock</t>
        </is>
      </c>
      <c r="L913" t="inlineStr">
        <is>
          <t>In Stock</t>
        </is>
      </c>
    </row>
    <row r="914">
      <c r="A914" s="1">
        <f>Hyperlink("https://www.wallsandfloors.co.uk/speed-62-magnet-with-case","Product")</f>
        <v/>
      </c>
      <c r="B914" s="1" t="inlineStr">
        <is>
          <t>40385</t>
        </is>
      </c>
      <c r="C914" s="1" t="inlineStr">
        <is>
          <t>SPEED-62 Magnet Manual Tile Cutter With Case</t>
        </is>
      </c>
      <c r="D914" s="1" t="n">
        <v>1</v>
      </c>
      <c r="E914" s="1" t="n">
        <v>256.85</v>
      </c>
      <c r="F914" s="1" t="n">
        <v>0</v>
      </c>
      <c r="G914" s="1" t="inlineStr">
        <is>
          <t>Unit</t>
        </is>
      </c>
      <c r="H914" s="1" t="inlineStr">
        <is>
          <t>Accessories</t>
        </is>
      </c>
      <c r="I914" s="1" t="inlineStr">
        <is>
          <t>-</t>
        </is>
      </c>
      <c r="J914" t="inlineStr">
        <is>
          <t>In Stock</t>
        </is>
      </c>
      <c r="K914" t="inlineStr">
        <is>
          <t>In Stock</t>
        </is>
      </c>
      <c r="L914" t="inlineStr">
        <is>
          <t>In Stock</t>
        </is>
      </c>
    </row>
    <row r="915">
      <c r="A915" s="1">
        <f>Hyperlink("https://www.wallsandfloors.co.uk/solemnity-stone-effect-tiles-feathered-charcoal-tiles","Product")</f>
        <v/>
      </c>
      <c r="B915" s="1" t="inlineStr">
        <is>
          <t>14868</t>
        </is>
      </c>
      <c r="C915" s="1" t="inlineStr">
        <is>
          <t>Solemnity Feathered Charcoal Tiles</t>
        </is>
      </c>
      <c r="D915" s="1" t="inlineStr">
        <is>
          <t>600x300x9mm</t>
        </is>
      </c>
      <c r="E915" s="1" t="n">
        <v>17.96</v>
      </c>
      <c r="F915" s="1" t="n">
        <v>0</v>
      </c>
      <c r="G915" s="1" t="inlineStr">
        <is>
          <t>SQM</t>
        </is>
      </c>
      <c r="H915" s="1" t="inlineStr">
        <is>
          <t>Porcelain</t>
        </is>
      </c>
      <c r="I915" s="1" t="inlineStr">
        <is>
          <t>Matt</t>
        </is>
      </c>
      <c r="J915" t="n">
        <v>82</v>
      </c>
      <c r="K915" t="n">
        <v>82</v>
      </c>
      <c r="L915" t="n">
        <v>82</v>
      </c>
    </row>
    <row r="916">
      <c r="A916" s="1">
        <f>Hyperlink("https://www.wallsandfloors.co.uk/solemnity-stone-effect-tiles-dusted-pebble-tiles","Product")</f>
        <v/>
      </c>
      <c r="B916" s="1" t="inlineStr">
        <is>
          <t>14870</t>
        </is>
      </c>
      <c r="C916" s="1" t="inlineStr">
        <is>
          <t>Dusted Pebble Tiles</t>
        </is>
      </c>
      <c r="D916" s="1" t="inlineStr">
        <is>
          <t>600x300x9mm</t>
        </is>
      </c>
      <c r="E916" s="1" t="n">
        <v>17.95</v>
      </c>
      <c r="F916" s="1" t="n">
        <v>0</v>
      </c>
      <c r="G916" s="1" t="inlineStr">
        <is>
          <t>SQM</t>
        </is>
      </c>
      <c r="H916" s="1" t="inlineStr">
        <is>
          <t>Porcelain</t>
        </is>
      </c>
      <c r="I916" s="1" t="inlineStr">
        <is>
          <t>Matt</t>
        </is>
      </c>
      <c r="J916" t="inlineStr">
        <is>
          <t>Out of Stock</t>
        </is>
      </c>
      <c r="K916" t="inlineStr">
        <is>
          <t>Out of Stock</t>
        </is>
      </c>
      <c r="L916" t="inlineStr">
        <is>
          <t>Out of Stock</t>
        </is>
      </c>
    </row>
    <row r="917">
      <c r="A917" s="1">
        <f>Hyperlink("https://www.wallsandfloors.co.uk/soft-taupe-tiles","Product")</f>
        <v/>
      </c>
      <c r="B917" s="1" t="inlineStr">
        <is>
          <t>38985</t>
        </is>
      </c>
      <c r="C917" s="1" t="inlineStr">
        <is>
          <t>Nyans Soft Taupe Wood Effect Tiles</t>
        </is>
      </c>
      <c r="D917" s="1" t="inlineStr">
        <is>
          <t>593x98x9.5mm</t>
        </is>
      </c>
      <c r="E917" s="1" t="n">
        <v>40.95</v>
      </c>
      <c r="F917" s="1" t="n">
        <v>0</v>
      </c>
      <c r="G917" s="1" t="inlineStr">
        <is>
          <t>SQM</t>
        </is>
      </c>
      <c r="H917" s="1" t="inlineStr">
        <is>
          <t>Porcelain</t>
        </is>
      </c>
      <c r="I917" s="1" t="inlineStr">
        <is>
          <t>Matt</t>
        </is>
      </c>
      <c r="J917" t="n">
        <v>285</v>
      </c>
      <c r="K917" t="n">
        <v>285</v>
      </c>
      <c r="L917" t="n">
        <v>285</v>
      </c>
    </row>
    <row r="918">
      <c r="A918" s="1">
        <f>Hyperlink("https://www.wallsandfloors.co.uk/sobremsa-wood-plank-tiles-silver-birch-wood-effect-tiles","Product")</f>
        <v/>
      </c>
      <c r="B918" s="1" t="inlineStr">
        <is>
          <t>35050</t>
        </is>
      </c>
      <c r="C918" s="1" t="inlineStr">
        <is>
          <t>Sobremsa Silver Birch Wood Effect Tiles</t>
        </is>
      </c>
      <c r="D918" s="1" t="inlineStr">
        <is>
          <t>1200x233x9mm</t>
        </is>
      </c>
      <c r="E918" s="1" t="n">
        <v>27.95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Matt</t>
        </is>
      </c>
      <c r="J918" t="n">
        <v>253</v>
      </c>
      <c r="K918" t="n">
        <v>253</v>
      </c>
      <c r="L918" t="n">
        <v>253</v>
      </c>
    </row>
    <row r="919">
      <c r="A919" s="1">
        <f>Hyperlink("https://www.wallsandfloors.co.uk/sobremsa-wood-plank-tiles-seasoned-cherry-wood-effect-tiles","Product")</f>
        <v/>
      </c>
      <c r="B919" s="1" t="inlineStr">
        <is>
          <t>35051</t>
        </is>
      </c>
      <c r="C919" s="1" t="inlineStr">
        <is>
          <t>Sobremsa Seasoned Cherry Wood Effect Tile</t>
        </is>
      </c>
      <c r="D919" s="1" t="inlineStr">
        <is>
          <t>1200x233x9mm</t>
        </is>
      </c>
      <c r="E919" s="1" t="n">
        <v>27.95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Matt</t>
        </is>
      </c>
      <c r="J919" t="n">
        <v>109</v>
      </c>
      <c r="K919" t="n">
        <v>109</v>
      </c>
      <c r="L919" t="n">
        <v>109</v>
      </c>
    </row>
    <row r="920">
      <c r="A920" s="1">
        <f>Hyperlink("https://www.wallsandfloors.co.uk/sobremsa-wood-plank-tiles-rustic-walnut-wood-effect-tiles","Product")</f>
        <v/>
      </c>
      <c r="B920" s="1" t="inlineStr">
        <is>
          <t>35053</t>
        </is>
      </c>
      <c r="C920" s="1" t="inlineStr">
        <is>
          <t>Sobremsa Rustic Walnut Wood Effect Tiles</t>
        </is>
      </c>
      <c r="D920" s="1" t="inlineStr">
        <is>
          <t>1200x233x9mm</t>
        </is>
      </c>
      <c r="E920" s="1" t="n">
        <v>27.95</v>
      </c>
      <c r="F920" s="1" t="n">
        <v>0</v>
      </c>
      <c r="G920" s="1" t="inlineStr">
        <is>
          <t>SQM</t>
        </is>
      </c>
      <c r="H920" s="1" t="inlineStr">
        <is>
          <t>Porcelain</t>
        </is>
      </c>
      <c r="I920" s="1" t="inlineStr">
        <is>
          <t>Matt</t>
        </is>
      </c>
      <c r="J920" t="n">
        <v>88</v>
      </c>
      <c r="K920" t="n">
        <v>88</v>
      </c>
      <c r="L920" t="n">
        <v>88</v>
      </c>
    </row>
    <row r="921">
      <c r="A921" s="1">
        <f>Hyperlink("https://www.wallsandfloors.co.uk/sobremsa-wood-plank-tiles-aged-grey-oak-wood-effect-tiles","Product")</f>
        <v/>
      </c>
      <c r="B921" s="1" t="inlineStr">
        <is>
          <t>35052</t>
        </is>
      </c>
      <c r="C921" s="1" t="inlineStr">
        <is>
          <t>Sobremsa Aged Grey Oak Wood Effect Tiles</t>
        </is>
      </c>
      <c r="D921" s="1" t="inlineStr">
        <is>
          <t>1200x233x9mm</t>
        </is>
      </c>
      <c r="E921" s="1" t="n">
        <v>27.95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Matt</t>
        </is>
      </c>
      <c r="J921" t="inlineStr">
        <is>
          <t>In Stock</t>
        </is>
      </c>
      <c r="K921" t="inlineStr">
        <is>
          <t>In Stock</t>
        </is>
      </c>
      <c r="L921" t="inlineStr">
        <is>
          <t>In Stock</t>
        </is>
      </c>
    </row>
    <row r="922">
      <c r="A922" s="1">
        <f>Hyperlink("https://www.wallsandfloors.co.uk/smooth-rubinet-sponge","Product")</f>
        <v/>
      </c>
      <c r="B922" s="1" t="inlineStr">
        <is>
          <t>27493</t>
        </is>
      </c>
      <c r="C922" s="1" t="inlineStr">
        <is>
          <t>Rubi Superpro Sponge</t>
        </is>
      </c>
      <c r="D922" s="1" t="inlineStr">
        <is>
          <t>200x130x70mm</t>
        </is>
      </c>
      <c r="E922" s="1" t="n">
        <v>2.25</v>
      </c>
      <c r="F922" s="1" t="n">
        <v>0</v>
      </c>
      <c r="G922" s="1" t="inlineStr">
        <is>
          <t>Unit</t>
        </is>
      </c>
      <c r="H922" s="1" t="inlineStr">
        <is>
          <t>Cleaning and Maintenance</t>
        </is>
      </c>
      <c r="I922" s="1" t="inlineStr">
        <is>
          <t>-</t>
        </is>
      </c>
      <c r="J922" t="inlineStr">
        <is>
          <t>In Stock</t>
        </is>
      </c>
      <c r="K922" t="inlineStr">
        <is>
          <t>In Stock</t>
        </is>
      </c>
      <c r="L922" t="inlineStr">
        <is>
          <t>In Stock</t>
        </is>
      </c>
    </row>
    <row r="923">
      <c r="A923" s="1">
        <f>Hyperlink("https://www.wallsandfloors.co.uk/spellbound-tiles-matt-black-200x100-tiles","Product")</f>
        <v/>
      </c>
      <c r="B923" s="1" t="inlineStr">
        <is>
          <t>14914</t>
        </is>
      </c>
      <c r="C923" s="1" t="inlineStr">
        <is>
          <t>Spellbound Matt Black Brick Tiles</t>
        </is>
      </c>
      <c r="D923" s="1" t="inlineStr">
        <is>
          <t>197x97x6mm</t>
        </is>
      </c>
      <c r="E923" s="1" t="n">
        <v>25.95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Matt</t>
        </is>
      </c>
      <c r="J923" t="inlineStr"/>
      <c r="K923" t="n">
        <v>66</v>
      </c>
      <c r="L923" t="n">
        <v>66</v>
      </c>
    </row>
    <row r="924">
      <c r="A924" s="1">
        <f>Hyperlink("https://www.wallsandfloors.co.uk/stone-age-tiles-frozen-stone-40x25-wall-tiles","Product")</f>
        <v/>
      </c>
      <c r="B924" s="1" t="inlineStr">
        <is>
          <t>14304</t>
        </is>
      </c>
      <c r="C924" s="1" t="inlineStr">
        <is>
          <t>Stone Age Frozen Wall Tiles</t>
        </is>
      </c>
      <c r="D924" s="1" t="inlineStr">
        <is>
          <t>400x250x8.3mm</t>
        </is>
      </c>
      <c r="E924" s="1" t="n">
        <v>13.95</v>
      </c>
      <c r="F924" s="1" t="n">
        <v>0</v>
      </c>
      <c r="G924" s="1" t="inlineStr">
        <is>
          <t>SQM</t>
        </is>
      </c>
      <c r="H924" s="1" t="inlineStr">
        <is>
          <t>Ceramic</t>
        </is>
      </c>
      <c r="I924" s="1" t="inlineStr">
        <is>
          <t>Matt</t>
        </is>
      </c>
      <c r="J924" t="inlineStr"/>
      <c r="K924" t="inlineStr">
        <is>
          <t>In Stock</t>
        </is>
      </c>
      <c r="L924" t="inlineStr">
        <is>
          <t>In Stock</t>
        </is>
      </c>
    </row>
    <row r="925">
      <c r="A925" s="1">
        <f>Hyperlink("https://www.wallsandfloors.co.uk/stone-age-tiles-frozen-stone-45x45-floor-tiles","Product")</f>
        <v/>
      </c>
      <c r="B925" s="1" t="inlineStr">
        <is>
          <t>14308</t>
        </is>
      </c>
      <c r="C925" s="1" t="inlineStr">
        <is>
          <t>Stone Age Frozen Floor Tiles</t>
        </is>
      </c>
      <c r="D925" s="1" t="inlineStr">
        <is>
          <t>450x450x7mm</t>
        </is>
      </c>
      <c r="E925" s="1" t="n">
        <v>14.95</v>
      </c>
      <c r="F925" s="1" t="n">
        <v>0</v>
      </c>
      <c r="G925" s="1" t="inlineStr">
        <is>
          <t>SQM</t>
        </is>
      </c>
      <c r="H925" s="1" t="inlineStr">
        <is>
          <t>Ceramic</t>
        </is>
      </c>
      <c r="I925" s="1" t="inlineStr">
        <is>
          <t>Matt</t>
        </is>
      </c>
      <c r="J925" t="inlineStr">
        <is>
          <t>In Stock</t>
        </is>
      </c>
      <c r="K925" t="inlineStr">
        <is>
          <t>In Stock</t>
        </is>
      </c>
      <c r="L925" t="inlineStr">
        <is>
          <t>In Stock</t>
        </is>
      </c>
    </row>
    <row r="926">
      <c r="A926" s="1">
        <f>Hyperlink("https://www.wallsandfloors.co.uk/stone-age-tiles-natural-stone-45x45-floor-tiles","Product")</f>
        <v/>
      </c>
      <c r="B926" s="1" t="inlineStr">
        <is>
          <t>14309</t>
        </is>
      </c>
      <c r="C926" s="1" t="inlineStr">
        <is>
          <t>Stone Age Natural Floor Tiles</t>
        </is>
      </c>
      <c r="D926" s="1" t="inlineStr">
        <is>
          <t>450x450x7mm</t>
        </is>
      </c>
      <c r="E926" s="1" t="n">
        <v>14.95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inlineStr">
        <is>
          <t>In Stock</t>
        </is>
      </c>
      <c r="K926" t="inlineStr">
        <is>
          <t>In Stock</t>
        </is>
      </c>
      <c r="L926" t="inlineStr">
        <is>
          <t>In Stock</t>
        </is>
      </c>
    </row>
    <row r="927">
      <c r="A927" s="1">
        <f>Hyperlink("https://www.wallsandfloors.co.uk/suburban-stone-tiles-grey-decor-360x275-wall-tiles","Product")</f>
        <v/>
      </c>
      <c r="B927" s="1" t="inlineStr">
        <is>
          <t>14601</t>
        </is>
      </c>
      <c r="C927" s="1" t="inlineStr">
        <is>
          <t>Grey Decor 360x275 Wall Tiles</t>
        </is>
      </c>
      <c r="D927" s="1" t="inlineStr">
        <is>
          <t>360x275x9mm</t>
        </is>
      </c>
      <c r="E927" s="1" t="n">
        <v>29.95</v>
      </c>
      <c r="F927" s="1" t="n">
        <v>0</v>
      </c>
      <c r="G927" s="1" t="inlineStr">
        <is>
          <t>SQM</t>
        </is>
      </c>
      <c r="H927" s="1" t="inlineStr">
        <is>
          <t>Ceramic</t>
        </is>
      </c>
      <c r="I927" s="1" t="inlineStr">
        <is>
          <t>Matt</t>
        </is>
      </c>
      <c r="J927" t="inlineStr">
        <is>
          <t>In Stock</t>
        </is>
      </c>
      <c r="K927" t="inlineStr">
        <is>
          <t>In Stock</t>
        </is>
      </c>
      <c r="L927" t="inlineStr">
        <is>
          <t>In Stock</t>
        </is>
      </c>
    </row>
    <row r="928">
      <c r="A928" s="1">
        <f>Hyperlink("https://www.wallsandfloors.co.uk/suburban-stone-tiles-beige-decor-wall-tiles","Product")</f>
        <v/>
      </c>
      <c r="B928" s="1" t="inlineStr">
        <is>
          <t>14599</t>
        </is>
      </c>
      <c r="C928" s="1" t="inlineStr">
        <is>
          <t>Beige Decor Wall Tiles</t>
        </is>
      </c>
      <c r="D928" s="1" t="inlineStr">
        <is>
          <t>360x275x9mm</t>
        </is>
      </c>
      <c r="E928" s="1" t="n">
        <v>29.95</v>
      </c>
      <c r="F928" s="1" t="n">
        <v>0</v>
      </c>
      <c r="G928" s="1" t="inlineStr">
        <is>
          <t>SQM</t>
        </is>
      </c>
      <c r="H928" s="1" t="inlineStr">
        <is>
          <t>Ceramic</t>
        </is>
      </c>
      <c r="I928" s="1" t="inlineStr">
        <is>
          <t>Matt</t>
        </is>
      </c>
      <c r="J928" t="inlineStr">
        <is>
          <t>In Stock</t>
        </is>
      </c>
      <c r="K928" t="inlineStr">
        <is>
          <t>In Stock</t>
        </is>
      </c>
      <c r="L928" t="inlineStr">
        <is>
          <t>In Stock</t>
        </is>
      </c>
    </row>
    <row r="929">
      <c r="A929" s="1">
        <f>Hyperlink("https://www.wallsandfloors.co.uk/stucco-umber-lattice-tiles","Product")</f>
        <v/>
      </c>
      <c r="B929" s="1" t="inlineStr">
        <is>
          <t>39059</t>
        </is>
      </c>
      <c r="C929" s="1" t="inlineStr">
        <is>
          <t>Stucco Umber Lattice Tiles</t>
        </is>
      </c>
      <c r="D929" s="1" t="inlineStr">
        <is>
          <t>500x200x10.5mm</t>
        </is>
      </c>
      <c r="E929" s="1" t="n">
        <v>9.949999999999999</v>
      </c>
      <c r="F929" s="1" t="n">
        <v>0</v>
      </c>
      <c r="G929" s="1" t="inlineStr">
        <is>
          <t>SQM</t>
        </is>
      </c>
      <c r="H929" s="1" t="inlineStr">
        <is>
          <t>Ceramic</t>
        </is>
      </c>
      <c r="I929" s="1" t="inlineStr">
        <is>
          <t>Matt</t>
        </is>
      </c>
      <c r="J929" t="inlineStr">
        <is>
          <t>In Stock</t>
        </is>
      </c>
      <c r="K929" t="inlineStr">
        <is>
          <t>In Stock</t>
        </is>
      </c>
      <c r="L929" t="inlineStr">
        <is>
          <t>In Stock</t>
        </is>
      </c>
    </row>
    <row r="930">
      <c r="A930" s="1">
        <f>Hyperlink("https://www.wallsandfloors.co.uk/stucco-umber-45x45-tiles","Product")</f>
        <v/>
      </c>
      <c r="B930" s="1" t="inlineStr">
        <is>
          <t>39135</t>
        </is>
      </c>
      <c r="C930" s="1" t="inlineStr">
        <is>
          <t>Stucco Umber Tiles</t>
        </is>
      </c>
      <c r="D930" s="1" t="inlineStr">
        <is>
          <t>450x450x8.5mm</t>
        </is>
      </c>
      <c r="E930" s="1" t="n">
        <v>10.95</v>
      </c>
      <c r="F930" s="1" t="n">
        <v>0</v>
      </c>
      <c r="G930" s="1" t="inlineStr">
        <is>
          <t>SQM</t>
        </is>
      </c>
      <c r="H930" s="1" t="inlineStr">
        <is>
          <t>Ceramic</t>
        </is>
      </c>
      <c r="I930" s="1" t="inlineStr">
        <is>
          <t>Matt</t>
        </is>
      </c>
      <c r="J930" t="n">
        <v>660</v>
      </c>
      <c r="K930" t="n">
        <v>660</v>
      </c>
      <c r="L930" t="n">
        <v>660</v>
      </c>
    </row>
    <row r="931">
      <c r="A931" s="1">
        <f>Hyperlink("https://www.wallsandfloors.co.uk/stucco-chickpea-plaster-tiles","Product")</f>
        <v/>
      </c>
      <c r="B931" s="1" t="inlineStr">
        <is>
          <t>39060</t>
        </is>
      </c>
      <c r="C931" s="1" t="inlineStr">
        <is>
          <t>Stucco Chickpea Plaster Tiles</t>
        </is>
      </c>
      <c r="D931" s="1" t="inlineStr">
        <is>
          <t>500x200x9mm</t>
        </is>
      </c>
      <c r="E931" s="1" t="n">
        <v>9.949999999999999</v>
      </c>
      <c r="F931" s="1" t="n">
        <v>0</v>
      </c>
      <c r="G931" s="1" t="inlineStr">
        <is>
          <t>SQM</t>
        </is>
      </c>
      <c r="H931" s="1" t="inlineStr">
        <is>
          <t>Ceramic</t>
        </is>
      </c>
      <c r="I931" s="1" t="inlineStr">
        <is>
          <t>Matt</t>
        </is>
      </c>
      <c r="J931" t="n">
        <v>868</v>
      </c>
      <c r="K931" t="n">
        <v>868</v>
      </c>
      <c r="L931" t="n">
        <v>868</v>
      </c>
    </row>
    <row r="932">
      <c r="A932" s="1">
        <f>Hyperlink("https://www.wallsandfloors.co.uk/stucco-chickpea-plaster-45x45-tiles","Product")</f>
        <v/>
      </c>
      <c r="B932" s="1" t="inlineStr">
        <is>
          <t>39136</t>
        </is>
      </c>
      <c r="C932" s="1" t="inlineStr">
        <is>
          <t>Stucco Chickpea Plaster Tiles</t>
        </is>
      </c>
      <c r="D932" s="1" t="inlineStr">
        <is>
          <t>450x450x8.5mm</t>
        </is>
      </c>
      <c r="E932" s="1" t="n">
        <v>10.95</v>
      </c>
      <c r="F932" s="1" t="n">
        <v>0</v>
      </c>
      <c r="G932" s="1" t="inlineStr">
        <is>
          <t>SQM</t>
        </is>
      </c>
      <c r="H932" s="1" t="inlineStr">
        <is>
          <t>Ceramic</t>
        </is>
      </c>
      <c r="I932" s="1" t="inlineStr">
        <is>
          <t>Matt</t>
        </is>
      </c>
      <c r="J932" t="n">
        <v>314</v>
      </c>
      <c r="K932" t="n">
        <v>314</v>
      </c>
      <c r="L932" t="n">
        <v>314</v>
      </c>
    </row>
    <row r="933">
      <c r="A933" s="1">
        <f>Hyperlink("https://www.wallsandfloors.co.uk/stucco-chickpea-lattice-tiles","Product")</f>
        <v/>
      </c>
      <c r="B933" s="1" t="inlineStr">
        <is>
          <t>39061</t>
        </is>
      </c>
      <c r="C933" s="1" t="inlineStr">
        <is>
          <t>Stucco Chickpea Lattice Tiles</t>
        </is>
      </c>
      <c r="D933" s="1" t="inlineStr">
        <is>
          <t>500x200x10.5mm</t>
        </is>
      </c>
      <c r="E933" s="1" t="n">
        <v>9.949999999999999</v>
      </c>
      <c r="F933" s="1" t="n">
        <v>0</v>
      </c>
      <c r="G933" s="1" t="inlineStr"/>
      <c r="H933" s="1" t="inlineStr">
        <is>
          <t>Ceramic</t>
        </is>
      </c>
      <c r="I933" s="1" t="inlineStr">
        <is>
          <t>Matt</t>
        </is>
      </c>
      <c r="J933" t="inlineStr">
        <is>
          <t>In Stock</t>
        </is>
      </c>
      <c r="K933" t="inlineStr"/>
      <c r="L933" t="inlineStr">
        <is>
          <t>In Stock</t>
        </is>
      </c>
    </row>
    <row r="934">
      <c r="A934" s="1">
        <f>Hyperlink("https://www.wallsandfloors.co.uk/stucco-bone-plaster-tiles","Product")</f>
        <v/>
      </c>
      <c r="B934" s="1" t="inlineStr">
        <is>
          <t>39062</t>
        </is>
      </c>
      <c r="C934" s="1" t="inlineStr">
        <is>
          <t>Stucco Bone Plaster Tiles</t>
        </is>
      </c>
      <c r="D934" s="1" t="inlineStr">
        <is>
          <t>500x200x9mm</t>
        </is>
      </c>
      <c r="E934" s="1" t="n">
        <v>8.99</v>
      </c>
      <c r="F934" s="1" t="n">
        <v>0</v>
      </c>
      <c r="G934" s="1" t="inlineStr">
        <is>
          <t>SQM</t>
        </is>
      </c>
      <c r="H934" s="1" t="inlineStr">
        <is>
          <t>Ceramic</t>
        </is>
      </c>
      <c r="I934" s="1" t="inlineStr">
        <is>
          <t>Matt</t>
        </is>
      </c>
      <c r="J934" t="n">
        <v>305</v>
      </c>
      <c r="K934" t="inlineStr"/>
      <c r="L934" t="n">
        <v>305</v>
      </c>
    </row>
    <row r="935">
      <c r="A935" s="1">
        <f>Hyperlink("https://www.wallsandfloors.co.uk/stucco-bone-plaster-45x45-tiles","Product")</f>
        <v/>
      </c>
      <c r="B935" s="1" t="inlineStr">
        <is>
          <t>39137</t>
        </is>
      </c>
      <c r="C935" s="1" t="inlineStr">
        <is>
          <t>Stucco Bone Plaster Tiles</t>
        </is>
      </c>
      <c r="D935" s="1" t="inlineStr">
        <is>
          <t>450x450x8.5mm</t>
        </is>
      </c>
      <c r="E935" s="1" t="n">
        <v>10.95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Matt</t>
        </is>
      </c>
      <c r="J935" t="n">
        <v>344</v>
      </c>
      <c r="K935" t="n">
        <v>344</v>
      </c>
      <c r="L935" t="n">
        <v>344</v>
      </c>
    </row>
    <row r="936">
      <c r="A936" s="1">
        <f>Hyperlink("https://www.wallsandfloors.co.uk/stucco-bone-lattice-tiles","Product")</f>
        <v/>
      </c>
      <c r="B936" s="1" t="inlineStr">
        <is>
          <t>39063</t>
        </is>
      </c>
      <c r="C936" s="1" t="inlineStr">
        <is>
          <t>Stucco Bone Lattice Tiles</t>
        </is>
      </c>
      <c r="D936" s="1" t="inlineStr">
        <is>
          <t>500x200x10.5mm</t>
        </is>
      </c>
      <c r="E936" s="1" t="n">
        <v>9.949999999999999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Matt</t>
        </is>
      </c>
      <c r="J936" t="inlineStr"/>
      <c r="K936" t="n">
        <v>134</v>
      </c>
      <c r="L936" t="n">
        <v>134</v>
      </c>
    </row>
    <row r="937">
      <c r="A937" s="1">
        <f>Hyperlink("https://www.wallsandfloors.co.uk/stucco-arabica-plaster-tiles","Product")</f>
        <v/>
      </c>
      <c r="B937" s="1" t="inlineStr">
        <is>
          <t>39064</t>
        </is>
      </c>
      <c r="C937" s="1" t="inlineStr">
        <is>
          <t>Stucco Arabica Plaster Tiles</t>
        </is>
      </c>
      <c r="D937" s="1" t="inlineStr">
        <is>
          <t>500x200x9mm</t>
        </is>
      </c>
      <c r="E937" s="1" t="n">
        <v>9.949999999999999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Matt</t>
        </is>
      </c>
      <c r="J937" t="inlineStr">
        <is>
          <t>In Stock</t>
        </is>
      </c>
      <c r="K937" t="inlineStr">
        <is>
          <t>In Stock</t>
        </is>
      </c>
      <c r="L937" t="inlineStr">
        <is>
          <t>In Stock</t>
        </is>
      </c>
    </row>
    <row r="938">
      <c r="A938" s="1">
        <f>Hyperlink("https://www.wallsandfloors.co.uk/stucco-arabica-lattice-tiles","Product")</f>
        <v/>
      </c>
      <c r="B938" s="1" t="inlineStr">
        <is>
          <t>39065</t>
        </is>
      </c>
      <c r="C938" s="1" t="inlineStr">
        <is>
          <t>Stucco Arabica Lattice Tiles</t>
        </is>
      </c>
      <c r="D938" s="1" t="inlineStr">
        <is>
          <t>500x200x10.5mm</t>
        </is>
      </c>
      <c r="E938" s="1" t="n">
        <v>9.949999999999999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Matt</t>
        </is>
      </c>
      <c r="J938" t="n">
        <v>53</v>
      </c>
      <c r="K938" t="n">
        <v>53</v>
      </c>
      <c r="L938" t="n">
        <v>53</v>
      </c>
    </row>
    <row r="939">
      <c r="A939" s="1">
        <f>Hyperlink("https://www.wallsandfloors.co.uk/stucco-arabica-45x45-tiles","Product")</f>
        <v/>
      </c>
      <c r="B939" s="1" t="inlineStr">
        <is>
          <t>39138</t>
        </is>
      </c>
      <c r="C939" s="1" t="inlineStr">
        <is>
          <t>Stucco Arabica Tiles</t>
        </is>
      </c>
      <c r="D939" s="1" t="inlineStr">
        <is>
          <t>450x450x8.5mm</t>
        </is>
      </c>
      <c r="E939" s="1" t="n">
        <v>10.95</v>
      </c>
      <c r="F939" s="1" t="n">
        <v>0</v>
      </c>
      <c r="G939" s="1" t="inlineStr">
        <is>
          <t>SQM</t>
        </is>
      </c>
      <c r="H939" s="1" t="inlineStr">
        <is>
          <t>Ceramic</t>
        </is>
      </c>
      <c r="I939" s="1" t="inlineStr">
        <is>
          <t>Matt</t>
        </is>
      </c>
      <c r="J939" t="inlineStr"/>
      <c r="K939" t="n">
        <v>333</v>
      </c>
      <c r="L939" t="n">
        <v>333</v>
      </c>
    </row>
    <row r="940">
      <c r="A940" s="1">
        <f>Hyperlink("https://www.wallsandfloors.co.uk/straight-edge-metal-trim-8mm-silver-45761","Product")</f>
        <v/>
      </c>
      <c r="B940" s="1" t="inlineStr">
        <is>
          <t>41049</t>
        </is>
      </c>
      <c r="C940" s="1" t="inlineStr">
        <is>
          <t>8mm Aluminium Straight Edge Silver Tile Trim</t>
        </is>
      </c>
      <c r="D940" s="1" t="inlineStr">
        <is>
          <t>2500mm Length x 8mm Depth</t>
        </is>
      </c>
      <c r="E940" s="1" t="n">
        <v>9.949999999999999</v>
      </c>
      <c r="F940" s="1" t="n">
        <v>0</v>
      </c>
      <c r="G940" s="1" t="inlineStr"/>
      <c r="H940" s="1" t="inlineStr">
        <is>
          <t>Metal</t>
        </is>
      </c>
      <c r="I940" s="1" t="inlineStr">
        <is>
          <t>Semi-Polished</t>
        </is>
      </c>
      <c r="J940" t="n">
        <v>1647</v>
      </c>
      <c r="K940" t="n">
        <v>1647</v>
      </c>
      <c r="L940" t="n">
        <v>1647</v>
      </c>
    </row>
    <row r="941">
      <c r="A941" s="1">
        <f>Hyperlink("https://www.wallsandfloors.co.uk/straight-edge-metal-trim-8mm-brushed-effect","Product")</f>
        <v/>
      </c>
      <c r="B941" s="1" t="inlineStr">
        <is>
          <t>41048</t>
        </is>
      </c>
      <c r="C941" s="1" t="inlineStr">
        <is>
          <t>8mm Aluminium Straight Edge Brushed Effect Trim</t>
        </is>
      </c>
      <c r="D941" s="1" t="inlineStr">
        <is>
          <t>2500mm Length x 8mm Depth</t>
        </is>
      </c>
      <c r="E941" s="1" t="n">
        <v>9.949999999999999</v>
      </c>
      <c r="F941" s="1" t="n">
        <v>0</v>
      </c>
      <c r="G941" s="1" t="inlineStr">
        <is>
          <t>Unit</t>
        </is>
      </c>
      <c r="H941" s="1" t="inlineStr">
        <is>
          <t>Metal</t>
        </is>
      </c>
      <c r="I941" s="1" t="inlineStr">
        <is>
          <t>Matt</t>
        </is>
      </c>
      <c r="J941" t="n">
        <v>1077</v>
      </c>
      <c r="K941" t="n">
        <v>1077</v>
      </c>
      <c r="L941" t="n">
        <v>1077</v>
      </c>
    </row>
    <row r="942">
      <c r="A942" s="1">
        <f>Hyperlink("https://www.wallsandfloors.co.uk/straight-edge-metal-trim-12-5mm-silver-45645","Product")</f>
        <v/>
      </c>
      <c r="B942" s="1" t="inlineStr">
        <is>
          <t>41047</t>
        </is>
      </c>
      <c r="C942" s="1" t="inlineStr">
        <is>
          <t>12.5mm Aluminium Straight Edge Silver Tile Trim</t>
        </is>
      </c>
      <c r="D942" s="1" t="inlineStr">
        <is>
          <t>2500mm Length x 12.5mm Depth</t>
        </is>
      </c>
      <c r="E942" s="1" t="n">
        <v>9.949999999999999</v>
      </c>
      <c r="F942" s="1" t="n">
        <v>0</v>
      </c>
      <c r="G942" s="1" t="inlineStr">
        <is>
          <t>Unit</t>
        </is>
      </c>
      <c r="H942" s="1" t="inlineStr">
        <is>
          <t>Metal</t>
        </is>
      </c>
      <c r="I942" s="1" t="inlineStr">
        <is>
          <t>Semi-Polished</t>
        </is>
      </c>
      <c r="J942" t="n">
        <v>572</v>
      </c>
      <c r="K942" t="inlineStr"/>
      <c r="L942" t="n">
        <v>572</v>
      </c>
    </row>
    <row r="943">
      <c r="A943" s="1">
        <f>Hyperlink("https://www.wallsandfloors.co.uk/straight-edge-metal-trim-10mm-silver-45762","Product")</f>
        <v/>
      </c>
      <c r="B943" s="1" t="inlineStr">
        <is>
          <t>41045</t>
        </is>
      </c>
      <c r="C943" s="1" t="inlineStr">
        <is>
          <t>10mm Aluminium Straight Edge Silver Tile Trim</t>
        </is>
      </c>
      <c r="D943" s="1" t="inlineStr">
        <is>
          <t>2500 Length x 10mm Depth</t>
        </is>
      </c>
      <c r="E943" s="1" t="n">
        <v>9.949999999999999</v>
      </c>
      <c r="F943" s="1" t="n">
        <v>0</v>
      </c>
      <c r="G943" s="1" t="inlineStr">
        <is>
          <t>Unit</t>
        </is>
      </c>
      <c r="H943" s="1" t="inlineStr">
        <is>
          <t>Metal</t>
        </is>
      </c>
      <c r="I943" s="1" t="inlineStr">
        <is>
          <t>Semi-Polished</t>
        </is>
      </c>
      <c r="J943" t="inlineStr"/>
      <c r="K943" t="inlineStr">
        <is>
          <t>Out of Stock</t>
        </is>
      </c>
      <c r="L943" t="inlineStr">
        <is>
          <t>Out of Stock</t>
        </is>
      </c>
    </row>
    <row r="944">
      <c r="A944" s="1">
        <f>Hyperlink("https://www.wallsandfloors.co.uk/straight-edge-metal-trim-10mm-brushed-effect","Product")</f>
        <v/>
      </c>
      <c r="B944" s="1" t="inlineStr">
        <is>
          <t>41044</t>
        </is>
      </c>
      <c r="C944" s="1" t="inlineStr">
        <is>
          <t>10mm Aluminium Straight Edge Brushed Effect Tile Trim</t>
        </is>
      </c>
      <c r="D944" s="1" t="inlineStr">
        <is>
          <t>2500mm Length x 10mm Depth</t>
        </is>
      </c>
      <c r="E944" s="1" t="n">
        <v>9.949999999999999</v>
      </c>
      <c r="F944" s="1" t="n">
        <v>0</v>
      </c>
      <c r="G944" s="1" t="inlineStr">
        <is>
          <t>Unit</t>
        </is>
      </c>
      <c r="H944" s="1" t="inlineStr">
        <is>
          <t>Metal</t>
        </is>
      </c>
      <c r="I944" s="1" t="inlineStr">
        <is>
          <t>Matt</t>
        </is>
      </c>
      <c r="J944" t="n">
        <v>1146</v>
      </c>
      <c r="K944" t="n">
        <v>1146</v>
      </c>
      <c r="L944" t="n">
        <v>1146</v>
      </c>
    </row>
    <row r="945">
      <c r="A945" s="1">
        <f>Hyperlink("https://www.wallsandfloors.co.uk/stop-mould-flexible-wall-tile-grout-white-5kg","Product")</f>
        <v/>
      </c>
      <c r="B945" s="1" t="inlineStr">
        <is>
          <t>33558</t>
        </is>
      </c>
      <c r="C945" s="1" t="inlineStr">
        <is>
          <t>Stop Mould Flexible White Wall Tile Grout</t>
        </is>
      </c>
      <c r="D945" s="1" t="inlineStr">
        <is>
          <t>5kg</t>
        </is>
      </c>
      <c r="E945" s="1" t="n">
        <v>6.35</v>
      </c>
      <c r="F945" s="1" t="n">
        <v>0</v>
      </c>
      <c r="G945" s="1" t="inlineStr">
        <is>
          <t>Unit</t>
        </is>
      </c>
      <c r="H945" s="1" t="inlineStr">
        <is>
          <t>Grout</t>
        </is>
      </c>
      <c r="I945" s="1" t="inlineStr">
        <is>
          <t>-</t>
        </is>
      </c>
      <c r="J945" t="inlineStr"/>
      <c r="K945" t="n">
        <v>63</v>
      </c>
      <c r="L945" t="n">
        <v>63</v>
      </c>
    </row>
    <row r="946">
      <c r="A946" s="1">
        <f>Hyperlink("https://www.wallsandfloors.co.uk/stonemood-white-tiles","Product")</f>
        <v/>
      </c>
      <c r="B946" s="1" t="inlineStr">
        <is>
          <t>44339</t>
        </is>
      </c>
      <c r="C946" s="1" t="inlineStr">
        <is>
          <t>Stonemood White Tiles</t>
        </is>
      </c>
      <c r="D946" s="1" t="inlineStr">
        <is>
          <t>797x797x8mm</t>
        </is>
      </c>
      <c r="E946" s="1" t="n">
        <v>28.95</v>
      </c>
      <c r="F946" s="1" t="n">
        <v>0</v>
      </c>
      <c r="G946" s="1" t="inlineStr">
        <is>
          <t>SQM</t>
        </is>
      </c>
      <c r="H946" s="1" t="inlineStr">
        <is>
          <t>Porcelain</t>
        </is>
      </c>
      <c r="I946" s="1" t="inlineStr">
        <is>
          <t>Matt</t>
        </is>
      </c>
      <c r="J946" t="n">
        <v>706</v>
      </c>
      <c r="K946" t="n">
        <v>706</v>
      </c>
      <c r="L946" t="n">
        <v>706</v>
      </c>
    </row>
    <row r="947">
      <c r="A947" s="1">
        <f>Hyperlink("https://www.wallsandfloors.co.uk/stonemood-grey-tiles","Product")</f>
        <v/>
      </c>
      <c r="B947" s="1" t="inlineStr">
        <is>
          <t>44335</t>
        </is>
      </c>
      <c r="C947" s="1" t="inlineStr">
        <is>
          <t>Stonemood Grey Tiles</t>
        </is>
      </c>
      <c r="D947" s="1" t="inlineStr">
        <is>
          <t>797x797x8mm</t>
        </is>
      </c>
      <c r="E947" s="1" t="n">
        <v>28.95</v>
      </c>
      <c r="F947" s="1" t="n">
        <v>0</v>
      </c>
      <c r="G947" s="1" t="inlineStr">
        <is>
          <t>SQM</t>
        </is>
      </c>
      <c r="H947" s="1" t="inlineStr">
        <is>
          <t>Porcelain</t>
        </is>
      </c>
      <c r="I947" s="1" t="inlineStr">
        <is>
          <t>Matt</t>
        </is>
      </c>
      <c r="J947" t="n">
        <v>1314</v>
      </c>
      <c r="K947" t="n">
        <v>1314</v>
      </c>
      <c r="L947" t="n">
        <v>1314</v>
      </c>
    </row>
    <row r="948">
      <c r="A948" s="1">
        <f>Hyperlink("https://www.wallsandfloors.co.uk/stone-polished-marble-mosaic-tiles-cream-flore-polished-tiles","Product")</f>
        <v/>
      </c>
      <c r="B948" s="1" t="inlineStr">
        <is>
          <t>10539</t>
        </is>
      </c>
      <c r="C948" s="1" t="inlineStr">
        <is>
          <t>Cream Flore Polished Tiles</t>
        </is>
      </c>
      <c r="D948" s="1" t="inlineStr">
        <is>
          <t>305x305x7mm</t>
        </is>
      </c>
      <c r="E948" s="1" t="n">
        <v>12.95</v>
      </c>
      <c r="F948" s="1" t="n">
        <v>0</v>
      </c>
      <c r="G948" s="1" t="inlineStr">
        <is>
          <t>Sheet</t>
        </is>
      </c>
      <c r="H948" s="1" t="inlineStr">
        <is>
          <t>Marble</t>
        </is>
      </c>
      <c r="I948" s="1" t="inlineStr">
        <is>
          <t>Polished</t>
        </is>
      </c>
      <c r="J948" t="inlineStr">
        <is>
          <t>In Stock</t>
        </is>
      </c>
      <c r="K948" t="inlineStr">
        <is>
          <t>In Stock</t>
        </is>
      </c>
      <c r="L948" t="inlineStr">
        <is>
          <t>In Stock</t>
        </is>
      </c>
    </row>
    <row r="949">
      <c r="A949" s="1">
        <f>Hyperlink("https://www.wallsandfloors.co.uk/stone-polished-marble-mosaic-tiles-cream-flore-polished-square-tiles","Product")</f>
        <v/>
      </c>
      <c r="B949" s="1" t="inlineStr">
        <is>
          <t>10540</t>
        </is>
      </c>
      <c r="C949" s="1" t="inlineStr">
        <is>
          <t>Cream Flore Polished Square Tiles</t>
        </is>
      </c>
      <c r="D949" s="1" t="inlineStr">
        <is>
          <t>305x305x7mm</t>
        </is>
      </c>
      <c r="E949" s="1" t="n">
        <v>12.95</v>
      </c>
      <c r="F949" s="1" t="n">
        <v>0</v>
      </c>
      <c r="G949" s="1" t="inlineStr">
        <is>
          <t>Sheet</t>
        </is>
      </c>
      <c r="H949" s="1" t="inlineStr">
        <is>
          <t>Marble</t>
        </is>
      </c>
      <c r="I949" s="1" t="inlineStr">
        <is>
          <t>Polished</t>
        </is>
      </c>
      <c r="J949" t="inlineStr">
        <is>
          <t>In Stock</t>
        </is>
      </c>
      <c r="K949" t="inlineStr">
        <is>
          <t>In Stock</t>
        </is>
      </c>
      <c r="L949" t="inlineStr">
        <is>
          <t>In Stock</t>
        </is>
      </c>
    </row>
    <row r="950">
      <c r="A950" s="1">
        <f>Hyperlink("https://www.wallsandfloors.co.uk/suburban-stone-tiles-natural-slate-wall-tiles","Product")</f>
        <v/>
      </c>
      <c r="B950" s="1" t="inlineStr">
        <is>
          <t>14603</t>
        </is>
      </c>
      <c r="C950" s="1" t="inlineStr">
        <is>
          <t>Natural Slate Wall Tiles</t>
        </is>
      </c>
      <c r="D950" s="1" t="inlineStr">
        <is>
          <t>360x275x9mm</t>
        </is>
      </c>
      <c r="E950" s="1" t="n">
        <v>23.95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inlineStr">
        <is>
          <t>In Stock</t>
        </is>
      </c>
      <c r="K950" t="inlineStr">
        <is>
          <t>In Stock</t>
        </is>
      </c>
      <c r="L950" t="inlineStr">
        <is>
          <t>In Stock</t>
        </is>
      </c>
    </row>
    <row r="951">
      <c r="A951" s="1">
        <f>Hyperlink("https://www.wallsandfloors.co.uk/rustic-metro-tiles-avocado-gloss-tiles","Product")</f>
        <v/>
      </c>
      <c r="B951" s="1" t="inlineStr">
        <is>
          <t>12173</t>
        </is>
      </c>
      <c r="C951" s="1" t="inlineStr">
        <is>
          <t>Avocado Green Rustic Metro Tiles</t>
        </is>
      </c>
      <c r="D951" s="1" t="inlineStr">
        <is>
          <t>150x75x7mm</t>
        </is>
      </c>
      <c r="E951" s="1" t="n">
        <v>20.95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Gloss</t>
        </is>
      </c>
      <c r="J951" t="n">
        <v>76</v>
      </c>
      <c r="K951" t="n">
        <v>76</v>
      </c>
      <c r="L951" t="n">
        <v>76</v>
      </c>
    </row>
    <row r="952">
      <c r="A952" s="1">
        <f>Hyperlink("https://www.wallsandfloors.co.uk/marvel-plus-white-matt-tiles","Product")</f>
        <v/>
      </c>
      <c r="B952" s="1" t="inlineStr">
        <is>
          <t>39158</t>
        </is>
      </c>
      <c r="C952" s="1" t="inlineStr">
        <is>
          <t>Marvel Plus White Matt Tiles</t>
        </is>
      </c>
      <c r="D952" s="1" t="inlineStr">
        <is>
          <t>598x298x10mm</t>
        </is>
      </c>
      <c r="E952" s="1" t="n">
        <v>17.95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Matt</t>
        </is>
      </c>
      <c r="J952" t="inlineStr">
        <is>
          <t>Out of Stock</t>
        </is>
      </c>
      <c r="K952" t="inlineStr">
        <is>
          <t>Out of Stock</t>
        </is>
      </c>
      <c r="L952" t="inlineStr">
        <is>
          <t>Out of Stock</t>
        </is>
      </c>
    </row>
    <row r="953">
      <c r="A953" s="1">
        <f>Hyperlink("https://www.wallsandfloors.co.uk/mediterranean-marble-effect-tiles-mid-cream-gloss-marble-effect-tiles","Product")</f>
        <v/>
      </c>
      <c r="B953" s="1" t="inlineStr">
        <is>
          <t>12830</t>
        </is>
      </c>
      <c r="C953" s="1" t="inlineStr">
        <is>
          <t>Mid Cream Gloss Marble Effect Tiles</t>
        </is>
      </c>
      <c r="D953" s="1" t="inlineStr">
        <is>
          <t>500x250x8mm</t>
        </is>
      </c>
      <c r="E953" s="1" t="n">
        <v>15.95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Gloss</t>
        </is>
      </c>
      <c r="J953" t="inlineStr"/>
      <c r="K953" t="inlineStr"/>
      <c r="L953" t="n">
        <v>86</v>
      </c>
    </row>
    <row r="954">
      <c r="A954" s="1">
        <f>Hyperlink("https://www.wallsandfloors.co.uk/chalkstone-ash-tiles","Product")</f>
        <v/>
      </c>
      <c r="B954" s="1" t="inlineStr">
        <is>
          <t>44094</t>
        </is>
      </c>
      <c r="C954" s="1" t="inlineStr">
        <is>
          <t>Chalkstone Ash Tiles</t>
        </is>
      </c>
      <c r="D954" s="1" t="inlineStr">
        <is>
          <t>560x310x10mm</t>
        </is>
      </c>
      <c r="E954" s="1" t="n">
        <v>25.95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Matt</t>
        </is>
      </c>
      <c r="J954" t="inlineStr">
        <is>
          <t>In Stock</t>
        </is>
      </c>
      <c r="K954" t="inlineStr"/>
      <c r="L954" t="inlineStr">
        <is>
          <t>In Stock</t>
        </is>
      </c>
    </row>
    <row r="955">
      <c r="A955" s="1">
        <f>Hyperlink("https://www.wallsandfloors.co.uk/cev-250-10-wet-cutting-diamond-blade","Product")</f>
        <v/>
      </c>
      <c r="B955" s="1" t="inlineStr">
        <is>
          <t>27518</t>
        </is>
      </c>
      <c r="C955" s="1" t="inlineStr">
        <is>
          <t>CEV 250mm 10 Wet Ceramic Tile Diamond Blade</t>
        </is>
      </c>
      <c r="D955" s="1" t="inlineStr">
        <is>
          <t>250mm</t>
        </is>
      </c>
      <c r="E955" s="1" t="n">
        <v>77.45</v>
      </c>
      <c r="F955" s="1" t="n">
        <v>0</v>
      </c>
      <c r="G955" s="1" t="inlineStr">
        <is>
          <t>Unit</t>
        </is>
      </c>
      <c r="H955" s="1" t="inlineStr">
        <is>
          <t>Accessories</t>
        </is>
      </c>
      <c r="I955" s="1" t="inlineStr">
        <is>
          <t>-</t>
        </is>
      </c>
      <c r="J955" t="inlineStr">
        <is>
          <t>In Stock</t>
        </is>
      </c>
      <c r="K955" t="inlineStr">
        <is>
          <t>In Stock</t>
        </is>
      </c>
      <c r="L955" t="inlineStr">
        <is>
          <t>In Stock</t>
        </is>
      </c>
    </row>
    <row r="956">
      <c r="A956" s="1">
        <f>Hyperlink("https://www.wallsandfloors.co.uk/cev-180-pro-diamond-blade","Product")</f>
        <v/>
      </c>
      <c r="B956" s="1" t="inlineStr">
        <is>
          <t>40394</t>
        </is>
      </c>
      <c r="C956" s="1" t="inlineStr">
        <is>
          <t>CEV 180 Pro Ceramic Tiles Diamond Blade</t>
        </is>
      </c>
      <c r="D956" s="1" t="n">
        <v>1</v>
      </c>
      <c r="E956" s="1" t="n">
        <v>19.25</v>
      </c>
      <c r="F956" s="1" t="n">
        <v>0</v>
      </c>
      <c r="G956" s="1" t="inlineStr">
        <is>
          <t>Unit</t>
        </is>
      </c>
      <c r="H956" s="1" t="inlineStr">
        <is>
          <t>Accessories</t>
        </is>
      </c>
      <c r="I956" s="1" t="inlineStr">
        <is>
          <t>-</t>
        </is>
      </c>
      <c r="J956" t="inlineStr">
        <is>
          <t>Out of Stock</t>
        </is>
      </c>
      <c r="K956" t="inlineStr">
        <is>
          <t>Out of Stock</t>
        </is>
      </c>
      <c r="L956" t="inlineStr">
        <is>
          <t>Out of Stock</t>
        </is>
      </c>
    </row>
    <row r="957">
      <c r="A957" s="1">
        <f>Hyperlink("https://www.wallsandfloors.co.uk/ceramic-mosaic-tiles-blue-anti-slip-tiles","Product")</f>
        <v/>
      </c>
      <c r="B957" s="1" t="inlineStr">
        <is>
          <t>127</t>
        </is>
      </c>
      <c r="C957" s="1" t="inlineStr">
        <is>
          <t>Ceramic Blue Anti Slip Mosaic Tiles</t>
        </is>
      </c>
      <c r="D957" s="1" t="inlineStr">
        <is>
          <t>295x295x5mm</t>
        </is>
      </c>
      <c r="E957" s="1" t="n">
        <v>5.95</v>
      </c>
      <c r="F957" s="1" t="n">
        <v>0</v>
      </c>
      <c r="G957" s="1" t="inlineStr">
        <is>
          <t>Sheet</t>
        </is>
      </c>
      <c r="H957" s="1" t="inlineStr">
        <is>
          <t>Ceramic</t>
        </is>
      </c>
      <c r="I957" s="1" t="inlineStr">
        <is>
          <t>Matt</t>
        </is>
      </c>
      <c r="J957" t="inlineStr">
        <is>
          <t>In Stock</t>
        </is>
      </c>
      <c r="K957" t="inlineStr"/>
      <c r="L957" t="inlineStr">
        <is>
          <t>In Stock</t>
        </is>
      </c>
    </row>
    <row r="958">
      <c r="A958" s="1">
        <f>Hyperlink("https://www.wallsandfloors.co.uk/cedarne-mink-tiles","Product")</f>
        <v/>
      </c>
      <c r="B958" s="1" t="inlineStr">
        <is>
          <t>36554</t>
        </is>
      </c>
      <c r="C958" s="1" t="inlineStr">
        <is>
          <t>Cedarne Mink Tiles</t>
        </is>
      </c>
      <c r="D958" s="1" t="inlineStr">
        <is>
          <t>600x200x9.2mm</t>
        </is>
      </c>
      <c r="E958" s="1" t="n">
        <v>9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Gloss</t>
        </is>
      </c>
      <c r="J958" t="n">
        <v>6</v>
      </c>
      <c r="K958" t="n">
        <v>6</v>
      </c>
      <c r="L958" t="n">
        <v>6</v>
      </c>
    </row>
    <row r="959">
      <c r="A959" s="1">
        <f>Hyperlink("https://www.wallsandfloors.co.uk/cava-victorian-unglazed-150x150-quarry-tiles-light-grey-tiles","Product")</f>
        <v/>
      </c>
      <c r="B959" s="1" t="inlineStr">
        <is>
          <t>15241</t>
        </is>
      </c>
      <c r="C959" s="1" t="inlineStr">
        <is>
          <t>Cava Victorian Light Grey Quarry Tiles</t>
        </is>
      </c>
      <c r="D959" s="1" t="inlineStr">
        <is>
          <t>150x150x8mm</t>
        </is>
      </c>
      <c r="E959" s="1" t="n">
        <v>39.95</v>
      </c>
      <c r="F959" s="1" t="n">
        <v>0</v>
      </c>
      <c r="G959" s="1" t="inlineStr">
        <is>
          <t>SQM</t>
        </is>
      </c>
      <c r="H959" s="1" t="inlineStr">
        <is>
          <t>Porcelain</t>
        </is>
      </c>
      <c r="I959" s="1" t="inlineStr">
        <is>
          <t>Matt</t>
        </is>
      </c>
      <c r="J959" t="n">
        <v>80</v>
      </c>
      <c r="K959" t="n">
        <v>80</v>
      </c>
      <c r="L959" t="n">
        <v>80</v>
      </c>
    </row>
    <row r="960">
      <c r="A960" s="1">
        <f>Hyperlink("https://www.wallsandfloors.co.uk/cava-victorian-unglazed-150x150-quarry-tiles-grey-quarry-tiles","Product")</f>
        <v/>
      </c>
      <c r="B960" s="1" t="inlineStr">
        <is>
          <t>13074</t>
        </is>
      </c>
      <c r="C960" s="1" t="inlineStr">
        <is>
          <t>Cava Victorian Grey Quarry Tiles</t>
        </is>
      </c>
      <c r="D960" s="1" t="inlineStr">
        <is>
          <t>150x150x8mm</t>
        </is>
      </c>
      <c r="E960" s="1" t="n">
        <v>39.95</v>
      </c>
      <c r="F960" s="1" t="n">
        <v>0</v>
      </c>
      <c r="G960" s="1" t="inlineStr"/>
      <c r="H960" s="1" t="inlineStr">
        <is>
          <t>Porcelain</t>
        </is>
      </c>
      <c r="I960" s="1" t="inlineStr">
        <is>
          <t>Matt</t>
        </is>
      </c>
      <c r="J960" t="inlineStr">
        <is>
          <t>In Stock</t>
        </is>
      </c>
      <c r="K960" t="inlineStr">
        <is>
          <t>In Stock</t>
        </is>
      </c>
      <c r="L960" t="inlineStr">
        <is>
          <t>In Stock</t>
        </is>
      </c>
    </row>
    <row r="961">
      <c r="A961" s="1">
        <f>Hyperlink("https://www.wallsandfloors.co.uk/cava-victorian-unglazed-150x150-quarry-tiles-green-tiles","Product")</f>
        <v/>
      </c>
      <c r="B961" s="1" t="inlineStr">
        <is>
          <t>15506</t>
        </is>
      </c>
      <c r="C961" s="1" t="inlineStr">
        <is>
          <t>Cava Victorian Green Quarry Tiles</t>
        </is>
      </c>
      <c r="D961" s="1" t="inlineStr">
        <is>
          <t>150x150x8mm</t>
        </is>
      </c>
      <c r="E961" s="1" t="n">
        <v>40.95</v>
      </c>
      <c r="F961" s="1" t="n">
        <v>0</v>
      </c>
      <c r="G961" s="1" t="inlineStr">
        <is>
          <t>SQM</t>
        </is>
      </c>
      <c r="H961" s="1" t="inlineStr">
        <is>
          <t>Porcelain</t>
        </is>
      </c>
      <c r="I961" s="1" t="inlineStr">
        <is>
          <t>Matt</t>
        </is>
      </c>
      <c r="J961" t="n">
        <v>73</v>
      </c>
      <c r="K961" t="n">
        <v>73</v>
      </c>
      <c r="L961" t="n">
        <v>73</v>
      </c>
    </row>
    <row r="962">
      <c r="A962" s="1">
        <f>Hyperlink("https://www.wallsandfloors.co.uk/cava-victorian-unglazed-150x150-quarry-tiles-dark-grey-tiles","Product")</f>
        <v/>
      </c>
      <c r="B962" s="1" t="inlineStr">
        <is>
          <t>15240</t>
        </is>
      </c>
      <c r="C962" s="1" t="inlineStr">
        <is>
          <t>Cava Victorian Dark Grey Tiles</t>
        </is>
      </c>
      <c r="D962" s="1" t="inlineStr">
        <is>
          <t>150x150x8mm</t>
        </is>
      </c>
      <c r="E962" s="1" t="n">
        <v>39.95</v>
      </c>
      <c r="F962" s="1" t="n">
        <v>0</v>
      </c>
      <c r="G962" s="1" t="inlineStr">
        <is>
          <t>SQM</t>
        </is>
      </c>
      <c r="H962" s="1" t="inlineStr">
        <is>
          <t>Porcelain</t>
        </is>
      </c>
      <c r="I962" s="1" t="inlineStr">
        <is>
          <t>Matt</t>
        </is>
      </c>
      <c r="J962" t="n">
        <v>71</v>
      </c>
      <c r="K962" t="n">
        <v>71</v>
      </c>
      <c r="L962" t="n">
        <v>71</v>
      </c>
    </row>
    <row r="963">
      <c r="A963" s="1">
        <f>Hyperlink("https://www.wallsandfloors.co.uk/cava-victorian-unglazed-150x150-quarry-tiles-blue-quarry-tiles","Product")</f>
        <v/>
      </c>
      <c r="B963" s="1" t="inlineStr">
        <is>
          <t>15239</t>
        </is>
      </c>
      <c r="C963" s="1" t="inlineStr">
        <is>
          <t>Cava Victorian Blue Quarry Tiles</t>
        </is>
      </c>
      <c r="D963" s="1" t="inlineStr">
        <is>
          <t>150x150x8mm</t>
        </is>
      </c>
      <c r="E963" s="1" t="n">
        <v>49.95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n">
        <v>131</v>
      </c>
      <c r="K963" t="n">
        <v>131</v>
      </c>
      <c r="L963" t="n">
        <v>131</v>
      </c>
    </row>
    <row r="964">
      <c r="A964" s="1">
        <f>Hyperlink("https://www.wallsandfloors.co.uk/chalkstone-bone-tiles","Product")</f>
        <v/>
      </c>
      <c r="B964" s="1" t="inlineStr">
        <is>
          <t>44095</t>
        </is>
      </c>
      <c r="C964" s="1" t="inlineStr">
        <is>
          <t>Chalkstone Bone Tiles</t>
        </is>
      </c>
      <c r="D964" s="1" t="inlineStr">
        <is>
          <t>560x310x10mm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inlineStr">
        <is>
          <t>Out of Stock</t>
        </is>
      </c>
      <c r="K964" t="inlineStr">
        <is>
          <t>Out of Stock</t>
        </is>
      </c>
      <c r="L964" t="inlineStr">
        <is>
          <t>Out of Stock</t>
        </is>
      </c>
    </row>
    <row r="965">
      <c r="A965" s="1">
        <f>Hyperlink("https://www.wallsandfloors.co.uk/catalonia-matt-white-tiles-white-matt-smooth-tiles-2841","Product")</f>
        <v/>
      </c>
      <c r="B965" s="1" t="inlineStr">
        <is>
          <t>2841</t>
        </is>
      </c>
      <c r="C965" s="1" t="inlineStr">
        <is>
          <t>White Matt Smooth Tiles</t>
        </is>
      </c>
      <c r="D965" s="1" t="inlineStr">
        <is>
          <t>400x250x8mm</t>
        </is>
      </c>
      <c r="E965" s="1" t="n">
        <v>17.95</v>
      </c>
      <c r="F965" s="1" t="n">
        <v>0</v>
      </c>
      <c r="G965" s="1" t="inlineStr">
        <is>
          <t>SQM</t>
        </is>
      </c>
      <c r="H965" s="1" t="inlineStr">
        <is>
          <t>Ceramic</t>
        </is>
      </c>
      <c r="I965" s="1" t="inlineStr">
        <is>
          <t>Matt</t>
        </is>
      </c>
      <c r="J965" t="inlineStr">
        <is>
          <t>Out of Stock</t>
        </is>
      </c>
      <c r="K965" t="inlineStr">
        <is>
          <t>Out of Stock</t>
        </is>
      </c>
      <c r="L965" t="inlineStr">
        <is>
          <t>Out of Stock</t>
        </is>
      </c>
    </row>
    <row r="966">
      <c r="A966" s="1">
        <f>Hyperlink("https://www.wallsandfloors.co.uk/catalonia-matt-white-tiles-smooth-white-matt-wall-25x20-tiles","Product")</f>
        <v/>
      </c>
      <c r="B966" s="1" t="inlineStr">
        <is>
          <t>11461</t>
        </is>
      </c>
      <c r="C966" s="1" t="inlineStr">
        <is>
          <t>Catalonia White Matt Wall Tiles</t>
        </is>
      </c>
      <c r="D966" s="1" t="inlineStr">
        <is>
          <t>250x200x7mm</t>
        </is>
      </c>
      <c r="E966" s="1" t="n">
        <v>13.95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Matt</t>
        </is>
      </c>
      <c r="J966" t="n">
        <v>140</v>
      </c>
      <c r="K966" t="inlineStr"/>
      <c r="L966" t="n">
        <v>140</v>
      </c>
    </row>
    <row r="967">
      <c r="A967" s="1">
        <f>Hyperlink("https://www.wallsandfloors.co.uk/catalonia-gloss-white-tiles-white-gloss-smooth-tiles-11938","Product")</f>
        <v/>
      </c>
      <c r="B967" s="1" t="inlineStr">
        <is>
          <t>11938</t>
        </is>
      </c>
      <c r="C967" s="1" t="inlineStr">
        <is>
          <t>Catalonia White Gloss Smooth Wall Tiles</t>
        </is>
      </c>
      <c r="D967" s="1" t="inlineStr">
        <is>
          <t>500x250x8mm</t>
        </is>
      </c>
      <c r="E967" s="1" t="n">
        <v>17.95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Gloss</t>
        </is>
      </c>
      <c r="J967" t="n">
        <v>347</v>
      </c>
      <c r="K967" t="n">
        <v>347</v>
      </c>
      <c r="L967" t="n">
        <v>347</v>
      </c>
    </row>
    <row r="968">
      <c r="A968" s="1">
        <f>Hyperlink("https://www.wallsandfloors.co.uk/casa-brick-slip-effect-tiles-rich-brick-slip-effect-tiles","Product")</f>
        <v/>
      </c>
      <c r="B968" s="1" t="inlineStr">
        <is>
          <t>14059</t>
        </is>
      </c>
      <c r="C968" s="1" t="inlineStr">
        <is>
          <t>Casa Rich Brick Slip Effect Tiles</t>
        </is>
      </c>
      <c r="D968" s="1" t="inlineStr">
        <is>
          <t>560x310x10mm</t>
        </is>
      </c>
      <c r="E968" s="1" t="n">
        <v>33.95</v>
      </c>
      <c r="F968" s="1" t="n">
        <v>0</v>
      </c>
      <c r="G968" s="1" t="inlineStr">
        <is>
          <t>SQM</t>
        </is>
      </c>
      <c r="H968" s="1" t="inlineStr">
        <is>
          <t>Porcelain</t>
        </is>
      </c>
      <c r="I968" s="1" t="inlineStr">
        <is>
          <t>Matt</t>
        </is>
      </c>
      <c r="J968" t="inlineStr"/>
      <c r="K968" t="inlineStr"/>
      <c r="L968" t="n">
        <v>188</v>
      </c>
    </row>
    <row r="969">
      <c r="A969" s="1">
        <f>Hyperlink("https://www.wallsandfloors.co.uk/casa-brick-slip-effect-tiles-grey-brick-slip-effect-tiles","Product")</f>
        <v/>
      </c>
      <c r="B969" s="1" t="inlineStr">
        <is>
          <t>14060</t>
        </is>
      </c>
      <c r="C969" s="1" t="inlineStr">
        <is>
          <t>Grey Brick Slip Effect Tiles</t>
        </is>
      </c>
      <c r="D969" s="1" t="inlineStr">
        <is>
          <t>560x310x10mm</t>
        </is>
      </c>
      <c r="E969" s="1" t="n">
        <v>33.95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n">
        <v>205</v>
      </c>
      <c r="K969" t="n">
        <v>205</v>
      </c>
      <c r="L969" t="n">
        <v>205</v>
      </c>
    </row>
    <row r="970">
      <c r="A970" s="1">
        <f>Hyperlink("https://www.wallsandfloors.co.uk/casa-brick-slip-effect-tiles-beige-brick-slip-effect-tiles","Product")</f>
        <v/>
      </c>
      <c r="B970" s="1" t="inlineStr">
        <is>
          <t>14056</t>
        </is>
      </c>
      <c r="C970" s="1" t="inlineStr">
        <is>
          <t>Beige Brick Slip Effect Tiles</t>
        </is>
      </c>
      <c r="D970" s="1" t="inlineStr">
        <is>
          <t>560x310x10mm</t>
        </is>
      </c>
      <c r="E970" s="1" t="n">
        <v>33.95</v>
      </c>
      <c r="F970" s="1" t="n">
        <v>0</v>
      </c>
      <c r="G970" s="1" t="inlineStr">
        <is>
          <t>SQM</t>
        </is>
      </c>
      <c r="H970" s="1" t="inlineStr">
        <is>
          <t>Porcelain</t>
        </is>
      </c>
      <c r="I970" s="1" t="inlineStr">
        <is>
          <t>Matt</t>
        </is>
      </c>
      <c r="J970" t="inlineStr"/>
      <c r="K970" t="n">
        <v>186</v>
      </c>
      <c r="L970" t="n">
        <v>186</v>
      </c>
    </row>
    <row r="971">
      <c r="A971" s="1">
        <f>Hyperlink("https://www.wallsandfloors.co.uk/cappucino-marble-tiles-natural-marble-tiles-8189","Product")</f>
        <v/>
      </c>
      <c r="B971" s="1" t="inlineStr">
        <is>
          <t>8189</t>
        </is>
      </c>
      <c r="C971" s="1" t="inlineStr">
        <is>
          <t>Cappuccino Natural Marble Tiles</t>
        </is>
      </c>
      <c r="D971" s="1" t="inlineStr">
        <is>
          <t>600x400x12mm</t>
        </is>
      </c>
      <c r="E971" s="1" t="n">
        <v>39.95</v>
      </c>
      <c r="F971" s="1" t="n">
        <v>0</v>
      </c>
      <c r="G971" s="1" t="inlineStr">
        <is>
          <t>SQM</t>
        </is>
      </c>
      <c r="H971" s="1" t="inlineStr">
        <is>
          <t>Marble</t>
        </is>
      </c>
      <c r="I971" s="1" t="inlineStr">
        <is>
          <t>Polished</t>
        </is>
      </c>
      <c r="J971" t="n">
        <v>117</v>
      </c>
      <c r="K971" t="inlineStr"/>
      <c r="L971" t="n">
        <v>117</v>
      </c>
    </row>
    <row r="972">
      <c r="A972" s="1">
        <f>Hyperlink("https://www.wallsandfloors.co.uk/candy-pink-tiles","Product")</f>
        <v/>
      </c>
      <c r="B972" s="1" t="inlineStr">
        <is>
          <t>38984</t>
        </is>
      </c>
      <c r="C972" s="1" t="inlineStr">
        <is>
          <t>Nyans Candy Pink Wood Effect Tiles</t>
        </is>
      </c>
      <c r="D972" s="1" t="inlineStr">
        <is>
          <t>593x98x9.5mm</t>
        </is>
      </c>
      <c r="E972" s="1" t="n">
        <v>40.95</v>
      </c>
      <c r="F972" s="1" t="n">
        <v>0</v>
      </c>
      <c r="G972" s="1" t="inlineStr">
        <is>
          <t>SQM</t>
        </is>
      </c>
      <c r="H972" s="1" t="inlineStr">
        <is>
          <t>Porcelain</t>
        </is>
      </c>
      <c r="I972" s="1" t="inlineStr">
        <is>
          <t>Matt</t>
        </is>
      </c>
      <c r="J972" t="n">
        <v>60</v>
      </c>
      <c r="K972" t="n">
        <v>60</v>
      </c>
      <c r="L972" t="n">
        <v>60</v>
      </c>
    </row>
    <row r="973">
      <c r="A973" s="1">
        <f>Hyperlink("https://www.wallsandfloors.co.uk/calcario-stone-2-0-slab-tiles","Product")</f>
        <v/>
      </c>
      <c r="B973" s="1" t="inlineStr">
        <is>
          <t>40260</t>
        </is>
      </c>
      <c r="C973" s="1" t="inlineStr">
        <is>
          <t>Calcario Stone Porcelain Paving Slabs</t>
        </is>
      </c>
      <c r="D973" s="1" t="inlineStr">
        <is>
          <t>598x598x20mm</t>
        </is>
      </c>
      <c r="E973" s="1" t="n">
        <v>36.95</v>
      </c>
      <c r="F973" s="1" t="n">
        <v>0</v>
      </c>
      <c r="G973" s="1" t="inlineStr">
        <is>
          <t>SQM</t>
        </is>
      </c>
      <c r="H973" s="1" t="inlineStr">
        <is>
          <t>Porcelain</t>
        </is>
      </c>
      <c r="I973" s="1" t="inlineStr">
        <is>
          <t>Matt</t>
        </is>
      </c>
      <c r="J973" t="n">
        <v>151</v>
      </c>
      <c r="K973" t="n">
        <v>151</v>
      </c>
      <c r="L973" t="n">
        <v>151</v>
      </c>
    </row>
    <row r="974">
      <c r="A974" s="1">
        <f>Hyperlink("https://www.wallsandfloors.co.uk/calcario-grey-2-slab-tiles","Product")</f>
        <v/>
      </c>
      <c r="B974" s="1" t="inlineStr">
        <is>
          <t>40262</t>
        </is>
      </c>
      <c r="C974" s="1" t="inlineStr">
        <is>
          <t>Calcario Grey Porcelain Paving Slabs</t>
        </is>
      </c>
      <c r="D974" s="1" t="inlineStr">
        <is>
          <t>598x598x20mm</t>
        </is>
      </c>
      <c r="E974" s="1" t="n">
        <v>30.95</v>
      </c>
      <c r="F974" s="1" t="n">
        <v>0</v>
      </c>
      <c r="G974" s="1" t="inlineStr">
        <is>
          <t>SQM</t>
        </is>
      </c>
      <c r="H974" s="1" t="inlineStr">
        <is>
          <t>Porcelain</t>
        </is>
      </c>
      <c r="I974" s="1" t="inlineStr">
        <is>
          <t>Matt</t>
        </is>
      </c>
      <c r="J974" t="inlineStr"/>
      <c r="K974" t="n">
        <v>882</v>
      </c>
      <c r="L974" t="n">
        <v>882</v>
      </c>
    </row>
    <row r="975">
      <c r="A975" s="1">
        <f>Hyperlink("https://www.wallsandfloors.co.uk/calcario-graphite-2-slab-tiles","Product")</f>
        <v/>
      </c>
      <c r="B975" s="1" t="inlineStr">
        <is>
          <t>40261</t>
        </is>
      </c>
      <c r="C975" s="1" t="inlineStr">
        <is>
          <t>Calcario Graphite Porcelain Paving Slabs</t>
        </is>
      </c>
      <c r="D975" s="1" t="inlineStr">
        <is>
          <t>598x598x20mm</t>
        </is>
      </c>
      <c r="E975" s="1" t="n">
        <v>36.95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499</v>
      </c>
      <c r="L975" t="n">
        <v>499</v>
      </c>
    </row>
    <row r="976">
      <c r="A976" s="1">
        <f>Hyperlink("https://www.wallsandfloors.co.uk/catalonia-matt-white-tiles-white-matt-smooth-tiles-11939","Product")</f>
        <v/>
      </c>
      <c r="B976" s="1" t="inlineStr">
        <is>
          <t>11939</t>
        </is>
      </c>
      <c r="C976" s="1" t="inlineStr">
        <is>
          <t>Catalonia White Matt Smooth Tiles</t>
        </is>
      </c>
      <c r="D976" s="1" t="inlineStr">
        <is>
          <t>500x250x8mm</t>
        </is>
      </c>
      <c r="E976" s="1" t="n">
        <v>17.95</v>
      </c>
      <c r="F976" s="1" t="n">
        <v>0</v>
      </c>
      <c r="G976" s="1" t="inlineStr">
        <is>
          <t>SQM</t>
        </is>
      </c>
      <c r="H976" s="1" t="inlineStr">
        <is>
          <t>Ceramic</t>
        </is>
      </c>
      <c r="I976" s="1" t="inlineStr">
        <is>
          <t>Matt</t>
        </is>
      </c>
      <c r="J976" t="inlineStr"/>
      <c r="K976" t="n">
        <v>178</v>
      </c>
      <c r="L976" t="n">
        <v>178</v>
      </c>
    </row>
    <row r="977">
      <c r="A977" s="1">
        <f>Hyperlink("https://www.wallsandfloors.co.uk/chalkstone-honeycomb-ash-tiles","Product")</f>
        <v/>
      </c>
      <c r="B977" s="1" t="inlineStr">
        <is>
          <t>44212</t>
        </is>
      </c>
      <c r="C977" s="1" t="inlineStr">
        <is>
          <t>Chalkstone Honeycomb Ash Tiles</t>
        </is>
      </c>
      <c r="D977" s="1" t="inlineStr">
        <is>
          <t>510x265x10mm</t>
        </is>
      </c>
      <c r="E977" s="1" t="n">
        <v>28.95</v>
      </c>
      <c r="F977" s="1" t="n">
        <v>0</v>
      </c>
      <c r="G977" s="1" t="inlineStr">
        <is>
          <t>SQM</t>
        </is>
      </c>
      <c r="H977" s="1" t="inlineStr">
        <is>
          <t>Porcelain</t>
        </is>
      </c>
      <c r="I977" s="1" t="inlineStr">
        <is>
          <t>Matt</t>
        </is>
      </c>
      <c r="J977" t="inlineStr">
        <is>
          <t>In Stock</t>
        </is>
      </c>
      <c r="K977" t="inlineStr">
        <is>
          <t>In Stock</t>
        </is>
      </c>
      <c r="L977" t="inlineStr">
        <is>
          <t>In Stock</t>
        </is>
      </c>
    </row>
    <row r="978">
      <c r="A978" s="1">
        <f>Hyperlink("https://www.wallsandfloors.co.uk/chelsea-border-tiles-chelsea-blue-plano-150x30-border-tiles","Product")</f>
        <v/>
      </c>
      <c r="B978" s="1" t="inlineStr">
        <is>
          <t>14217</t>
        </is>
      </c>
      <c r="C978" s="1" t="inlineStr">
        <is>
          <t>Chelsea Blue Plano Border Tiles</t>
        </is>
      </c>
      <c r="D978" s="1" t="inlineStr">
        <is>
          <t>150x30x6mm</t>
        </is>
      </c>
      <c r="E978" s="1" t="n">
        <v>2.95</v>
      </c>
      <c r="F978" s="1" t="n">
        <v>0</v>
      </c>
      <c r="G978" s="1" t="inlineStr">
        <is>
          <t>SQM</t>
        </is>
      </c>
      <c r="H978" s="1" t="inlineStr">
        <is>
          <t>Ceramic</t>
        </is>
      </c>
      <c r="I978" s="1" t="inlineStr">
        <is>
          <t>Gloss</t>
        </is>
      </c>
      <c r="J978" t="n">
        <v>3</v>
      </c>
      <c r="K978" t="n">
        <v>3</v>
      </c>
      <c r="L978" t="n">
        <v>3</v>
      </c>
    </row>
    <row r="979">
      <c r="A979" s="1">
        <f>Hyperlink("https://www.wallsandfloors.co.uk/chelsea-border-tiles-chelsea-blue-twine-strip-150x25-border-tiles","Product")</f>
        <v/>
      </c>
      <c r="B979" s="1" t="inlineStr">
        <is>
          <t>13864</t>
        </is>
      </c>
      <c r="C979" s="1" t="inlineStr">
        <is>
          <t>Chelsea Blue Twine Strip Border Tiles</t>
        </is>
      </c>
      <c r="D979" s="1" t="inlineStr">
        <is>
          <t>150x25x6mm</t>
        </is>
      </c>
      <c r="E979" s="1" t="n">
        <v>2.95</v>
      </c>
      <c r="F979" s="1" t="n">
        <v>0</v>
      </c>
      <c r="G979" s="1" t="inlineStr">
        <is>
          <t>SQM</t>
        </is>
      </c>
      <c r="H979" s="1" t="inlineStr">
        <is>
          <t>Ceramic</t>
        </is>
      </c>
      <c r="I979" s="1" t="inlineStr">
        <is>
          <t>Gloss</t>
        </is>
      </c>
      <c r="J979" t="n">
        <v>1</v>
      </c>
      <c r="K979" t="n">
        <v>1</v>
      </c>
      <c r="L979" t="n">
        <v>1</v>
      </c>
    </row>
    <row r="980">
      <c r="A980" s="1">
        <f>Hyperlink("https://www.wallsandfloors.co.uk/coast-tiles-pebble-shore-60x30-tiles","Product")</f>
        <v/>
      </c>
      <c r="B980" s="1" t="inlineStr">
        <is>
          <t>14319</t>
        </is>
      </c>
      <c r="C980" s="1" t="inlineStr">
        <is>
          <t>Coast Pebble Shore Stone Effect Tiles</t>
        </is>
      </c>
      <c r="D980" s="1" t="inlineStr">
        <is>
          <t>613x303x7mm</t>
        </is>
      </c>
      <c r="E980" s="1" t="n">
        <v>17.95</v>
      </c>
      <c r="F980" s="1" t="n">
        <v>0</v>
      </c>
      <c r="G980" s="1" t="inlineStr">
        <is>
          <t>SQM</t>
        </is>
      </c>
      <c r="H980" s="1" t="inlineStr">
        <is>
          <t>-</t>
        </is>
      </c>
      <c r="I980" s="1" t="inlineStr">
        <is>
          <t>Matt</t>
        </is>
      </c>
      <c r="J980" t="n">
        <v>1255</v>
      </c>
      <c r="K980" t="n">
        <v>1255</v>
      </c>
      <c r="L980" t="n">
        <v>1255</v>
      </c>
    </row>
    <row r="981">
      <c r="A981" s="1">
        <f>Hyperlink("https://www.wallsandfloors.co.uk/classic-carrara-marble-effect-tiles","Product")</f>
        <v/>
      </c>
      <c r="B981" s="1" t="inlineStr">
        <is>
          <t>38426</t>
        </is>
      </c>
      <c r="C981" s="1" t="inlineStr">
        <is>
          <t>Classic Carrara Marble Effect Tiles</t>
        </is>
      </c>
      <c r="D981" s="1" t="inlineStr">
        <is>
          <t>600x300x10mm</t>
        </is>
      </c>
      <c r="E981" s="1" t="n">
        <v>39.95</v>
      </c>
      <c r="F981" s="1" t="n">
        <v>0</v>
      </c>
      <c r="G981" s="1" t="inlineStr">
        <is>
          <t>SQM</t>
        </is>
      </c>
      <c r="H981" s="1" t="inlineStr">
        <is>
          <t>Ceramic</t>
        </is>
      </c>
      <c r="I981" s="1" t="inlineStr">
        <is>
          <t>Satin</t>
        </is>
      </c>
      <c r="J981" t="n">
        <v>61</v>
      </c>
      <c r="K981" t="inlineStr"/>
      <c r="L981" t="n">
        <v>61</v>
      </c>
    </row>
    <row r="982">
      <c r="A982" s="1">
        <f>Hyperlink("https://www.wallsandfloors.co.uk/city-touchstone-floor-tiles-soft-pebble-matt-tiles","Product")</f>
        <v/>
      </c>
      <c r="B982" s="1" t="inlineStr">
        <is>
          <t>4788</t>
        </is>
      </c>
      <c r="C982" s="1" t="inlineStr">
        <is>
          <t>City Touchstone Soft Pebble Matt Tiles</t>
        </is>
      </c>
      <c r="D982" s="1" t="inlineStr">
        <is>
          <t>450x450x9.8mm</t>
        </is>
      </c>
      <c r="E982" s="1" t="n">
        <v>20.75</v>
      </c>
      <c r="F982" s="1" t="n">
        <v>0</v>
      </c>
      <c r="G982" s="1" t="inlineStr">
        <is>
          <t>SQM</t>
        </is>
      </c>
      <c r="H982" s="1" t="inlineStr">
        <is>
          <t>Porcelain</t>
        </is>
      </c>
      <c r="I982" s="1" t="inlineStr">
        <is>
          <t>Matt</t>
        </is>
      </c>
      <c r="J982" t="n">
        <v>38</v>
      </c>
      <c r="K982" t="n">
        <v>38</v>
      </c>
      <c r="L982" t="n">
        <v>38</v>
      </c>
    </row>
    <row r="983">
      <c r="A983" s="1">
        <f>Hyperlink("https://www.wallsandfloors.co.uk/circus-mosaic-tiles-tarrot-tiles","Product")</f>
        <v/>
      </c>
      <c r="B983" s="1" t="inlineStr">
        <is>
          <t>13244</t>
        </is>
      </c>
      <c r="C983" s="1" t="inlineStr">
        <is>
          <t>Tarrot Tiles</t>
        </is>
      </c>
      <c r="D983" s="1" t="inlineStr">
        <is>
          <t>300x300x8mm</t>
        </is>
      </c>
      <c r="E983" s="1" t="n">
        <v>9.949999999999999</v>
      </c>
      <c r="F983" s="1" t="n">
        <v>0</v>
      </c>
      <c r="G983" s="1" t="inlineStr">
        <is>
          <t>SQM</t>
        </is>
      </c>
      <c r="H983" s="1" t="inlineStr">
        <is>
          <t>Glass</t>
        </is>
      </c>
      <c r="I983" s="1" t="inlineStr">
        <is>
          <t>Mixed</t>
        </is>
      </c>
      <c r="J983" t="n">
        <v>12</v>
      </c>
      <c r="K983" t="n">
        <v>12</v>
      </c>
      <c r="L983" t="n">
        <v>12</v>
      </c>
    </row>
    <row r="984">
      <c r="A984" s="1">
        <f>Hyperlink("https://www.wallsandfloors.co.uk/churchill-snow-mosaic-tiles","Product")</f>
        <v/>
      </c>
      <c r="B984" s="1" t="inlineStr">
        <is>
          <t>41058</t>
        </is>
      </c>
      <c r="C984" s="1" t="inlineStr">
        <is>
          <t>Churchill Snow Mosaic Tiles</t>
        </is>
      </c>
      <c r="D984" s="1" t="inlineStr">
        <is>
          <t>291x291x6mm</t>
        </is>
      </c>
      <c r="E984" s="1" t="n">
        <v>5.95</v>
      </c>
      <c r="F984" s="1" t="n">
        <v>0</v>
      </c>
      <c r="G984" s="1" t="inlineStr">
        <is>
          <t>Sheet</t>
        </is>
      </c>
      <c r="H984" s="1" t="inlineStr">
        <is>
          <t>Porcelain</t>
        </is>
      </c>
      <c r="I984" s="1" t="inlineStr">
        <is>
          <t>Matt</t>
        </is>
      </c>
      <c r="J984" t="n">
        <v>58</v>
      </c>
      <c r="K984" t="n">
        <v>58</v>
      </c>
      <c r="L984" t="n">
        <v>58</v>
      </c>
    </row>
    <row r="985">
      <c r="A985" s="1">
        <f>Hyperlink("https://www.wallsandfloors.co.uk/churchill-midnight-mosaic-tiles","Product")</f>
        <v/>
      </c>
      <c r="B985" s="1" t="inlineStr">
        <is>
          <t>41050</t>
        </is>
      </c>
      <c r="C985" s="1" t="inlineStr">
        <is>
          <t>Churchill Midnight Mosaic Tiles</t>
        </is>
      </c>
      <c r="D985" s="1" t="inlineStr">
        <is>
          <t>291x291x6mm</t>
        </is>
      </c>
      <c r="E985" s="1" t="n">
        <v>5.95</v>
      </c>
      <c r="F985" s="1" t="n">
        <v>0</v>
      </c>
      <c r="G985" s="1" t="inlineStr">
        <is>
          <t>Sheet</t>
        </is>
      </c>
      <c r="H985" s="1" t="inlineStr">
        <is>
          <t>Porcelain</t>
        </is>
      </c>
      <c r="I985" s="1" t="inlineStr">
        <is>
          <t>Matt</t>
        </is>
      </c>
      <c r="J985" t="inlineStr">
        <is>
          <t>In Stock</t>
        </is>
      </c>
      <c r="K985" t="inlineStr">
        <is>
          <t>In Stock</t>
        </is>
      </c>
      <c r="L985" t="inlineStr">
        <is>
          <t>In Stock</t>
        </is>
      </c>
    </row>
    <row r="986">
      <c r="A986" s="1">
        <f>Hyperlink("https://www.wallsandfloors.co.uk/churchill-crimson-mosaic-tiles","Product")</f>
        <v/>
      </c>
      <c r="B986" s="1" t="inlineStr">
        <is>
          <t>41054</t>
        </is>
      </c>
      <c r="C986" s="1" t="inlineStr">
        <is>
          <t>Churchill Crimson Mosaic Tiles</t>
        </is>
      </c>
      <c r="D986" s="1" t="inlineStr">
        <is>
          <t>291x291x6mm</t>
        </is>
      </c>
      <c r="E986" s="1" t="n">
        <v>5.95</v>
      </c>
      <c r="F986" s="1" t="n">
        <v>0</v>
      </c>
      <c r="G986" s="1" t="inlineStr">
        <is>
          <t>Sheet</t>
        </is>
      </c>
      <c r="H986" s="1" t="inlineStr">
        <is>
          <t>Porcelain</t>
        </is>
      </c>
      <c r="I986" s="1" t="inlineStr">
        <is>
          <t>Matt</t>
        </is>
      </c>
      <c r="J986" t="n">
        <v>182</v>
      </c>
      <c r="K986" t="inlineStr"/>
      <c r="L986" t="n">
        <v>182</v>
      </c>
    </row>
    <row r="987">
      <c r="A987" s="1">
        <f>Hyperlink("https://www.wallsandfloors.co.uk/churchill-crimson-midnight-corner-tiles","Product")</f>
        <v/>
      </c>
      <c r="B987" s="1" t="inlineStr">
        <is>
          <t>41053</t>
        </is>
      </c>
      <c r="C987" s="1" t="inlineStr">
        <is>
          <t>Churchill Crimson &amp; Midnight Corner Tiles</t>
        </is>
      </c>
      <c r="D987" s="1" t="inlineStr">
        <is>
          <t>280x168x6mm</t>
        </is>
      </c>
      <c r="E987" s="1" t="n">
        <v>11.95</v>
      </c>
      <c r="F987" s="1" t="n">
        <v>0</v>
      </c>
      <c r="G987" s="1" t="inlineStr">
        <is>
          <t>Sheet</t>
        </is>
      </c>
      <c r="H987" s="1" t="inlineStr">
        <is>
          <t>Porcelain</t>
        </is>
      </c>
      <c r="I987" s="1" t="inlineStr">
        <is>
          <t>Matt</t>
        </is>
      </c>
      <c r="J987" t="inlineStr">
        <is>
          <t>In Stock</t>
        </is>
      </c>
      <c r="K987" t="inlineStr"/>
      <c r="L987" t="inlineStr">
        <is>
          <t>In Stock</t>
        </is>
      </c>
    </row>
    <row r="988">
      <c r="A988" s="1">
        <f>Hyperlink("https://www.wallsandfloors.co.uk/churchill-crimson-midnight-chequer-mosaic-tiles","Product")</f>
        <v/>
      </c>
      <c r="B988" s="1" t="inlineStr">
        <is>
          <t>41052</t>
        </is>
      </c>
      <c r="C988" s="1" t="inlineStr">
        <is>
          <t>Churchill Crimson &amp; Midnight Chequer Mosaic Tiles</t>
        </is>
      </c>
      <c r="D988" s="1" t="inlineStr">
        <is>
          <t>291x291x6mm</t>
        </is>
      </c>
      <c r="E988" s="1" t="n">
        <v>5.95</v>
      </c>
      <c r="F988" s="1" t="n">
        <v>0</v>
      </c>
      <c r="G988" s="1" t="inlineStr">
        <is>
          <t>Sheet</t>
        </is>
      </c>
      <c r="H988" s="1" t="inlineStr">
        <is>
          <t>Porcelain</t>
        </is>
      </c>
      <c r="I988" s="1" t="inlineStr">
        <is>
          <t>-</t>
        </is>
      </c>
      <c r="J988" t="inlineStr">
        <is>
          <t>In Stock</t>
        </is>
      </c>
      <c r="K988" t="inlineStr">
        <is>
          <t>In Stock</t>
        </is>
      </c>
      <c r="L988" t="inlineStr">
        <is>
          <t>In Stock</t>
        </is>
      </c>
    </row>
    <row r="989">
      <c r="A989" s="1">
        <f>Hyperlink("https://www.wallsandfloors.co.uk/churchill-crimson-midnight-border-tiles","Product")</f>
        <v/>
      </c>
      <c r="B989" s="1" t="inlineStr">
        <is>
          <t>41051</t>
        </is>
      </c>
      <c r="C989" s="1" t="inlineStr">
        <is>
          <t>Churchill Crimson &amp; Midnight Border Tiles</t>
        </is>
      </c>
      <c r="D989" s="1" t="inlineStr">
        <is>
          <t>264x118x6mm</t>
        </is>
      </c>
      <c r="E989" s="1" t="n">
        <v>9.949999999999999</v>
      </c>
      <c r="F989" s="1" t="n">
        <v>0</v>
      </c>
      <c r="G989" s="1" t="inlineStr">
        <is>
          <t>Sheet</t>
        </is>
      </c>
      <c r="H989" s="1" t="inlineStr">
        <is>
          <t>Porcelain</t>
        </is>
      </c>
      <c r="I989" s="1" t="inlineStr">
        <is>
          <t>Matt</t>
        </is>
      </c>
      <c r="J989" t="inlineStr"/>
      <c r="K989" t="inlineStr">
        <is>
          <t>Out of Stock</t>
        </is>
      </c>
      <c r="L989" t="inlineStr">
        <is>
          <t>Out of Stock</t>
        </is>
      </c>
    </row>
    <row r="990">
      <c r="A990" s="1">
        <f>Hyperlink("https://www.wallsandfloors.co.uk/chroma-pop-tiles-grey-tiles","Product")</f>
        <v/>
      </c>
      <c r="B990" s="1" t="inlineStr">
        <is>
          <t>15626</t>
        </is>
      </c>
      <c r="C990" s="1" t="inlineStr">
        <is>
          <t>Chroma Grey Anti Slip Floor Tiles</t>
        </is>
      </c>
      <c r="D990" s="1" t="inlineStr">
        <is>
          <t>338x338x7mm</t>
        </is>
      </c>
      <c r="E990" s="1" t="n">
        <v>18.95</v>
      </c>
      <c r="F990" s="1" t="n">
        <v>0</v>
      </c>
      <c r="G990" s="1" t="inlineStr">
        <is>
          <t>SQM</t>
        </is>
      </c>
      <c r="H990" s="1" t="inlineStr">
        <is>
          <t>Ceramic</t>
        </is>
      </c>
      <c r="I990" s="1" t="inlineStr">
        <is>
          <t>Matt</t>
        </is>
      </c>
      <c r="J990" t="inlineStr"/>
      <c r="K990" t="n">
        <v>81</v>
      </c>
      <c r="L990" t="n">
        <v>81</v>
      </c>
    </row>
    <row r="991">
      <c r="A991" s="1">
        <f>Hyperlink("https://www.wallsandfloors.co.uk/chimera-tiles-perla-wall-tiles","Product")</f>
        <v/>
      </c>
      <c r="B991" s="1" t="inlineStr">
        <is>
          <t>12400</t>
        </is>
      </c>
      <c r="C991" s="1" t="inlineStr">
        <is>
          <t>Chimera Perla Grey Stone Effect Wall Tiles</t>
        </is>
      </c>
      <c r="D991" s="1" t="inlineStr">
        <is>
          <t>450x316x8mm</t>
        </is>
      </c>
      <c r="E991" s="1" t="n">
        <v>19.95</v>
      </c>
      <c r="F991" s="1" t="n">
        <v>0</v>
      </c>
      <c r="G991" s="1" t="inlineStr">
        <is>
          <t>SQM</t>
        </is>
      </c>
      <c r="H991" s="1" t="inlineStr">
        <is>
          <t>Ceramic</t>
        </is>
      </c>
      <c r="I991" s="1" t="inlineStr">
        <is>
          <t>Matt</t>
        </is>
      </c>
      <c r="J991" t="inlineStr">
        <is>
          <t>In Stock</t>
        </is>
      </c>
      <c r="K991" t="inlineStr">
        <is>
          <t>In Stock</t>
        </is>
      </c>
      <c r="L991" t="inlineStr">
        <is>
          <t>In Stock</t>
        </is>
      </c>
    </row>
    <row r="992">
      <c r="A992" s="1">
        <f>Hyperlink("https://www.wallsandfloors.co.uk/chimera-tiles-perla-floor-tiles","Product")</f>
        <v/>
      </c>
      <c r="B992" s="1" t="inlineStr">
        <is>
          <t>12401</t>
        </is>
      </c>
      <c r="C992" s="1" t="inlineStr">
        <is>
          <t>Chimera Perla Grey Stone Effect Floor Tiles</t>
        </is>
      </c>
      <c r="D992" s="1" t="inlineStr">
        <is>
          <t>450x450x9mm</t>
        </is>
      </c>
      <c r="E992" s="1" t="n">
        <v>19.95</v>
      </c>
      <c r="F992" s="1" t="n">
        <v>0</v>
      </c>
      <c r="G992" s="1" t="inlineStr">
        <is>
          <t>SQM</t>
        </is>
      </c>
      <c r="H992" s="1" t="inlineStr">
        <is>
          <t>Ceramic</t>
        </is>
      </c>
      <c r="I992" s="1" t="inlineStr">
        <is>
          <t>Matt</t>
        </is>
      </c>
      <c r="J992" t="inlineStr"/>
      <c r="K992" t="n">
        <v>136</v>
      </c>
      <c r="L992" t="n">
        <v>136</v>
      </c>
    </row>
    <row r="993">
      <c r="A993" s="1">
        <f>Hyperlink("https://www.wallsandfloors.co.uk/chimera-tiles-marengo-wall-tiles","Product")</f>
        <v/>
      </c>
      <c r="B993" s="1" t="inlineStr">
        <is>
          <t>12396</t>
        </is>
      </c>
      <c r="C993" s="1" t="inlineStr">
        <is>
          <t>Chimera Marengo Grey Wall Tiles</t>
        </is>
      </c>
      <c r="D993" s="1" t="inlineStr">
        <is>
          <t>450x316x8mm</t>
        </is>
      </c>
      <c r="E993" s="1" t="n">
        <v>19.95</v>
      </c>
      <c r="F993" s="1" t="n">
        <v>0</v>
      </c>
      <c r="G993" s="1" t="inlineStr">
        <is>
          <t>SQM</t>
        </is>
      </c>
      <c r="H993" s="1" t="inlineStr">
        <is>
          <t>Ceramic</t>
        </is>
      </c>
      <c r="I993" s="1" t="inlineStr">
        <is>
          <t>Matt</t>
        </is>
      </c>
      <c r="J993" t="inlineStr"/>
      <c r="K993" t="inlineStr"/>
      <c r="L993" t="n">
        <v>196</v>
      </c>
    </row>
    <row r="994">
      <c r="A994" s="1">
        <f>Hyperlink("https://www.wallsandfloors.co.uk/chimera-tiles-marengo-floor-tiles","Product")</f>
        <v/>
      </c>
      <c r="B994" s="1" t="inlineStr">
        <is>
          <t>12397</t>
        </is>
      </c>
      <c r="C994" s="1" t="inlineStr">
        <is>
          <t>Chimera Marengo Grey Stone Effect Floor Tiles</t>
        </is>
      </c>
      <c r="D994" s="1" t="inlineStr">
        <is>
          <t>450x450x9mm</t>
        </is>
      </c>
      <c r="E994" s="1" t="n">
        <v>19.95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Matt</t>
        </is>
      </c>
      <c r="J994" t="inlineStr">
        <is>
          <t>Out of Stock</t>
        </is>
      </c>
      <c r="K994" t="inlineStr">
        <is>
          <t>Out of Stock</t>
        </is>
      </c>
      <c r="L994" t="inlineStr">
        <is>
          <t>Out of Stock</t>
        </is>
      </c>
    </row>
    <row r="995">
      <c r="A995" s="1">
        <f>Hyperlink("https://www.wallsandfloors.co.uk/cheviot-silver-tiles","Product")</f>
        <v/>
      </c>
      <c r="B995" s="1" t="inlineStr">
        <is>
          <t>43058</t>
        </is>
      </c>
      <c r="C995" s="1" t="inlineStr">
        <is>
          <t>Cheviot Silver Textured Wall Tiles</t>
        </is>
      </c>
      <c r="D995" s="1" t="inlineStr">
        <is>
          <t>600x330x10mm</t>
        </is>
      </c>
      <c r="E995" s="1" t="n">
        <v>29.95</v>
      </c>
      <c r="F995" s="1" t="n">
        <v>0</v>
      </c>
      <c r="G995" s="1" t="inlineStr">
        <is>
          <t>SQM</t>
        </is>
      </c>
      <c r="H995" s="1" t="inlineStr">
        <is>
          <t>Ceramic</t>
        </is>
      </c>
      <c r="I995" s="1" t="inlineStr">
        <is>
          <t>Gloss</t>
        </is>
      </c>
      <c r="J995" t="n">
        <v>119</v>
      </c>
      <c r="K995" t="n">
        <v>119</v>
      </c>
      <c r="L995" t="n">
        <v>119</v>
      </c>
    </row>
    <row r="996">
      <c r="A996" s="1">
        <f>Hyperlink("https://www.wallsandfloors.co.uk/cheviot-chalk-tiles","Product")</f>
        <v/>
      </c>
      <c r="B996" s="1" t="inlineStr">
        <is>
          <t>42605</t>
        </is>
      </c>
      <c r="C996" s="1" t="inlineStr">
        <is>
          <t>Cheviot Chalk Textured Wall Tiles</t>
        </is>
      </c>
      <c r="D996" s="1" t="inlineStr">
        <is>
          <t>600x330x10mm</t>
        </is>
      </c>
      <c r="E996" s="1" t="n">
        <v>27.95</v>
      </c>
      <c r="F996" s="1" t="n">
        <v>0</v>
      </c>
      <c r="G996" s="1" t="inlineStr">
        <is>
          <t>SQM</t>
        </is>
      </c>
      <c r="H996" s="1" t="inlineStr">
        <is>
          <t>Ceramic</t>
        </is>
      </c>
      <c r="I996" s="1" t="inlineStr">
        <is>
          <t>Gloss</t>
        </is>
      </c>
      <c r="J996" t="inlineStr"/>
      <c r="K996" t="n">
        <v>94</v>
      </c>
      <c r="L996" t="n">
        <v>94</v>
      </c>
    </row>
    <row r="997">
      <c r="A997" s="1">
        <f>Hyperlink("https://www.wallsandfloors.co.uk/chess-tiles-black-tiles","Product")</f>
        <v/>
      </c>
      <c r="B997" s="1" t="inlineStr">
        <is>
          <t>4809</t>
        </is>
      </c>
      <c r="C997" s="1" t="inlineStr">
        <is>
          <t>Chess Matt Black Tiles</t>
        </is>
      </c>
      <c r="D997" s="1" t="inlineStr">
        <is>
          <t>300x300x5mm</t>
        </is>
      </c>
      <c r="E997" s="1" t="n">
        <v>29.95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Matt</t>
        </is>
      </c>
      <c r="J997" t="inlineStr">
        <is>
          <t>In Stock</t>
        </is>
      </c>
      <c r="K997" t="inlineStr">
        <is>
          <t>In Stock</t>
        </is>
      </c>
      <c r="L997" t="inlineStr">
        <is>
          <t>In Stock</t>
        </is>
      </c>
    </row>
    <row r="998">
      <c r="A998" s="1">
        <f>Hyperlink("https://www.wallsandfloors.co.uk/cherish-tiles-french-bistre-gloss-tiles","Product")</f>
        <v/>
      </c>
      <c r="B998" s="1" t="inlineStr">
        <is>
          <t>13787</t>
        </is>
      </c>
      <c r="C998" s="1" t="inlineStr">
        <is>
          <t>French Bistre Gloss Tiles</t>
        </is>
      </c>
      <c r="D998" s="1" t="inlineStr">
        <is>
          <t>500x250x8mm</t>
        </is>
      </c>
      <c r="E998" s="1" t="n">
        <v>10.95</v>
      </c>
      <c r="F998" s="1" t="n">
        <v>0</v>
      </c>
      <c r="G998" s="1" t="inlineStr">
        <is>
          <t>SQM</t>
        </is>
      </c>
      <c r="H998" s="1" t="inlineStr">
        <is>
          <t>Ceramic</t>
        </is>
      </c>
      <c r="I998" s="1" t="inlineStr">
        <is>
          <t>Gloss</t>
        </is>
      </c>
      <c r="J998" t="n">
        <v>267</v>
      </c>
      <c r="K998" t="n">
        <v>267</v>
      </c>
      <c r="L998" t="n">
        <v>267</v>
      </c>
    </row>
    <row r="999">
      <c r="A999" s="1">
        <f>Hyperlink("https://www.wallsandfloors.co.uk/chelsea-border-tiles-chelsea-white-skirting-angle-tiles","Product")</f>
        <v/>
      </c>
      <c r="B999" s="1" t="inlineStr">
        <is>
          <t>13879</t>
        </is>
      </c>
      <c r="C999" s="1" t="inlineStr">
        <is>
          <t>Chelsea White Skirting Angle Tiles</t>
        </is>
      </c>
      <c r="D999" s="1" t="inlineStr">
        <is>
          <t>100x50x6mm</t>
        </is>
      </c>
      <c r="E999" s="1" t="n">
        <v>12.95</v>
      </c>
      <c r="F999" s="1" t="n">
        <v>0</v>
      </c>
      <c r="G999" s="1" t="inlineStr">
        <is>
          <t>SQM</t>
        </is>
      </c>
      <c r="H999" s="1" t="inlineStr">
        <is>
          <t>Ceramic</t>
        </is>
      </c>
      <c r="I999" s="1" t="inlineStr">
        <is>
          <t>Gloss</t>
        </is>
      </c>
      <c r="J999" t="n">
        <v>1</v>
      </c>
      <c r="K999" t="n">
        <v>1</v>
      </c>
      <c r="L999" t="n">
        <v>1</v>
      </c>
    </row>
    <row r="1000">
      <c r="A1000" s="1">
        <f>Hyperlink("https://www.wallsandfloors.co.uk/chelsea-border-tiles-chelsea-white-cornisa-150x150-tiles","Product")</f>
        <v/>
      </c>
      <c r="B1000" s="1" t="inlineStr">
        <is>
          <t>13868</t>
        </is>
      </c>
      <c r="C1000" s="1" t="inlineStr">
        <is>
          <t>Chelsea White Cornisa Border Tiles</t>
        </is>
      </c>
      <c r="D1000" s="1" t="inlineStr">
        <is>
          <t>150x150x6mm</t>
        </is>
      </c>
      <c r="E1000" s="1" t="n">
        <v>7.95</v>
      </c>
      <c r="F1000" s="1" t="n">
        <v>0</v>
      </c>
      <c r="G1000" s="1" t="inlineStr">
        <is>
          <t>SQM</t>
        </is>
      </c>
      <c r="H1000" s="1" t="inlineStr">
        <is>
          <t>Ceramic</t>
        </is>
      </c>
      <c r="I1000" s="1" t="inlineStr">
        <is>
          <t>Gloss</t>
        </is>
      </c>
      <c r="J1000" t="n">
        <v>11</v>
      </c>
      <c r="K1000" t="inlineStr"/>
      <c r="L1000" t="n">
        <v>11</v>
      </c>
    </row>
    <row r="1001">
      <c r="A1001" s="1">
        <f>Hyperlink("https://www.wallsandfloors.co.uk/chelsea-border-tiles-chelsea-green-plano-150x30-border-tiles","Product")</f>
        <v/>
      </c>
      <c r="B1001" s="1" t="inlineStr">
        <is>
          <t>14220</t>
        </is>
      </c>
      <c r="C1001" s="1" t="inlineStr">
        <is>
          <t>Chelsea Green Plano Border Tiles</t>
        </is>
      </c>
      <c r="D1001" s="1" t="inlineStr">
        <is>
          <t>150x30x6mm</t>
        </is>
      </c>
      <c r="E1001" s="1" t="n">
        <v>2.95</v>
      </c>
      <c r="F1001" s="1" t="n">
        <v>0</v>
      </c>
      <c r="G1001" s="1" t="inlineStr">
        <is>
          <t>SQM</t>
        </is>
      </c>
      <c r="H1001" s="1" t="inlineStr">
        <is>
          <t>Ceramic</t>
        </is>
      </c>
      <c r="I1001" s="1" t="inlineStr">
        <is>
          <t>Gloss</t>
        </is>
      </c>
      <c r="J1001" t="n">
        <v>3</v>
      </c>
      <c r="K1001" t="n">
        <v>3</v>
      </c>
      <c r="L1001" t="n">
        <v>3</v>
      </c>
    </row>
    <row r="1002">
      <c r="A1002" s="1">
        <f>Hyperlink("https://www.wallsandfloors.co.uk/chelsea-border-tiles-chelsea-green-pencil-strip-150x15-border-tiles","Product")</f>
        <v/>
      </c>
      <c r="B1002" s="1" t="inlineStr">
        <is>
          <t>13863</t>
        </is>
      </c>
      <c r="C1002" s="1" t="inlineStr">
        <is>
          <t>Chelsea Green Pencil Strip Border Tiles</t>
        </is>
      </c>
      <c r="D1002" s="1" t="inlineStr">
        <is>
          <t>150x15x6mm</t>
        </is>
      </c>
      <c r="E1002" s="1" t="n">
        <v>2.25</v>
      </c>
      <c r="F1002" s="1" t="n">
        <v>0</v>
      </c>
      <c r="G1002" s="1" t="inlineStr">
        <is>
          <t>SQM</t>
        </is>
      </c>
      <c r="H1002" s="1" t="inlineStr">
        <is>
          <t>Ceramic</t>
        </is>
      </c>
      <c r="I1002" s="1" t="inlineStr">
        <is>
          <t>Gloss</t>
        </is>
      </c>
      <c r="J1002" t="n">
        <v>5</v>
      </c>
      <c r="K1002" t="n">
        <v>5</v>
      </c>
      <c r="L1002" t="n">
        <v>5</v>
      </c>
    </row>
    <row r="1003">
      <c r="A1003" s="1">
        <f>Hyperlink("https://www.wallsandfloors.co.uk/calcario-anthracite-2-slab-tiles","Product")</f>
        <v/>
      </c>
      <c r="B1003" s="1" t="inlineStr">
        <is>
          <t>40259</t>
        </is>
      </c>
      <c r="C1003" s="1" t="inlineStr">
        <is>
          <t>Calcario Anthracite Porcelain Paving Slabs</t>
        </is>
      </c>
      <c r="D1003" s="1" t="inlineStr">
        <is>
          <t>598x598x20mm</t>
        </is>
      </c>
      <c r="E1003" s="1" t="n">
        <v>36.95</v>
      </c>
      <c r="F1003" s="1" t="n">
        <v>0</v>
      </c>
      <c r="G1003" s="1" t="inlineStr">
        <is>
          <t>SQM</t>
        </is>
      </c>
      <c r="H1003" s="1" t="inlineStr">
        <is>
          <t>Porcelain</t>
        </is>
      </c>
      <c r="I1003" s="1" t="inlineStr">
        <is>
          <t>Matt</t>
        </is>
      </c>
      <c r="J1003" t="n">
        <v>715</v>
      </c>
      <c r="K1003" t="n">
        <v>715</v>
      </c>
      <c r="L1003" t="n">
        <v>715</v>
      </c>
    </row>
    <row r="1004">
      <c r="A1004" s="1">
        <f>Hyperlink("https://www.wallsandfloors.co.uk/cable-with-plug-230-50-uk","Product")</f>
        <v/>
      </c>
      <c r="B1004" s="1" t="inlineStr">
        <is>
          <t>27582</t>
        </is>
      </c>
      <c r="C1004" s="1" t="inlineStr">
        <is>
          <t>Cable With Plug 240v</t>
        </is>
      </c>
      <c r="D1004" s="1" t="inlineStr">
        <is>
          <t>1 Size</t>
        </is>
      </c>
      <c r="E1004" s="1" t="n">
        <v>58.95</v>
      </c>
      <c r="F1004" s="1" t="n">
        <v>0</v>
      </c>
      <c r="G1004" s="1" t="inlineStr">
        <is>
          <t>Unit</t>
        </is>
      </c>
      <c r="H1004" s="1" t="inlineStr">
        <is>
          <t>-</t>
        </is>
      </c>
      <c r="I1004" s="1" t="inlineStr">
        <is>
          <t>-</t>
        </is>
      </c>
      <c r="J1004" t="inlineStr">
        <is>
          <t>In Stock</t>
        </is>
      </c>
      <c r="K1004" t="inlineStr">
        <is>
          <t>In Stock</t>
        </is>
      </c>
      <c r="L1004" t="inlineStr">
        <is>
          <t>In Stock</t>
        </is>
      </c>
    </row>
    <row r="1005">
      <c r="A1005" s="1">
        <f>Hyperlink("https://www.wallsandfloors.co.uk/cable-with-plug-110-50-uk-for-dw-nl","Product")</f>
        <v/>
      </c>
      <c r="B1005" s="1" t="inlineStr">
        <is>
          <t>27581</t>
        </is>
      </c>
      <c r="C1005" s="1" t="inlineStr">
        <is>
          <t>Cable With Plug 110V</t>
        </is>
      </c>
      <c r="D1005" s="1" t="inlineStr">
        <is>
          <t>1 Size</t>
        </is>
      </c>
      <c r="E1005" s="1" t="n">
        <v>59.75</v>
      </c>
      <c r="F1005" s="1" t="n">
        <v>0</v>
      </c>
      <c r="G1005" s="1" t="inlineStr">
        <is>
          <t>Unit</t>
        </is>
      </c>
      <c r="H1005" s="1" t="inlineStr">
        <is>
          <t>Tools</t>
        </is>
      </c>
      <c r="I1005" s="1" t="inlineStr">
        <is>
          <t>-</t>
        </is>
      </c>
      <c r="J1005" t="inlineStr">
        <is>
          <t>In Stock</t>
        </is>
      </c>
      <c r="K1005" t="inlineStr">
        <is>
          <t>In Stock</t>
        </is>
      </c>
      <c r="L1005" t="inlineStr">
        <is>
          <t>In Stock</t>
        </is>
      </c>
    </row>
    <row r="1006">
      <c r="A1006" s="1">
        <f>Hyperlink("https://www.wallsandfloors.co.uk/burnt-orange-gloss-tiles","Product")</f>
        <v/>
      </c>
      <c r="B1006" s="1" t="inlineStr">
        <is>
          <t>13681</t>
        </is>
      </c>
      <c r="C1006" s="1" t="inlineStr">
        <is>
          <t>Marvel Gloss Burnt Orange Wall Tiles</t>
        </is>
      </c>
      <c r="D1006" s="1" t="inlineStr">
        <is>
          <t>148x148x6mm</t>
        </is>
      </c>
      <c r="E1006" s="1" t="n">
        <v>23.95</v>
      </c>
      <c r="F1006" s="1" t="n">
        <v>0</v>
      </c>
      <c r="G1006" s="1" t="inlineStr">
        <is>
          <t>SQM</t>
        </is>
      </c>
      <c r="H1006" s="1" t="inlineStr">
        <is>
          <t>Ceramic</t>
        </is>
      </c>
      <c r="I1006" s="1" t="inlineStr">
        <is>
          <t>Gloss</t>
        </is>
      </c>
      <c r="J1006" t="inlineStr">
        <is>
          <t>In Stock</t>
        </is>
      </c>
      <c r="K1006" t="inlineStr">
        <is>
          <t>In Stock</t>
        </is>
      </c>
      <c r="L1006" t="inlineStr">
        <is>
          <t>In Stock</t>
        </is>
      </c>
    </row>
    <row r="1007">
      <c r="A1007" s="1">
        <f>Hyperlink("https://www.wallsandfloors.co.uk/boutique-brick-250-azure-handcrafted-metro-tiles","Product")</f>
        <v/>
      </c>
      <c r="B1007" s="1" t="inlineStr">
        <is>
          <t>34255</t>
        </is>
      </c>
      <c r="C1007" s="1" t="inlineStr">
        <is>
          <t>Azure Handcrafted Metro Tiles</t>
        </is>
      </c>
      <c r="D1007" s="1" t="inlineStr">
        <is>
          <t>250x50x7mm</t>
        </is>
      </c>
      <c r="E1007" s="1" t="n">
        <v>37.95</v>
      </c>
      <c r="F1007" s="1" t="n">
        <v>0</v>
      </c>
      <c r="G1007" s="1" t="inlineStr"/>
      <c r="H1007" s="1" t="inlineStr">
        <is>
          <t>Ceramic</t>
        </is>
      </c>
      <c r="I1007" s="1" t="inlineStr">
        <is>
          <t>Gloss</t>
        </is>
      </c>
      <c r="J1007" t="inlineStr">
        <is>
          <t>In Stock</t>
        </is>
      </c>
      <c r="K1007" t="inlineStr">
        <is>
          <t>In Stock</t>
        </is>
      </c>
      <c r="L1007" t="inlineStr">
        <is>
          <t>In Stock</t>
        </is>
      </c>
    </row>
    <row r="1008">
      <c r="A1008" s="1">
        <f>Hyperlink("https://www.wallsandfloors.co.uk/boutique-brick-150-hazelnut-handcrafted-metro-tiles-34590","Product")</f>
        <v/>
      </c>
      <c r="B1008" s="1" t="inlineStr">
        <is>
          <t>34260</t>
        </is>
      </c>
      <c r="C1008" s="1" t="inlineStr">
        <is>
          <t>Hazelnut Handcrafted Metro Tiles</t>
        </is>
      </c>
      <c r="D1008" s="1" t="inlineStr">
        <is>
          <t>150x75x10mm</t>
        </is>
      </c>
      <c r="E1008" s="1" t="n">
        <v>19.95</v>
      </c>
      <c r="F1008" s="1" t="n">
        <v>0</v>
      </c>
      <c r="G1008" s="1" t="inlineStr">
        <is>
          <t>SQM</t>
        </is>
      </c>
      <c r="H1008" s="1" t="inlineStr">
        <is>
          <t>Ceramic</t>
        </is>
      </c>
      <c r="I1008" s="1" t="inlineStr">
        <is>
          <t>Gloss</t>
        </is>
      </c>
      <c r="J1008" t="n">
        <v>61</v>
      </c>
      <c r="K1008" t="inlineStr"/>
      <c r="L1008" t="n">
        <v>61</v>
      </c>
    </row>
    <row r="1009">
      <c r="A1009" s="1">
        <f>Hyperlink("https://www.wallsandfloors.co.uk/bourgeois-mottlestone-tahitian-vanilla-stone-60x60-polished-tiles","Product")</f>
        <v/>
      </c>
      <c r="B1009" s="1" t="inlineStr">
        <is>
          <t>33476</t>
        </is>
      </c>
      <c r="C1009" s="1" t="inlineStr">
        <is>
          <t>Tahitian Vanilla Stone Polished Tiles</t>
        </is>
      </c>
      <c r="D1009" s="1" t="inlineStr">
        <is>
          <t>600x600x9mm</t>
        </is>
      </c>
      <c r="E1009" s="1" t="n">
        <v>19.95</v>
      </c>
      <c r="F1009" s="1" t="n">
        <v>0</v>
      </c>
      <c r="G1009" s="1" t="inlineStr">
        <is>
          <t>SQM</t>
        </is>
      </c>
      <c r="H1009" s="1" t="inlineStr">
        <is>
          <t>Porcelain</t>
        </is>
      </c>
      <c r="I1009" s="1" t="inlineStr">
        <is>
          <t>Polished</t>
        </is>
      </c>
      <c r="J1009" t="n">
        <v>31</v>
      </c>
      <c r="K1009" t="n">
        <v>31</v>
      </c>
      <c r="L1009" t="n">
        <v>31</v>
      </c>
    </row>
    <row r="1010">
      <c r="A1010" s="1">
        <f>Hyperlink("https://www.wallsandfloors.co.uk/bourgeois-mottlestone-tahitian-vanilla-60x30-matt-tiles","Product")</f>
        <v/>
      </c>
      <c r="B1010" s="1" t="inlineStr">
        <is>
          <t>33471</t>
        </is>
      </c>
      <c r="C1010" s="1" t="inlineStr">
        <is>
          <t>Tahitian Vanilla Stone 60x30 Matt Tiles</t>
        </is>
      </c>
      <c r="D1010" s="1" t="inlineStr">
        <is>
          <t>600x300x9mm</t>
        </is>
      </c>
      <c r="E1010" s="1" t="n">
        <v>24.6</v>
      </c>
      <c r="F1010" s="1" t="n">
        <v>0</v>
      </c>
      <c r="G1010" s="1" t="inlineStr">
        <is>
          <t>SQM</t>
        </is>
      </c>
      <c r="H1010" s="1" t="inlineStr">
        <is>
          <t>Porcelain</t>
        </is>
      </c>
      <c r="I1010" s="1" t="inlineStr">
        <is>
          <t>Polished</t>
        </is>
      </c>
      <c r="J1010" t="inlineStr"/>
      <c r="K1010" t="n">
        <v>31</v>
      </c>
      <c r="L1010" t="n">
        <v>31</v>
      </c>
    </row>
    <row r="1011">
      <c r="A1011" s="1">
        <f>Hyperlink("https://www.wallsandfloors.co.uk/bourgeois-mottlestone-masala-grey-stone-60x60-polished-tiles","Product")</f>
        <v/>
      </c>
      <c r="B1011" s="1" t="inlineStr">
        <is>
          <t>33463</t>
        </is>
      </c>
      <c r="C1011" s="1" t="inlineStr">
        <is>
          <t>Masala Grey Stone Polished Tiles</t>
        </is>
      </c>
      <c r="D1011" s="1" t="inlineStr">
        <is>
          <t>600x600x10mm</t>
        </is>
      </c>
      <c r="E1011" s="1" t="n">
        <v>19.95</v>
      </c>
      <c r="F1011" s="1" t="n">
        <v>0</v>
      </c>
      <c r="G1011" s="1" t="inlineStr">
        <is>
          <t>SQM</t>
        </is>
      </c>
      <c r="H1011" s="1" t="inlineStr">
        <is>
          <t>Porcelain</t>
        </is>
      </c>
      <c r="I1011" s="1" t="inlineStr">
        <is>
          <t>Polished</t>
        </is>
      </c>
      <c r="J1011" t="inlineStr"/>
      <c r="K1011" t="n">
        <v>44</v>
      </c>
      <c r="L1011" t="n">
        <v>44</v>
      </c>
    </row>
    <row r="1012">
      <c r="A1012" s="1">
        <f>Hyperlink("https://www.wallsandfloors.co.uk/bourgeois-mottlestone-masala-grey-stone-60x30-polished-tiles","Product")</f>
        <v/>
      </c>
      <c r="B1012" s="1" t="inlineStr">
        <is>
          <t>33460</t>
        </is>
      </c>
      <c r="C1012" s="1" t="inlineStr">
        <is>
          <t>Bourgeois Grey Stone Polished Tiles</t>
        </is>
      </c>
      <c r="D1012" s="1" t="inlineStr">
        <is>
          <t>600x300x9.75mm</t>
        </is>
      </c>
      <c r="E1012" s="1" t="n">
        <v>24.55</v>
      </c>
      <c r="F1012" s="1" t="n">
        <v>0</v>
      </c>
      <c r="G1012" s="1" t="inlineStr">
        <is>
          <t>SQM</t>
        </is>
      </c>
      <c r="H1012" s="1" t="inlineStr">
        <is>
          <t>Porcelain</t>
        </is>
      </c>
      <c r="I1012" s="1" t="inlineStr">
        <is>
          <t>Polished</t>
        </is>
      </c>
      <c r="J1012" t="n">
        <v>112</v>
      </c>
      <c r="K1012" t="n">
        <v>112</v>
      </c>
      <c r="L1012" t="n">
        <v>112</v>
      </c>
    </row>
    <row r="1013">
      <c r="A1013" s="1">
        <f>Hyperlink("https://www.wallsandfloors.co.uk/bourgeois-mottlestone-lemon-grass-grey-stone-60x30-polished-tiles","Product")</f>
        <v/>
      </c>
      <c r="B1013" s="1" t="inlineStr">
        <is>
          <t>33466</t>
        </is>
      </c>
      <c r="C1013" s="1" t="inlineStr">
        <is>
          <t>Bourgeois Lemon Grass Grey Stone Polished Tiles</t>
        </is>
      </c>
      <c r="D1013" s="1" t="inlineStr">
        <is>
          <t>600x300x10mm</t>
        </is>
      </c>
      <c r="E1013" s="1" t="n">
        <v>27.94</v>
      </c>
      <c r="F1013" s="1" t="n">
        <v>0</v>
      </c>
      <c r="G1013" s="1" t="inlineStr">
        <is>
          <t>SQM</t>
        </is>
      </c>
      <c r="H1013" s="1" t="inlineStr">
        <is>
          <t>Porcelain</t>
        </is>
      </c>
      <c r="I1013" s="1" t="inlineStr">
        <is>
          <t>Polished</t>
        </is>
      </c>
      <c r="J1013" t="inlineStr"/>
      <c r="K1013" t="n">
        <v>125</v>
      </c>
      <c r="L1013" t="n">
        <v>125</v>
      </c>
    </row>
    <row r="1014">
      <c r="A1014" s="1">
        <f>Hyperlink("https://www.wallsandfloors.co.uk/bourgeois-mottlestone-bokora-coal-stone-60x30-polished-tiles","Product")</f>
        <v/>
      </c>
      <c r="B1014" s="1" t="inlineStr">
        <is>
          <t>33452</t>
        </is>
      </c>
      <c r="C1014" s="1" t="inlineStr">
        <is>
          <t>Bourgeois Coal Stone Polished Tiles</t>
        </is>
      </c>
      <c r="D1014" s="1" t="inlineStr">
        <is>
          <t>600x300x9mm</t>
        </is>
      </c>
      <c r="E1014" s="1" t="n">
        <v>27.94</v>
      </c>
      <c r="F1014" s="1" t="n">
        <v>0</v>
      </c>
      <c r="G1014" s="1" t="inlineStr">
        <is>
          <t>SQM</t>
        </is>
      </c>
      <c r="H1014" s="1" t="inlineStr">
        <is>
          <t>Porcelain</t>
        </is>
      </c>
      <c r="I1014" s="1" t="inlineStr">
        <is>
          <t>Polished</t>
        </is>
      </c>
      <c r="J1014" t="n">
        <v>90</v>
      </c>
      <c r="K1014" t="n">
        <v>90</v>
      </c>
      <c r="L1014" t="n">
        <v>90</v>
      </c>
    </row>
    <row r="1015">
      <c r="A1015" s="1">
        <f>Hyperlink("https://www.wallsandfloors.co.uk/bottega-concrete-effect-tiles-heather-matt-porcelain-tiles","Product")</f>
        <v/>
      </c>
      <c r="B1015" s="1" t="inlineStr">
        <is>
          <t>14792</t>
        </is>
      </c>
      <c r="C1015" s="1" t="inlineStr">
        <is>
          <t>Bottega Heather Matt Concrete Effect Tiles</t>
        </is>
      </c>
      <c r="D1015" s="1" t="inlineStr">
        <is>
          <t>600x600x10.5mm</t>
        </is>
      </c>
      <c r="E1015" s="1" t="n">
        <v>17.95</v>
      </c>
      <c r="F1015" s="1" t="n">
        <v>0</v>
      </c>
      <c r="G1015" s="1" t="inlineStr">
        <is>
          <t>SQM</t>
        </is>
      </c>
      <c r="H1015" s="1" t="inlineStr">
        <is>
          <t>Porcelain</t>
        </is>
      </c>
      <c r="I1015" s="1" t="inlineStr">
        <is>
          <t>Matt</t>
        </is>
      </c>
      <c r="J1015" t="inlineStr">
        <is>
          <t>In Stock</t>
        </is>
      </c>
      <c r="K1015" t="inlineStr"/>
      <c r="L1015" t="inlineStr">
        <is>
          <t>In Stock</t>
        </is>
      </c>
    </row>
    <row r="1016">
      <c r="A1016" s="1">
        <f>Hyperlink("https://www.wallsandfloors.co.uk/bottega-concrete-effect-tiles-charcoal-matt-porcelain-tiles","Product")</f>
        <v/>
      </c>
      <c r="B1016" s="1" t="inlineStr">
        <is>
          <t>14790</t>
        </is>
      </c>
      <c r="C1016" s="1" t="inlineStr">
        <is>
          <t>Bottega Charcoal Matt Concrete Effect Tiles</t>
        </is>
      </c>
      <c r="D1016" s="1" t="inlineStr">
        <is>
          <t>600x600x10.5mm</t>
        </is>
      </c>
      <c r="E1016" s="1" t="n">
        <v>17.95</v>
      </c>
      <c r="F1016" s="1" t="n">
        <v>0</v>
      </c>
      <c r="G1016" s="1" t="inlineStr">
        <is>
          <t>SQM</t>
        </is>
      </c>
      <c r="H1016" s="1" t="inlineStr">
        <is>
          <t>Porcelain</t>
        </is>
      </c>
      <c r="I1016" s="1" t="inlineStr">
        <is>
          <t>Matt</t>
        </is>
      </c>
      <c r="J1016" t="n">
        <v>305</v>
      </c>
      <c r="K1016" t="n">
        <v>305</v>
      </c>
      <c r="L1016" t="n">
        <v>305</v>
      </c>
    </row>
    <row r="1017">
      <c r="A1017" s="1">
        <f>Hyperlink("https://www.wallsandfloors.co.uk/botanique-patio-porcelain-diablo-tiles","Product")</f>
        <v/>
      </c>
      <c r="B1017" s="1" t="inlineStr">
        <is>
          <t>40226</t>
        </is>
      </c>
      <c r="C1017" s="1" t="inlineStr">
        <is>
          <t>Botanique Diablo Porcelain Paving Slabs</t>
        </is>
      </c>
      <c r="D1017" s="1" t="inlineStr">
        <is>
          <t>600x600x20mm</t>
        </is>
      </c>
      <c r="E1017" s="1" t="n">
        <v>34.95</v>
      </c>
      <c r="F1017" s="1" t="n">
        <v>0</v>
      </c>
      <c r="G1017" s="1" t="inlineStr">
        <is>
          <t>SQM</t>
        </is>
      </c>
      <c r="H1017" s="1" t="inlineStr">
        <is>
          <t>Porcelain</t>
        </is>
      </c>
      <c r="I1017" s="1" t="inlineStr">
        <is>
          <t>Matt</t>
        </is>
      </c>
      <c r="J1017" t="inlineStr"/>
      <c r="K1017" t="inlineStr">
        <is>
          <t>Out of Stock</t>
        </is>
      </c>
      <c r="L1017" t="inlineStr">
        <is>
          <t>Out of Stock</t>
        </is>
      </c>
    </row>
    <row r="1018">
      <c r="A1018" s="1">
        <f>Hyperlink("https://www.wallsandfloors.co.uk/botanique-patio-porcelain-brunia-tiles","Product")</f>
        <v/>
      </c>
      <c r="B1018" s="1" t="inlineStr">
        <is>
          <t>40227</t>
        </is>
      </c>
      <c r="C1018" s="1" t="inlineStr">
        <is>
          <t>Botanique Brunia Porcelain Paving Slabs</t>
        </is>
      </c>
      <c r="D1018" s="1" t="inlineStr">
        <is>
          <t>600x600x20mm</t>
        </is>
      </c>
      <c r="E1018" s="1" t="n">
        <v>28.95</v>
      </c>
      <c r="F1018" s="1" t="n">
        <v>0</v>
      </c>
      <c r="G1018" s="1" t="inlineStr">
        <is>
          <t>SQM</t>
        </is>
      </c>
      <c r="H1018" s="1" t="inlineStr">
        <is>
          <t>Porcelain</t>
        </is>
      </c>
      <c r="I1018" s="1" t="inlineStr">
        <is>
          <t>Matt</t>
        </is>
      </c>
      <c r="J1018" t="n">
        <v>1694</v>
      </c>
      <c r="K1018" t="n">
        <v>1694</v>
      </c>
      <c r="L1018" t="n">
        <v>1694</v>
      </c>
    </row>
    <row r="1019">
      <c r="A1019" s="1">
        <f>Hyperlink("https://www.wallsandfloors.co.uk/boston-garden-wood-effect-tiles-hickory-wood-parquet-tiles","Product")</f>
        <v/>
      </c>
      <c r="B1019" s="1" t="inlineStr">
        <is>
          <t>15328</t>
        </is>
      </c>
      <c r="C1019" s="1" t="inlineStr">
        <is>
          <t>Hickory Wood Parquet Tiles</t>
        </is>
      </c>
      <c r="D1019" s="1" t="inlineStr">
        <is>
          <t>450x450x8mm</t>
        </is>
      </c>
      <c r="E1019" s="1" t="n">
        <v>10.85</v>
      </c>
      <c r="F1019" s="1" t="n">
        <v>0</v>
      </c>
      <c r="G1019" s="1" t="inlineStr">
        <is>
          <t>SQM</t>
        </is>
      </c>
      <c r="H1019" s="1" t="inlineStr">
        <is>
          <t>Ceramic</t>
        </is>
      </c>
      <c r="I1019" s="1" t="inlineStr">
        <is>
          <t>Matt</t>
        </is>
      </c>
      <c r="J1019" t="inlineStr">
        <is>
          <t>Out of Stock</t>
        </is>
      </c>
      <c r="K1019" t="inlineStr">
        <is>
          <t>Out of Stock</t>
        </is>
      </c>
      <c r="L1019" t="inlineStr">
        <is>
          <t>Out of Stock</t>
        </is>
      </c>
    </row>
    <row r="1020">
      <c r="A1020" s="1">
        <f>Hyperlink("https://www.wallsandfloors.co.uk/boston-garden-wood-effect-tiles-aspen-wood-parquet-tiles","Product")</f>
        <v/>
      </c>
      <c r="B1020" s="1" t="inlineStr">
        <is>
          <t>15327</t>
        </is>
      </c>
      <c r="C1020" s="1" t="inlineStr">
        <is>
          <t>Aspen Wood Parquet Tiles</t>
        </is>
      </c>
      <c r="D1020" s="1" t="inlineStr">
        <is>
          <t>450x450x8mm</t>
        </is>
      </c>
      <c r="E1020" s="1" t="n">
        <v>9.85</v>
      </c>
      <c r="F1020" s="1" t="n">
        <v>0</v>
      </c>
      <c r="G1020" s="1" t="inlineStr">
        <is>
          <t>SQM</t>
        </is>
      </c>
      <c r="H1020" s="1" t="inlineStr">
        <is>
          <t>Ceramic</t>
        </is>
      </c>
      <c r="I1020" s="1" t="inlineStr">
        <is>
          <t>Matt</t>
        </is>
      </c>
      <c r="J1020" t="inlineStr"/>
      <c r="K1020" t="inlineStr"/>
      <c r="L1020" t="n">
        <v>149</v>
      </c>
    </row>
    <row r="1021">
      <c r="A1021" s="1">
        <f>Hyperlink("https://www.wallsandfloors.co.uk/boketto-peace-marble-effect-tiles","Product")</f>
        <v/>
      </c>
      <c r="B1021" s="1" t="inlineStr">
        <is>
          <t>40280</t>
        </is>
      </c>
      <c r="C1021" s="1" t="inlineStr">
        <is>
          <t>Boketto Peace Marble Effect Tiles</t>
        </is>
      </c>
      <c r="D1021" s="1" t="inlineStr">
        <is>
          <t>750x750x11mm</t>
        </is>
      </c>
      <c r="E1021" s="1" t="n">
        <v>17.65</v>
      </c>
      <c r="F1021" s="1" t="n">
        <v>0</v>
      </c>
      <c r="G1021" s="1" t="inlineStr">
        <is>
          <t>SQM</t>
        </is>
      </c>
      <c r="H1021" s="1" t="inlineStr">
        <is>
          <t>Porcelain</t>
        </is>
      </c>
      <c r="I1021" s="1" t="inlineStr">
        <is>
          <t>Gloss</t>
        </is>
      </c>
      <c r="J1021" t="n">
        <v>63</v>
      </c>
      <c r="K1021" t="inlineStr"/>
      <c r="L1021" t="n">
        <v>63</v>
      </c>
    </row>
    <row r="1022">
      <c r="A1022" s="1">
        <f>Hyperlink("https://www.wallsandfloors.co.uk/bococa-paintwash-wood-effect-tiles-white-wash-waterfall-wood-tiles","Product")</f>
        <v/>
      </c>
      <c r="B1022" s="1" t="inlineStr">
        <is>
          <t>15651</t>
        </is>
      </c>
      <c r="C1022" s="1" t="inlineStr">
        <is>
          <t>BoCoCa White Wash Waterfall Wood Tiles</t>
        </is>
      </c>
      <c r="D1022" s="1" t="inlineStr">
        <is>
          <t>625x320x9mm</t>
        </is>
      </c>
      <c r="E1022" s="1" t="n">
        <v>40.95</v>
      </c>
      <c r="F1022" s="1" t="n">
        <v>0</v>
      </c>
      <c r="G1022" s="1" t="inlineStr">
        <is>
          <t>SQM</t>
        </is>
      </c>
      <c r="H1022" s="1" t="inlineStr">
        <is>
          <t>Porcelain</t>
        </is>
      </c>
      <c r="I1022" s="1" t="inlineStr">
        <is>
          <t>Matt</t>
        </is>
      </c>
      <c r="J1022" t="inlineStr"/>
      <c r="K1022" t="inlineStr">
        <is>
          <t>In Stock</t>
        </is>
      </c>
      <c r="L1022" t="inlineStr">
        <is>
          <t>In Stock</t>
        </is>
      </c>
    </row>
    <row r="1023">
      <c r="A1023" s="1">
        <f>Hyperlink("https://www.wallsandfloors.co.uk/bococa-paintwash-wood-effect-tiles-white-wash-chevron-wood-tiles","Product")</f>
        <v/>
      </c>
      <c r="B1023" s="1" t="inlineStr">
        <is>
          <t>15652</t>
        </is>
      </c>
      <c r="C1023" s="1" t="inlineStr">
        <is>
          <t>BoCoCa White Wash Chevron Wood Tiles</t>
        </is>
      </c>
      <c r="D1023" s="1" t="inlineStr">
        <is>
          <t>900x450x9mm</t>
        </is>
      </c>
      <c r="E1023" s="1" t="n">
        <v>40.95</v>
      </c>
      <c r="F1023" s="1" t="n">
        <v>0</v>
      </c>
      <c r="G1023" s="1" t="inlineStr">
        <is>
          <t>SQM</t>
        </is>
      </c>
      <c r="H1023" s="1" t="inlineStr">
        <is>
          <t>Porcelain</t>
        </is>
      </c>
      <c r="I1023" s="1" t="inlineStr">
        <is>
          <t>Matt</t>
        </is>
      </c>
      <c r="J1023" t="n">
        <v>202</v>
      </c>
      <c r="K1023" t="inlineStr"/>
      <c r="L1023" t="n">
        <v>202</v>
      </c>
    </row>
    <row r="1024">
      <c r="A1024" s="1">
        <f>Hyperlink("https://www.wallsandfloors.co.uk/bococa-paintwash-wood-effect-tiles-white-wash-90x15-wood-tiles","Product")</f>
        <v/>
      </c>
      <c r="B1024" s="1" t="inlineStr">
        <is>
          <t>15650</t>
        </is>
      </c>
      <c r="C1024" s="1" t="inlineStr">
        <is>
          <t>BoCoCa White Wash Wood Effect Tiles</t>
        </is>
      </c>
      <c r="D1024" s="1" t="inlineStr">
        <is>
          <t>900x150x9mm</t>
        </is>
      </c>
      <c r="E1024" s="1" t="n">
        <v>40.95</v>
      </c>
      <c r="F1024" s="1" t="n">
        <v>0</v>
      </c>
      <c r="G1024" s="1" t="inlineStr">
        <is>
          <t>SQM</t>
        </is>
      </c>
      <c r="H1024" s="1" t="inlineStr">
        <is>
          <t>Porcelain</t>
        </is>
      </c>
      <c r="I1024" s="1" t="inlineStr">
        <is>
          <t>Matt</t>
        </is>
      </c>
      <c r="J1024" t="n">
        <v>83</v>
      </c>
      <c r="K1024" t="n">
        <v>83</v>
      </c>
      <c r="L1024" t="n">
        <v>161</v>
      </c>
    </row>
    <row r="1025">
      <c r="A1025" s="1">
        <f>Hyperlink("https://www.wallsandfloors.co.uk/bococa-paintwash-wood-effect-tiles-urban-mix-chevron-wood-tiles","Product")</f>
        <v/>
      </c>
      <c r="B1025" s="1" t="inlineStr">
        <is>
          <t>15659</t>
        </is>
      </c>
      <c r="C1025" s="1" t="inlineStr">
        <is>
          <t>BoCoCa Urban Mix Chevron Wood Tiles</t>
        </is>
      </c>
      <c r="D1025" s="1" t="inlineStr">
        <is>
          <t>900x450x9mm</t>
        </is>
      </c>
      <c r="E1025" s="1" t="n">
        <v>40.95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inlineStr"/>
      <c r="K1025" t="n">
        <v>57</v>
      </c>
      <c r="L1025" t="n">
        <v>57</v>
      </c>
    </row>
    <row r="1026">
      <c r="A1026" s="1">
        <f>Hyperlink("https://www.wallsandfloors.co.uk/bococa-paintwash-wood-effect-tiles-grey-tempera-chevron-wood-tiles","Product")</f>
        <v/>
      </c>
      <c r="B1026" s="1" t="inlineStr">
        <is>
          <t>15655</t>
        </is>
      </c>
      <c r="C1026" s="1" t="inlineStr">
        <is>
          <t>BoCoCa Grey Tempera Chevron Wood Tiles</t>
        </is>
      </c>
      <c r="D1026" s="1" t="inlineStr">
        <is>
          <t>900x450x9mm</t>
        </is>
      </c>
      <c r="E1026" s="1" t="n">
        <v>40.95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n">
        <v>100</v>
      </c>
      <c r="K1026" t="n">
        <v>100</v>
      </c>
      <c r="L1026" t="n">
        <v>100</v>
      </c>
    </row>
    <row r="1027">
      <c r="A1027" s="1">
        <f>Hyperlink("https://www.wallsandfloors.co.uk/bococa-paintwash-wood-effect-tiles-grey-tempera-90x15-wood-tiles","Product")</f>
        <v/>
      </c>
      <c r="B1027" s="1" t="inlineStr">
        <is>
          <t>15653</t>
        </is>
      </c>
      <c r="C1027" s="1" t="inlineStr">
        <is>
          <t>BoCoCa Grey Tempera Wood Tiles</t>
        </is>
      </c>
      <c r="D1027" s="1" t="inlineStr">
        <is>
          <t>900x150x9mm</t>
        </is>
      </c>
      <c r="E1027" s="1" t="n">
        <v>40.95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inlineStr"/>
      <c r="K1027" t="n">
        <v>194</v>
      </c>
      <c r="L1027" t="n">
        <v>194</v>
      </c>
    </row>
    <row r="1028">
      <c r="A1028" s="1">
        <f>Hyperlink("https://www.wallsandfloors.co.uk/bococa-paintwash-wood-effect-tiles-caramel-varnished-chevron-wood-tiles","Product")</f>
        <v/>
      </c>
      <c r="B1028" s="1" t="inlineStr">
        <is>
          <t>15658</t>
        </is>
      </c>
      <c r="C1028" s="1" t="inlineStr">
        <is>
          <t>BoCoCa Caramel Varnish Chevron Wood Tiles</t>
        </is>
      </c>
      <c r="D1028" s="1" t="inlineStr">
        <is>
          <t>900x450x9mm</t>
        </is>
      </c>
      <c r="E1028" s="1" t="n">
        <v>40.95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n">
        <v>426</v>
      </c>
      <c r="K1028" t="inlineStr"/>
      <c r="L1028" t="n">
        <v>426</v>
      </c>
    </row>
    <row r="1029">
      <c r="A1029" s="1">
        <f>Hyperlink("https://www.wallsandfloors.co.uk/bococa-paintwash-wood-effect-tiles-caramel-varnished-90x15-wood-tiles","Product")</f>
        <v/>
      </c>
      <c r="B1029" s="1" t="inlineStr">
        <is>
          <t>15656</t>
        </is>
      </c>
      <c r="C1029" s="1" t="inlineStr">
        <is>
          <t>BoCoCa Caramel Varnish Wood Tiles</t>
        </is>
      </c>
      <c r="D1029" s="1" t="inlineStr">
        <is>
          <t>900x150x9mm</t>
        </is>
      </c>
      <c r="E1029" s="1" t="n">
        <v>40.95</v>
      </c>
      <c r="F1029" s="1" t="n">
        <v>0</v>
      </c>
      <c r="G1029" s="1" t="inlineStr">
        <is>
          <t>SQM</t>
        </is>
      </c>
      <c r="H1029" s="1" t="inlineStr">
        <is>
          <t>Porcelain</t>
        </is>
      </c>
      <c r="I1029" s="1" t="inlineStr">
        <is>
          <t>Matt</t>
        </is>
      </c>
      <c r="J1029" t="n">
        <v>86</v>
      </c>
      <c r="K1029" t="n">
        <v>86</v>
      </c>
      <c r="L1029" t="n">
        <v>86</v>
      </c>
    </row>
    <row r="1030">
      <c r="A1030" s="1">
        <f>Hyperlink("https://www.wallsandfloors.co.uk/boutique-brick-250-cotton-handcrafted-metro-tiles","Product")</f>
        <v/>
      </c>
      <c r="B1030" s="1" t="inlineStr">
        <is>
          <t>34268</t>
        </is>
      </c>
      <c r="C1030" s="1" t="inlineStr">
        <is>
          <t>Cotton Handcrafted Metro Tiles</t>
        </is>
      </c>
      <c r="D1030" s="1" t="inlineStr">
        <is>
          <t>250x50x9mm</t>
        </is>
      </c>
      <c r="E1030" s="1" t="n">
        <v>37.95</v>
      </c>
      <c r="F1030" s="1" t="n">
        <v>0</v>
      </c>
      <c r="G1030" s="1" t="inlineStr">
        <is>
          <t>SQM</t>
        </is>
      </c>
      <c r="H1030" s="1" t="inlineStr">
        <is>
          <t>Ceramic</t>
        </is>
      </c>
      <c r="I1030" s="1" t="inlineStr">
        <is>
          <t>Gloss</t>
        </is>
      </c>
      <c r="J1030" t="inlineStr"/>
      <c r="K1030" t="n">
        <v>62</v>
      </c>
      <c r="L1030" t="n">
        <v>62</v>
      </c>
    </row>
    <row r="1031">
      <c r="A1031" s="1">
        <f>Hyperlink("https://www.wallsandfloors.co.uk/coast-tiles-vanilla-beach-60x30-tiles","Product")</f>
        <v/>
      </c>
      <c r="B1031" s="1" t="inlineStr">
        <is>
          <t>14318</t>
        </is>
      </c>
      <c r="C1031" s="1" t="inlineStr">
        <is>
          <t>Coast Vanilla Beach Stone Effect Tiles</t>
        </is>
      </c>
      <c r="D1031" s="1" t="inlineStr">
        <is>
          <t>613x303x7mm</t>
        </is>
      </c>
      <c r="E1031" s="1" t="n">
        <v>17.95</v>
      </c>
      <c r="F1031" s="1" t="n">
        <v>0</v>
      </c>
      <c r="G1031" s="1" t="inlineStr">
        <is>
          <t>SQM</t>
        </is>
      </c>
      <c r="H1031" s="1" t="inlineStr">
        <is>
          <t>Porcelain</t>
        </is>
      </c>
      <c r="I1031" s="1" t="inlineStr">
        <is>
          <t>Matt</t>
        </is>
      </c>
      <c r="J1031" t="n">
        <v>244</v>
      </c>
      <c r="K1031" t="n">
        <v>244</v>
      </c>
      <c r="L1031" t="n">
        <v>253</v>
      </c>
    </row>
    <row r="1032">
      <c r="A1032" s="1">
        <f>Hyperlink("https://www.wallsandfloors.co.uk/boutique-brick-250-moss-handcrafted-metro-tiles","Product")</f>
        <v/>
      </c>
      <c r="B1032" s="1" t="inlineStr">
        <is>
          <t>34267</t>
        </is>
      </c>
      <c r="C1032" s="1" t="inlineStr">
        <is>
          <t>Moss Handcrafted Metro Tiles</t>
        </is>
      </c>
      <c r="D1032" s="1" t="inlineStr">
        <is>
          <t>250x50x7mm</t>
        </is>
      </c>
      <c r="E1032" s="1" t="n">
        <v>37.95</v>
      </c>
      <c r="F1032" s="1" t="n">
        <v>0</v>
      </c>
      <c r="G1032" s="1" t="inlineStr">
        <is>
          <t>SQM</t>
        </is>
      </c>
      <c r="H1032" s="1" t="inlineStr">
        <is>
          <t>Ceramic</t>
        </is>
      </c>
      <c r="I1032" s="1" t="inlineStr">
        <is>
          <t>Gloss</t>
        </is>
      </c>
      <c r="J1032" t="inlineStr"/>
      <c r="K1032" t="inlineStr"/>
      <c r="L1032" t="n">
        <v>137</v>
      </c>
    </row>
    <row r="1033">
      <c r="A1033" s="1">
        <f>Hyperlink("https://www.wallsandfloors.co.uk/boutique-brick-250-stone-handcrafted-metro-tiles","Product")</f>
        <v/>
      </c>
      <c r="B1033" s="1" t="inlineStr">
        <is>
          <t>34262</t>
        </is>
      </c>
      <c r="C1033" s="1" t="inlineStr">
        <is>
          <t>Stone Handcrafted Metro Tiles</t>
        </is>
      </c>
      <c r="D1033" s="1" t="inlineStr">
        <is>
          <t>250x50x7mm</t>
        </is>
      </c>
      <c r="E1033" s="1" t="n">
        <v>37.95</v>
      </c>
      <c r="F1033" s="1" t="n">
        <v>0</v>
      </c>
      <c r="G1033" s="1" t="inlineStr">
        <is>
          <t>SQM</t>
        </is>
      </c>
      <c r="H1033" s="1" t="inlineStr">
        <is>
          <t>Ceramic</t>
        </is>
      </c>
      <c r="I1033" s="1" t="inlineStr">
        <is>
          <t>Gloss</t>
        </is>
      </c>
      <c r="J1033" t="inlineStr">
        <is>
          <t>In Stock</t>
        </is>
      </c>
      <c r="K1033" t="inlineStr"/>
      <c r="L1033" t="inlineStr">
        <is>
          <t>In Stock</t>
        </is>
      </c>
    </row>
    <row r="1034">
      <c r="A1034" s="1">
        <f>Hyperlink("https://www.wallsandfloors.co.uk/burghal-stone-effect-tiles-burghal-smoke-tiles","Product")</f>
        <v/>
      </c>
      <c r="B1034" s="1" t="inlineStr">
        <is>
          <t>14249</t>
        </is>
      </c>
      <c r="C1034" s="1" t="inlineStr">
        <is>
          <t>Burghal Smoke Stone Effect Tiles</t>
        </is>
      </c>
      <c r="D1034" s="1" t="inlineStr">
        <is>
          <t>600x300x9mm</t>
        </is>
      </c>
      <c r="E1034" s="1" t="n">
        <v>20.95</v>
      </c>
      <c r="F1034" s="1" t="n">
        <v>0</v>
      </c>
      <c r="G1034" s="1" t="inlineStr">
        <is>
          <t>SQM</t>
        </is>
      </c>
      <c r="H1034" s="1" t="inlineStr">
        <is>
          <t>Porcelain</t>
        </is>
      </c>
      <c r="I1034" s="1" t="inlineStr">
        <is>
          <t>Matt</t>
        </is>
      </c>
      <c r="J1034" t="inlineStr"/>
      <c r="K1034" t="n">
        <v>139</v>
      </c>
      <c r="L1034" t="n">
        <v>139</v>
      </c>
    </row>
    <row r="1035">
      <c r="A1035" s="1">
        <f>Hyperlink("https://www.wallsandfloors.co.uk/burghal-stone-effect-tiles-burghal-grey-tiles","Product")</f>
        <v/>
      </c>
      <c r="B1035" s="1" t="inlineStr">
        <is>
          <t>12796</t>
        </is>
      </c>
      <c r="C1035" s="1" t="inlineStr">
        <is>
          <t>Burghal Grey Stone Effect Tiles</t>
        </is>
      </c>
      <c r="D1035" s="1" t="inlineStr">
        <is>
          <t>600x300x8mm</t>
        </is>
      </c>
      <c r="E1035" s="1" t="n">
        <v>20.95</v>
      </c>
      <c r="F1035" s="1" t="n">
        <v>0</v>
      </c>
      <c r="G1035" s="1" t="inlineStr">
        <is>
          <t>SQM</t>
        </is>
      </c>
      <c r="H1035" s="1" t="inlineStr">
        <is>
          <t>Porcelain</t>
        </is>
      </c>
      <c r="I1035" s="1" t="inlineStr">
        <is>
          <t>Matt</t>
        </is>
      </c>
      <c r="J1035" t="inlineStr"/>
      <c r="K1035" t="inlineStr"/>
      <c r="L1035" t="n">
        <v>83</v>
      </c>
    </row>
    <row r="1036">
      <c r="A1036" s="1">
        <f>Hyperlink("https://www.wallsandfloors.co.uk/burghal-stone-effect-tiles-burghal-dark-grey-tiles","Product")</f>
        <v/>
      </c>
      <c r="B1036" s="1" t="inlineStr">
        <is>
          <t>14250</t>
        </is>
      </c>
      <c r="C1036" s="1" t="inlineStr">
        <is>
          <t>Burghal Dark Grey Stone Effect Tiles</t>
        </is>
      </c>
      <c r="D1036" s="1" t="inlineStr">
        <is>
          <t>600x300x9mm</t>
        </is>
      </c>
      <c r="E1036" s="1" t="n">
        <v>20.95</v>
      </c>
      <c r="F1036" s="1" t="n">
        <v>0</v>
      </c>
      <c r="G1036" s="1" t="inlineStr">
        <is>
          <t>SQM</t>
        </is>
      </c>
      <c r="H1036" s="1" t="inlineStr">
        <is>
          <t>Porcelain</t>
        </is>
      </c>
      <c r="I1036" s="1" t="inlineStr">
        <is>
          <t>Matt</t>
        </is>
      </c>
      <c r="J1036" t="inlineStr">
        <is>
          <t>In Stock</t>
        </is>
      </c>
      <c r="K1036" t="inlineStr"/>
      <c r="L1036" t="inlineStr">
        <is>
          <t>In Stock</t>
        </is>
      </c>
    </row>
    <row r="1037">
      <c r="A1037" s="1">
        <f>Hyperlink("https://www.wallsandfloors.co.uk/burghal-stone-effect-tiles-burghal-cloud-tiles","Product")</f>
        <v/>
      </c>
      <c r="B1037" s="1" t="inlineStr">
        <is>
          <t>13071</t>
        </is>
      </c>
      <c r="C1037" s="1" t="inlineStr">
        <is>
          <t>Burghal Cloud Stone Effect Tiles</t>
        </is>
      </c>
      <c r="D1037" s="1" t="inlineStr">
        <is>
          <t>600x300x9mm</t>
        </is>
      </c>
      <c r="E1037" s="1" t="n">
        <v>20.95</v>
      </c>
      <c r="F1037" s="1" t="n">
        <v>0</v>
      </c>
      <c r="G1037" s="1" t="inlineStr">
        <is>
          <t>SQM</t>
        </is>
      </c>
      <c r="H1037" s="1" t="inlineStr">
        <is>
          <t>Porcelain</t>
        </is>
      </c>
      <c r="I1037" s="1" t="inlineStr">
        <is>
          <t>Matt</t>
        </is>
      </c>
      <c r="J1037" t="n">
        <v>357</v>
      </c>
      <c r="K1037" t="n">
        <v>357</v>
      </c>
      <c r="L1037" t="n">
        <v>357</v>
      </c>
    </row>
    <row r="1038">
      <c r="A1038" s="1">
        <f>Hyperlink("https://www.wallsandfloors.co.uk/brushed-black-slate","Product")</f>
        <v/>
      </c>
      <c r="B1038" s="1" t="inlineStr">
        <is>
          <t>44273</t>
        </is>
      </c>
      <c r="C1038" s="1" t="inlineStr">
        <is>
          <t>Mahal Black Brushed Slate Tiles</t>
        </is>
      </c>
      <c r="D1038" s="1" t="inlineStr">
        <is>
          <t>600x300x8-12mm</t>
        </is>
      </c>
      <c r="E1038" s="1" t="n">
        <v>34.95</v>
      </c>
      <c r="F1038" s="1" t="n">
        <v>0</v>
      </c>
      <c r="G1038" s="1" t="inlineStr">
        <is>
          <t>SQM</t>
        </is>
      </c>
      <c r="H1038" s="1" t="inlineStr">
        <is>
          <t>Slate</t>
        </is>
      </c>
      <c r="I1038" s="1" t="inlineStr">
        <is>
          <t>-</t>
        </is>
      </c>
      <c r="J1038" t="n">
        <v>149</v>
      </c>
      <c r="K1038" t="inlineStr"/>
      <c r="L1038" t="n">
        <v>149</v>
      </c>
    </row>
    <row r="1039">
      <c r="A1039" s="1">
        <f>Hyperlink("https://www.wallsandfloors.co.uk/brown-triangle-35x35x50mm-tiles","Product")</f>
        <v/>
      </c>
      <c r="B1039" s="1" t="inlineStr">
        <is>
          <t>990140</t>
        </is>
      </c>
      <c r="C1039" s="1" t="inlineStr">
        <is>
          <t>Brown Triangle 35x35x50mm Tiles</t>
        </is>
      </c>
      <c r="D1039" s="1" t="inlineStr">
        <is>
          <t>35x35x50mm</t>
        </is>
      </c>
      <c r="E1039" s="1" t="n">
        <v>1.13</v>
      </c>
      <c r="F1039" s="1" t="n">
        <v>0</v>
      </c>
      <c r="G1039" s="1" t="inlineStr">
        <is>
          <t>SQM</t>
        </is>
      </c>
      <c r="H1039" s="1" t="inlineStr">
        <is>
          <t>Porcelain</t>
        </is>
      </c>
      <c r="I1039" s="1" t="inlineStr">
        <is>
          <t>Matt</t>
        </is>
      </c>
      <c r="J1039" t="n">
        <v>498</v>
      </c>
      <c r="K1039" t="n">
        <v>498</v>
      </c>
      <c r="L1039" t="n">
        <v>498</v>
      </c>
    </row>
    <row r="1040">
      <c r="A1040" s="1">
        <f>Hyperlink("https://www.wallsandfloors.co.uk/brown-octagon-100mm-tiles","Product")</f>
        <v/>
      </c>
      <c r="B1040" s="1" t="inlineStr">
        <is>
          <t>990298</t>
        </is>
      </c>
      <c r="C1040" s="1" t="inlineStr">
        <is>
          <t>Brown Octagon 100mm Tiles</t>
        </is>
      </c>
      <c r="D1040" s="1" t="inlineStr">
        <is>
          <t>100x100x9-10mm</t>
        </is>
      </c>
      <c r="E1040" s="1" t="n">
        <v>1.31</v>
      </c>
      <c r="F1040" s="1" t="n">
        <v>0</v>
      </c>
      <c r="G1040" s="1" t="inlineStr">
        <is>
          <t>SQM</t>
        </is>
      </c>
      <c r="H1040" s="1" t="inlineStr">
        <is>
          <t>Porcelain</t>
        </is>
      </c>
      <c r="I1040" s="1" t="inlineStr">
        <is>
          <t>Matt</t>
        </is>
      </c>
      <c r="J1040" t="n">
        <v>698</v>
      </c>
      <c r="K1040" t="n">
        <v>698</v>
      </c>
      <c r="L1040" t="n">
        <v>698</v>
      </c>
    </row>
    <row r="1041">
      <c r="A1041" s="1">
        <f>Hyperlink("https://www.wallsandfloors.co.uk/brixton-taupe-oblique-tiles","Product")</f>
        <v/>
      </c>
      <c r="B1041" s="1" t="inlineStr">
        <is>
          <t>39098</t>
        </is>
      </c>
      <c r="C1041" s="1" t="inlineStr">
        <is>
          <t>Brixton Taupe Oblique Tiles</t>
        </is>
      </c>
      <c r="D1041" s="1" t="inlineStr">
        <is>
          <t>500x250x7.4mm</t>
        </is>
      </c>
      <c r="E1041" s="1" t="n">
        <v>11.95</v>
      </c>
      <c r="F1041" s="1" t="n">
        <v>0</v>
      </c>
      <c r="G1041" s="1" t="inlineStr">
        <is>
          <t>SQM</t>
        </is>
      </c>
      <c r="H1041" s="1" t="inlineStr">
        <is>
          <t>Ceramic</t>
        </is>
      </c>
      <c r="I1041" s="1" t="inlineStr">
        <is>
          <t>Matt</t>
        </is>
      </c>
      <c r="J1041" t="n">
        <v>73</v>
      </c>
      <c r="K1041" t="n">
        <v>73</v>
      </c>
      <c r="L1041" t="n">
        <v>73</v>
      </c>
    </row>
    <row r="1042">
      <c r="A1042" s="1">
        <f>Hyperlink("https://www.wallsandfloors.co.uk/brixton-taupe-50x25-tiles","Product")</f>
        <v/>
      </c>
      <c r="B1042" s="1" t="inlineStr">
        <is>
          <t>39056</t>
        </is>
      </c>
      <c r="C1042" s="1" t="inlineStr">
        <is>
          <t>Brixton Taupe 50x25 Tiles</t>
        </is>
      </c>
      <c r="D1042" s="1" t="inlineStr">
        <is>
          <t>500x250x7.4mm</t>
        </is>
      </c>
      <c r="E1042" s="1" t="n">
        <v>11.95</v>
      </c>
      <c r="F1042" s="1" t="n">
        <v>0</v>
      </c>
      <c r="G1042" s="1" t="inlineStr">
        <is>
          <t>SQM</t>
        </is>
      </c>
      <c r="H1042" s="1" t="inlineStr">
        <is>
          <t>Ceramic</t>
        </is>
      </c>
      <c r="I1042" s="1" t="inlineStr">
        <is>
          <t>Matt</t>
        </is>
      </c>
      <c r="J1042" t="inlineStr"/>
      <c r="K1042" t="n">
        <v>112</v>
      </c>
      <c r="L1042" t="n">
        <v>112</v>
      </c>
    </row>
    <row r="1043">
      <c r="A1043" s="1">
        <f>Hyperlink("https://www.wallsandfloors.co.uk/brixton-taupe-45x45-tiles","Product")</f>
        <v/>
      </c>
      <c r="B1043" s="1" t="inlineStr">
        <is>
          <t>39097</t>
        </is>
      </c>
      <c r="C1043" s="1" t="inlineStr">
        <is>
          <t>Brixton Taupe Tiles</t>
        </is>
      </c>
      <c r="D1043" s="1" t="inlineStr">
        <is>
          <t>450x450x8.5mm</t>
        </is>
      </c>
      <c r="E1043" s="1" t="n">
        <v>11.95</v>
      </c>
      <c r="F1043" s="1" t="n">
        <v>0</v>
      </c>
      <c r="G1043" s="1" t="inlineStr">
        <is>
          <t>SQM</t>
        </is>
      </c>
      <c r="H1043" s="1" t="inlineStr">
        <is>
          <t>Ceramic</t>
        </is>
      </c>
      <c r="I1043" s="1" t="inlineStr">
        <is>
          <t>Matt</t>
        </is>
      </c>
      <c r="J1043" t="n">
        <v>182</v>
      </c>
      <c r="K1043" t="inlineStr"/>
      <c r="L1043" t="n">
        <v>182</v>
      </c>
    </row>
    <row r="1044">
      <c r="A1044" s="1">
        <f>Hyperlink("https://www.wallsandfloors.co.uk/brixton-smoke-oblique-decor-tiles","Product")</f>
        <v/>
      </c>
      <c r="B1044" s="1" t="inlineStr">
        <is>
          <t>39093</t>
        </is>
      </c>
      <c r="C1044" s="1" t="inlineStr">
        <is>
          <t>Brixton Smoke Oblique Decor Tiles</t>
        </is>
      </c>
      <c r="D1044" s="1" t="inlineStr">
        <is>
          <t>500x250x7.4mm</t>
        </is>
      </c>
      <c r="E1044" s="1" t="n">
        <v>11.95</v>
      </c>
      <c r="F1044" s="1" t="n">
        <v>0</v>
      </c>
      <c r="G1044" s="1" t="inlineStr">
        <is>
          <t>SQM</t>
        </is>
      </c>
      <c r="H1044" s="1" t="inlineStr">
        <is>
          <t>Ceramic</t>
        </is>
      </c>
      <c r="I1044" s="1" t="inlineStr">
        <is>
          <t>Matt</t>
        </is>
      </c>
      <c r="J1044" t="n">
        <v>243</v>
      </c>
      <c r="K1044" t="n">
        <v>243</v>
      </c>
      <c r="L1044" t="n">
        <v>243</v>
      </c>
    </row>
    <row r="1045">
      <c r="A1045" s="1">
        <f>Hyperlink("https://www.wallsandfloors.co.uk/brixton-smoke-50x25-tiles","Product")</f>
        <v/>
      </c>
      <c r="B1045" s="1" t="inlineStr">
        <is>
          <t>39054</t>
        </is>
      </c>
      <c r="C1045" s="1" t="inlineStr">
        <is>
          <t>Brixton Smoke 50x25 Tiles</t>
        </is>
      </c>
      <c r="D1045" s="1" t="inlineStr">
        <is>
          <t>500x250x7.4mm</t>
        </is>
      </c>
      <c r="E1045" s="1" t="n">
        <v>11.95</v>
      </c>
      <c r="F1045" s="1" t="n">
        <v>0</v>
      </c>
      <c r="G1045" s="1" t="inlineStr">
        <is>
          <t>SQM</t>
        </is>
      </c>
      <c r="H1045" s="1" t="inlineStr">
        <is>
          <t>Ceramic</t>
        </is>
      </c>
      <c r="I1045" s="1" t="inlineStr">
        <is>
          <t>Matt</t>
        </is>
      </c>
      <c r="J1045" t="inlineStr"/>
      <c r="K1045" t="n">
        <v>149</v>
      </c>
      <c r="L1045" t="n">
        <v>149</v>
      </c>
    </row>
    <row r="1046">
      <c r="A1046" s="1">
        <f>Hyperlink("https://www.wallsandfloors.co.uk/brixton-smoke-45x45-tiles","Product")</f>
        <v/>
      </c>
      <c r="B1046" s="1" t="inlineStr">
        <is>
          <t>39095</t>
        </is>
      </c>
      <c r="C1046" s="1" t="inlineStr">
        <is>
          <t>Brixton Smoke Tiles</t>
        </is>
      </c>
      <c r="D1046" s="1" t="inlineStr">
        <is>
          <t>450x450x8.5mm</t>
        </is>
      </c>
      <c r="E1046" s="1" t="n">
        <v>11.95</v>
      </c>
      <c r="F1046" s="1" t="n">
        <v>0</v>
      </c>
      <c r="G1046" s="1" t="inlineStr">
        <is>
          <t>SQM</t>
        </is>
      </c>
      <c r="H1046" s="1" t="inlineStr">
        <is>
          <t>Ceramic</t>
        </is>
      </c>
      <c r="I1046" s="1" t="inlineStr">
        <is>
          <t>Matt</t>
        </is>
      </c>
      <c r="J1046" t="n">
        <v>153</v>
      </c>
      <c r="K1046" t="n">
        <v>153</v>
      </c>
      <c r="L1046" t="n">
        <v>153</v>
      </c>
    </row>
    <row r="1047">
      <c r="A1047" s="1">
        <f>Hyperlink("https://www.wallsandfloors.co.uk/brixton-brule-mini-mica-mosaic-effect-tiles","Product")</f>
        <v/>
      </c>
      <c r="B1047" s="1" t="inlineStr">
        <is>
          <t>39099</t>
        </is>
      </c>
      <c r="C1047" s="1" t="inlineStr">
        <is>
          <t>Brixton Brule Mini Mica Mosaic Effect Tiles</t>
        </is>
      </c>
      <c r="D1047" s="1" t="inlineStr">
        <is>
          <t>500x250x7.4mm</t>
        </is>
      </c>
      <c r="E1047" s="1" t="n">
        <v>11.95</v>
      </c>
      <c r="F1047" s="1" t="n">
        <v>0</v>
      </c>
      <c r="G1047" s="1" t="inlineStr"/>
      <c r="H1047" s="1" t="inlineStr">
        <is>
          <t>Ceramic</t>
        </is>
      </c>
      <c r="I1047" s="1" t="inlineStr">
        <is>
          <t>Matt</t>
        </is>
      </c>
      <c r="J1047" t="n">
        <v>57</v>
      </c>
      <c r="K1047" t="n">
        <v>57</v>
      </c>
      <c r="L1047" t="n">
        <v>57</v>
      </c>
    </row>
    <row r="1048">
      <c r="A1048" s="1">
        <f>Hyperlink("https://www.wallsandfloors.co.uk/brixton-brule-45x45-tiles","Product")</f>
        <v/>
      </c>
      <c r="B1048" s="1" t="inlineStr">
        <is>
          <t>39096</t>
        </is>
      </c>
      <c r="C1048" s="1" t="inlineStr">
        <is>
          <t>Brixton Brule Tiles</t>
        </is>
      </c>
      <c r="D1048" s="1" t="inlineStr">
        <is>
          <t>450x450x8.5mm</t>
        </is>
      </c>
      <c r="E1048" s="1" t="n">
        <v>11.95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Matt</t>
        </is>
      </c>
      <c r="J1048" t="n">
        <v>320</v>
      </c>
      <c r="K1048" t="n">
        <v>320</v>
      </c>
      <c r="L1048" t="n">
        <v>320</v>
      </c>
    </row>
    <row r="1049">
      <c r="A1049" s="1">
        <f>Hyperlink("https://www.wallsandfloors.co.uk/brixton-alabaster-mini-mica-mosaic-effect-tiles","Product")</f>
        <v/>
      </c>
      <c r="B1049" s="1" t="inlineStr">
        <is>
          <t>39094</t>
        </is>
      </c>
      <c r="C1049" s="1" t="inlineStr">
        <is>
          <t>Brixton Alabaster Mini Mica Mosaic Effect Tiles</t>
        </is>
      </c>
      <c r="D1049" s="1" t="inlineStr">
        <is>
          <t>500x250x7.4mm</t>
        </is>
      </c>
      <c r="E1049" s="1" t="n">
        <v>11.95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Matt</t>
        </is>
      </c>
      <c r="J1049" t="inlineStr">
        <is>
          <t>In Stock</t>
        </is>
      </c>
      <c r="K1049" t="inlineStr">
        <is>
          <t>In Stock</t>
        </is>
      </c>
      <c r="L1049" t="inlineStr">
        <is>
          <t>Out of Stock</t>
        </is>
      </c>
    </row>
    <row r="1050">
      <c r="A1050" s="1">
        <f>Hyperlink("https://www.wallsandfloors.co.uk/breeze-winter-breeze-grey-wall-tiles","Product")</f>
        <v/>
      </c>
      <c r="B1050" s="1" t="inlineStr">
        <is>
          <t>25133</t>
        </is>
      </c>
      <c r="C1050" s="1" t="inlineStr">
        <is>
          <t>Winter Breeze Grey Wall Tiles</t>
        </is>
      </c>
      <c r="D1050" s="1" t="inlineStr">
        <is>
          <t>300x200x8mm</t>
        </is>
      </c>
      <c r="E1050" s="1" t="n">
        <v>25.95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Matt</t>
        </is>
      </c>
      <c r="J1050" t="n">
        <v>73</v>
      </c>
      <c r="K1050" t="n">
        <v>73</v>
      </c>
      <c r="L1050" t="n">
        <v>73</v>
      </c>
    </row>
    <row r="1051">
      <c r="A1051" s="1">
        <f>Hyperlink("https://www.wallsandfloors.co.uk/breeze-spring-air-white-wall-tiles","Product")</f>
        <v/>
      </c>
      <c r="B1051" s="1" t="inlineStr">
        <is>
          <t>25132</t>
        </is>
      </c>
      <c r="C1051" s="1" t="inlineStr">
        <is>
          <t>Spring Air White Wall Tiles</t>
        </is>
      </c>
      <c r="D1051" s="1" t="inlineStr">
        <is>
          <t>300x200x8mm</t>
        </is>
      </c>
      <c r="E1051" s="1" t="n">
        <v>25.95</v>
      </c>
      <c r="F1051" s="1" t="n">
        <v>0</v>
      </c>
      <c r="G1051" s="1" t="inlineStr"/>
      <c r="H1051" s="1" t="inlineStr">
        <is>
          <t>Ceramic</t>
        </is>
      </c>
      <c r="I1051" s="1" t="inlineStr">
        <is>
          <t>Matt</t>
        </is>
      </c>
      <c r="J1051" t="inlineStr">
        <is>
          <t>In Stock</t>
        </is>
      </c>
      <c r="K1051" t="inlineStr">
        <is>
          <t>In Stock</t>
        </is>
      </c>
      <c r="L1051" t="inlineStr">
        <is>
          <t>In Stock</t>
        </is>
      </c>
    </row>
    <row r="1052">
      <c r="A1052" s="1">
        <f>Hyperlink("https://www.wallsandfloors.co.uk/breeze-autumn-sun-beige-wall-tiles","Product")</f>
        <v/>
      </c>
      <c r="B1052" s="1" t="inlineStr">
        <is>
          <t>25131</t>
        </is>
      </c>
      <c r="C1052" s="1" t="inlineStr">
        <is>
          <t>Autumn Sun Beige Wall Tiles</t>
        </is>
      </c>
      <c r="D1052" s="1" t="inlineStr">
        <is>
          <t>300x200x8mm</t>
        </is>
      </c>
      <c r="E1052" s="1" t="n">
        <v>25.95</v>
      </c>
      <c r="F1052" s="1" t="n">
        <v>0</v>
      </c>
      <c r="G1052" s="1" t="inlineStr"/>
      <c r="H1052" s="1" t="inlineStr">
        <is>
          <t>Ceramic</t>
        </is>
      </c>
      <c r="I1052" s="1" t="inlineStr">
        <is>
          <t>Matt</t>
        </is>
      </c>
      <c r="J1052" t="inlineStr">
        <is>
          <t>In Stock</t>
        </is>
      </c>
      <c r="K1052" t="inlineStr">
        <is>
          <t>In Stock</t>
        </is>
      </c>
      <c r="L1052" t="inlineStr">
        <is>
          <t>In Stock</t>
        </is>
      </c>
    </row>
    <row r="1053">
      <c r="A1053" s="1">
        <f>Hyperlink("https://www.wallsandfloors.co.uk/brandeis-blue-decor-tiles","Product")</f>
        <v/>
      </c>
      <c r="B1053" s="1" t="inlineStr">
        <is>
          <t>14680</t>
        </is>
      </c>
      <c r="C1053" s="1" t="inlineStr">
        <is>
          <t>Brandeis Muted Blue Decor Tiles</t>
        </is>
      </c>
      <c r="D1053" s="1" t="inlineStr">
        <is>
          <t>200x200x6.5mm</t>
        </is>
      </c>
      <c r="E1053" s="1" t="n">
        <v>30.95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Matt</t>
        </is>
      </c>
      <c r="J1053" t="n">
        <v>144</v>
      </c>
      <c r="K1053" t="n">
        <v>144</v>
      </c>
      <c r="L1053" t="n">
        <v>144</v>
      </c>
    </row>
    <row r="1054">
      <c r="A1054" s="1">
        <f>Hyperlink("https://www.wallsandfloors.co.uk/boutique-brick-slip-metallic-silver-brick-tiles","Product")</f>
        <v/>
      </c>
      <c r="B1054" s="1" t="inlineStr">
        <is>
          <t>34251</t>
        </is>
      </c>
      <c r="C1054" s="1" t="inlineStr">
        <is>
          <t>Boutique Metallic Silver Brick Slip Tiles</t>
        </is>
      </c>
      <c r="D1054" s="1" t="inlineStr">
        <is>
          <t>250x50x7mm</t>
        </is>
      </c>
      <c r="E1054" s="1" t="n">
        <v>64.95</v>
      </c>
      <c r="F1054" s="1" t="n">
        <v>0</v>
      </c>
      <c r="G1054" s="1" t="inlineStr">
        <is>
          <t>SQM</t>
        </is>
      </c>
      <c r="H1054" s="1" t="inlineStr">
        <is>
          <t>Ceramic</t>
        </is>
      </c>
      <c r="I1054" s="1" t="inlineStr">
        <is>
          <t>Gloss</t>
        </is>
      </c>
      <c r="J1054" t="inlineStr">
        <is>
          <t>In Stock</t>
        </is>
      </c>
      <c r="K1054" t="inlineStr">
        <is>
          <t>In Stock</t>
        </is>
      </c>
      <c r="L1054" t="inlineStr">
        <is>
          <t>In Stock</t>
        </is>
      </c>
    </row>
    <row r="1055">
      <c r="A1055" s="1">
        <f>Hyperlink("https://www.wallsandfloors.co.uk/boutique-brick-slip-metallic-copper-brick-tiles","Product")</f>
        <v/>
      </c>
      <c r="B1055" s="1" t="inlineStr">
        <is>
          <t>34250</t>
        </is>
      </c>
      <c r="C1055" s="1" t="inlineStr">
        <is>
          <t>Boutique Metallic Copper Brick Slip Tiles</t>
        </is>
      </c>
      <c r="D1055" s="1" t="inlineStr">
        <is>
          <t>250x50x7mm</t>
        </is>
      </c>
      <c r="E1055" s="1" t="n">
        <v>64.95</v>
      </c>
      <c r="F1055" s="1" t="n">
        <v>0</v>
      </c>
      <c r="G1055" s="1" t="inlineStr">
        <is>
          <t>SQM</t>
        </is>
      </c>
      <c r="H1055" s="1" t="inlineStr">
        <is>
          <t>Ceramic</t>
        </is>
      </c>
      <c r="I1055" s="1" t="inlineStr">
        <is>
          <t>Gloss</t>
        </is>
      </c>
      <c r="J1055" t="n">
        <v>108</v>
      </c>
      <c r="K1055" t="n">
        <v>108</v>
      </c>
      <c r="L1055" t="n">
        <v>108</v>
      </c>
    </row>
    <row r="1056">
      <c r="A1056" s="1">
        <f>Hyperlink("https://www.wallsandfloors.co.uk/boutique-brick-feather-hand-crafted-metro-tiles","Product")</f>
        <v/>
      </c>
      <c r="B1056" s="1" t="inlineStr">
        <is>
          <t>34257</t>
        </is>
      </c>
      <c r="C1056" s="1" t="inlineStr">
        <is>
          <t>Feather Hand Crafted Metro Tiles</t>
        </is>
      </c>
      <c r="D1056" s="1" t="inlineStr">
        <is>
          <t>300x75x10mm</t>
        </is>
      </c>
      <c r="E1056" s="1" t="n">
        <v>39.95</v>
      </c>
      <c r="F1056" s="1" t="n">
        <v>0</v>
      </c>
      <c r="G1056" s="1" t="inlineStr">
        <is>
          <t>SQM</t>
        </is>
      </c>
      <c r="H1056" s="1" t="inlineStr">
        <is>
          <t>Ceramic</t>
        </is>
      </c>
      <c r="I1056" s="1" t="inlineStr">
        <is>
          <t>Gloss</t>
        </is>
      </c>
      <c r="J1056" t="n">
        <v>94</v>
      </c>
      <c r="K1056" t="n">
        <v>94</v>
      </c>
      <c r="L1056" t="n">
        <v>94</v>
      </c>
    </row>
    <row r="1057">
      <c r="A1057" s="1">
        <f>Hyperlink("https://www.wallsandfloors.co.uk/boutique-brick-250-pearl-handcrafted-metro-tiles","Product")</f>
        <v/>
      </c>
      <c r="B1057" s="1" t="inlineStr">
        <is>
          <t>34253</t>
        </is>
      </c>
      <c r="C1057" s="1" t="inlineStr">
        <is>
          <t>Pearl Handcrafted Metro Tiles</t>
        </is>
      </c>
      <c r="D1057" s="1" t="inlineStr">
        <is>
          <t>250x50x7mm</t>
        </is>
      </c>
      <c r="E1057" s="1" t="n">
        <v>37.95</v>
      </c>
      <c r="F1057" s="1" t="n">
        <v>0</v>
      </c>
      <c r="G1057" s="1" t="inlineStr">
        <is>
          <t>SQM</t>
        </is>
      </c>
      <c r="H1057" s="1" t="inlineStr">
        <is>
          <t>Ceramic</t>
        </is>
      </c>
      <c r="I1057" s="1" t="inlineStr">
        <is>
          <t>Gloss</t>
        </is>
      </c>
      <c r="J1057" t="inlineStr">
        <is>
          <t>In Stock</t>
        </is>
      </c>
      <c r="K1057" t="inlineStr"/>
      <c r="L1057" t="inlineStr">
        <is>
          <t>In Stock</t>
        </is>
      </c>
    </row>
    <row r="1058">
      <c r="A1058" s="1">
        <f>Hyperlink("https://www.wallsandfloors.co.uk/bococa-paintwash-wood-effect-tiles-azure-painted-waterfall-wood-tiles","Product")</f>
        <v/>
      </c>
      <c r="B1058" s="1" t="inlineStr">
        <is>
          <t>15648</t>
        </is>
      </c>
      <c r="C1058" s="1" t="inlineStr">
        <is>
          <t>BoCoCa Azure Painted Waterfall Wood Tiles</t>
        </is>
      </c>
      <c r="D1058" s="1" t="inlineStr">
        <is>
          <t>625x320x9mm</t>
        </is>
      </c>
      <c r="E1058" s="1" t="n">
        <v>40.95</v>
      </c>
      <c r="F1058" s="1" t="n">
        <v>0</v>
      </c>
      <c r="G1058" s="1" t="inlineStr">
        <is>
          <t>SQM</t>
        </is>
      </c>
      <c r="H1058" s="1" t="inlineStr">
        <is>
          <t>Porcelain</t>
        </is>
      </c>
      <c r="I1058" s="1" t="inlineStr">
        <is>
          <t>Matt</t>
        </is>
      </c>
      <c r="J1058" t="n">
        <v>81</v>
      </c>
      <c r="K1058" t="n">
        <v>81</v>
      </c>
      <c r="L1058" t="n">
        <v>81</v>
      </c>
    </row>
    <row r="1059">
      <c r="A1059" s="1">
        <f>Hyperlink("https://www.wallsandfloors.co.uk/cobalt-black-tiles","Product")</f>
        <v/>
      </c>
      <c r="B1059" s="1" t="inlineStr">
        <is>
          <t>37273</t>
        </is>
      </c>
      <c r="C1059" s="1" t="inlineStr">
        <is>
          <t>Crystal Cobalt Black Split Face Tiles</t>
        </is>
      </c>
      <c r="D1059" s="1" t="inlineStr">
        <is>
          <t>300x150x6-12mm</t>
        </is>
      </c>
      <c r="E1059" s="1" t="n">
        <v>54.95</v>
      </c>
      <c r="F1059" s="1" t="n">
        <v>0</v>
      </c>
      <c r="G1059" s="1" t="inlineStr">
        <is>
          <t>SQM</t>
        </is>
      </c>
      <c r="H1059" s="1" t="inlineStr">
        <is>
          <t>Quartzite</t>
        </is>
      </c>
      <c r="I1059" s="1" t="inlineStr">
        <is>
          <t>Matt</t>
        </is>
      </c>
      <c r="J1059" t="inlineStr"/>
      <c r="K1059" t="inlineStr">
        <is>
          <t>Out of Stock</t>
        </is>
      </c>
      <c r="L1059" t="inlineStr">
        <is>
          <t>Out of Stock</t>
        </is>
      </c>
    </row>
    <row r="1060">
      <c r="A1060" s="1">
        <f>Hyperlink("https://www.wallsandfloors.co.uk/coffee-squares-50mm-tiles","Product")</f>
        <v/>
      </c>
      <c r="B1060" s="1" t="inlineStr">
        <is>
          <t>990080</t>
        </is>
      </c>
      <c r="C1060" s="1" t="inlineStr">
        <is>
          <t>Coffee Squares 50mm Tiles</t>
        </is>
      </c>
      <c r="D1060" s="1" t="inlineStr">
        <is>
          <t>50x50x9-10mm</t>
        </is>
      </c>
      <c r="E1060" s="1" t="n">
        <v>1.3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Matt</t>
        </is>
      </c>
      <c r="J1060" t="n">
        <v>1029</v>
      </c>
      <c r="K1060" t="inlineStr"/>
      <c r="L1060" t="n">
        <v>1029</v>
      </c>
    </row>
    <row r="1061">
      <c r="A1061" s="1">
        <f>Hyperlink("https://www.wallsandfloors.co.uk/devine-whites-tiles-gloss-white-wall-33x25-tiles","Product")</f>
        <v/>
      </c>
      <c r="B1061" s="1" t="inlineStr">
        <is>
          <t>13354</t>
        </is>
      </c>
      <c r="C1061" s="1" t="inlineStr">
        <is>
          <t>Devine Gloss White Wall Tiles</t>
        </is>
      </c>
      <c r="D1061" s="1" t="inlineStr">
        <is>
          <t>330x250x7mm</t>
        </is>
      </c>
      <c r="E1061" s="1" t="n">
        <v>15.95</v>
      </c>
      <c r="F1061" s="1" t="n">
        <v>0</v>
      </c>
      <c r="G1061" s="1" t="inlineStr">
        <is>
          <t>SQM</t>
        </is>
      </c>
      <c r="H1061" s="1" t="inlineStr">
        <is>
          <t>Ceramic</t>
        </is>
      </c>
      <c r="I1061" s="1" t="inlineStr">
        <is>
          <t>Gloss</t>
        </is>
      </c>
      <c r="J1061" t="inlineStr"/>
      <c r="K1061" t="inlineStr">
        <is>
          <t>Out of Stock</t>
        </is>
      </c>
      <c r="L1061" t="inlineStr">
        <is>
          <t>Out of Stock</t>
        </is>
      </c>
    </row>
    <row r="1062">
      <c r="A1062" s="1">
        <f>Hyperlink("https://www.wallsandfloors.co.uk/devine-whites-tiles-gloss-white-wall-20x20-tiles","Product")</f>
        <v/>
      </c>
      <c r="B1062" s="1" t="inlineStr">
        <is>
          <t>13349</t>
        </is>
      </c>
      <c r="C1062" s="1" t="inlineStr">
        <is>
          <t>Devine Gloss White Wall Tiles</t>
        </is>
      </c>
      <c r="D1062" s="1" t="inlineStr">
        <is>
          <t>200x200x6.5mm</t>
        </is>
      </c>
      <c r="E1062" s="1" t="n">
        <v>13.95</v>
      </c>
      <c r="F1062" s="1" t="n">
        <v>0</v>
      </c>
      <c r="G1062" s="1" t="inlineStr"/>
      <c r="H1062" s="1" t="inlineStr">
        <is>
          <t>Ceramic</t>
        </is>
      </c>
      <c r="I1062" s="1" t="inlineStr">
        <is>
          <t>Gloss</t>
        </is>
      </c>
      <c r="J1062" t="inlineStr">
        <is>
          <t>In Stock</t>
        </is>
      </c>
      <c r="K1062" t="inlineStr">
        <is>
          <t>In Stock</t>
        </is>
      </c>
      <c r="L1062" t="inlineStr">
        <is>
          <t>In Stock</t>
        </is>
      </c>
    </row>
    <row r="1063">
      <c r="A1063" s="1">
        <f>Hyperlink("https://www.wallsandfloors.co.uk/devine-whites-tiles-gloss-60x30-white-wall-tiles","Product")</f>
        <v/>
      </c>
      <c r="B1063" s="1" t="inlineStr">
        <is>
          <t>13356</t>
        </is>
      </c>
      <c r="C1063" s="1" t="inlineStr">
        <is>
          <t>Devine Gloss White Wall Tiles</t>
        </is>
      </c>
      <c r="D1063" s="1" t="inlineStr">
        <is>
          <t>600x300x10mm</t>
        </is>
      </c>
      <c r="E1063" s="1" t="n">
        <v>19.95</v>
      </c>
      <c r="F1063" s="1" t="n">
        <v>0</v>
      </c>
      <c r="G1063" s="1" t="inlineStr">
        <is>
          <t>SQM</t>
        </is>
      </c>
      <c r="H1063" s="1" t="inlineStr">
        <is>
          <t>Ceramic</t>
        </is>
      </c>
      <c r="I1063" s="1" t="inlineStr">
        <is>
          <t>Gloss</t>
        </is>
      </c>
      <c r="J1063" t="inlineStr"/>
      <c r="K1063" t="inlineStr"/>
      <c r="L1063" t="n">
        <v>329</v>
      </c>
    </row>
    <row r="1064">
      <c r="A1064" s="1">
        <f>Hyperlink("https://www.wallsandfloors.co.uk/devine-whites-tiles-bumpy-satin-white-wall-33x25-tiles","Product")</f>
        <v/>
      </c>
      <c r="B1064" s="1" t="inlineStr">
        <is>
          <t>13344</t>
        </is>
      </c>
      <c r="C1064" s="1" t="inlineStr">
        <is>
          <t>Devine Bumpy Satin White Wall Tiles</t>
        </is>
      </c>
      <c r="D1064" s="1" t="inlineStr">
        <is>
          <t>330x250x7mm</t>
        </is>
      </c>
      <c r="E1064" s="1" t="n">
        <v>15.95</v>
      </c>
      <c r="F1064" s="1" t="n">
        <v>0</v>
      </c>
      <c r="G1064" s="1" t="inlineStr">
        <is>
          <t>SQM</t>
        </is>
      </c>
      <c r="H1064" s="1" t="inlineStr">
        <is>
          <t>Ceramic</t>
        </is>
      </c>
      <c r="I1064" s="1" t="inlineStr">
        <is>
          <t>Satin</t>
        </is>
      </c>
      <c r="J1064" t="inlineStr">
        <is>
          <t>In Stock</t>
        </is>
      </c>
      <c r="K1064" t="inlineStr"/>
      <c r="L1064" t="inlineStr">
        <is>
          <t>In Stock</t>
        </is>
      </c>
    </row>
    <row r="1065">
      <c r="A1065" s="1">
        <f>Hyperlink("https://www.wallsandfloors.co.uk/devine-whites-tiles-bumpy-satin-white-wall-25x20-tiles","Product")</f>
        <v/>
      </c>
      <c r="B1065" s="1" t="inlineStr">
        <is>
          <t>13342</t>
        </is>
      </c>
      <c r="C1065" s="1" t="inlineStr">
        <is>
          <t>Bumpy Satin White Wall Tiles</t>
        </is>
      </c>
      <c r="D1065" s="1" t="inlineStr">
        <is>
          <t>250x200x6.8mm</t>
        </is>
      </c>
      <c r="E1065" s="1" t="n">
        <v>13.95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Satin</t>
        </is>
      </c>
      <c r="J1065" t="n">
        <v>52</v>
      </c>
      <c r="K1065" t="inlineStr"/>
      <c r="L1065" t="n">
        <v>52</v>
      </c>
    </row>
    <row r="1066">
      <c r="A1066" s="1">
        <f>Hyperlink("https://www.wallsandfloors.co.uk/devine-whites-tiles-bumpy-gloss-white-wall-60x30-tiles","Product")</f>
        <v/>
      </c>
      <c r="B1066" s="1" t="inlineStr">
        <is>
          <t>13357</t>
        </is>
      </c>
      <c r="C1066" s="1" t="inlineStr">
        <is>
          <t>Bumpy Gloss White Wall Tiles</t>
        </is>
      </c>
      <c r="D1066" s="1" t="inlineStr">
        <is>
          <t>600x300x10mm</t>
        </is>
      </c>
      <c r="E1066" s="1" t="n">
        <v>19.95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Gloss</t>
        </is>
      </c>
      <c r="J1066" t="inlineStr"/>
      <c r="K1066" t="inlineStr"/>
      <c r="L1066" t="n">
        <v>64</v>
      </c>
    </row>
    <row r="1067">
      <c r="A1067" s="1">
        <f>Hyperlink("https://www.wallsandfloors.co.uk/devine-whites-tiles-bumpy-gloss-white-wall-33x25-tiles","Product")</f>
        <v/>
      </c>
      <c r="B1067" s="1" t="inlineStr">
        <is>
          <t>13355</t>
        </is>
      </c>
      <c r="C1067" s="1" t="inlineStr">
        <is>
          <t>Devine Bumpy Gloss White Wall Tiles</t>
        </is>
      </c>
      <c r="D1067" s="1" t="inlineStr">
        <is>
          <t>330x250x7mm</t>
        </is>
      </c>
      <c r="E1067" s="1" t="n">
        <v>15.95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Gloss</t>
        </is>
      </c>
      <c r="J1067" t="inlineStr">
        <is>
          <t>Out of Stock</t>
        </is>
      </c>
      <c r="K1067" t="inlineStr">
        <is>
          <t>Out of Stock</t>
        </is>
      </c>
      <c r="L1067" t="inlineStr">
        <is>
          <t>Out of Stock</t>
        </is>
      </c>
    </row>
    <row r="1068">
      <c r="A1068" s="1">
        <f>Hyperlink("https://www.wallsandfloors.co.uk/devine-whites-tiles-bumpy-gloss-white-wall-25x20-tiles","Product")</f>
        <v/>
      </c>
      <c r="B1068" s="1" t="inlineStr">
        <is>
          <t>13353</t>
        </is>
      </c>
      <c r="C1068" s="1" t="inlineStr">
        <is>
          <t>Devine Bumpy Gloss White Wall Tiles</t>
        </is>
      </c>
      <c r="D1068" s="1" t="inlineStr">
        <is>
          <t>250x200x6.8mm</t>
        </is>
      </c>
      <c r="E1068" s="1" t="n">
        <v>10.85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Gloss</t>
        </is>
      </c>
      <c r="J1068" t="n">
        <v>329</v>
      </c>
      <c r="K1068" t="n">
        <v>329</v>
      </c>
      <c r="L1068" t="n">
        <v>329</v>
      </c>
    </row>
    <row r="1069">
      <c r="A1069" s="1">
        <f>Hyperlink("https://www.wallsandfloors.co.uk/devine-whites-tiles-bumpy-gloss-white-wall-15x15-tiles","Product")</f>
        <v/>
      </c>
      <c r="B1069" s="1" t="inlineStr">
        <is>
          <t>13348</t>
        </is>
      </c>
      <c r="C1069" s="1" t="inlineStr">
        <is>
          <t>Devine Bumpy Gloss White Wall Tiles</t>
        </is>
      </c>
      <c r="D1069" s="1" t="inlineStr">
        <is>
          <t>150x150x6mm</t>
        </is>
      </c>
      <c r="E1069" s="1" t="n">
        <v>10.75</v>
      </c>
      <c r="F1069" s="1" t="n">
        <v>0</v>
      </c>
      <c r="G1069" s="1" t="inlineStr">
        <is>
          <t>SQM</t>
        </is>
      </c>
      <c r="H1069" s="1" t="inlineStr">
        <is>
          <t>Ceramic</t>
        </is>
      </c>
      <c r="I1069" s="1" t="inlineStr">
        <is>
          <t>Gloss</t>
        </is>
      </c>
      <c r="J1069" t="inlineStr">
        <is>
          <t>Out of Stock</t>
        </is>
      </c>
      <c r="K1069" t="inlineStr">
        <is>
          <t>Out of Stock</t>
        </is>
      </c>
      <c r="L1069" t="inlineStr">
        <is>
          <t>Out of Stock</t>
        </is>
      </c>
    </row>
    <row r="1070">
      <c r="A1070" s="1">
        <f>Hyperlink("https://www.wallsandfloors.co.uk/denford-pencil-strip-tiles-verde-pencil-tiles","Product")</f>
        <v/>
      </c>
      <c r="B1070" s="1" t="inlineStr">
        <is>
          <t>12418</t>
        </is>
      </c>
      <c r="C1070" s="1" t="inlineStr">
        <is>
          <t>Denford Verde Green Pencil Strip Border Tiles</t>
        </is>
      </c>
      <c r="D1070" s="1" t="inlineStr">
        <is>
          <t>200x12x7mm</t>
        </is>
      </c>
      <c r="E1070" s="1" t="n">
        <v>2.75</v>
      </c>
      <c r="F1070" s="1" t="n">
        <v>0</v>
      </c>
      <c r="G1070" s="1" t="inlineStr">
        <is>
          <t>SQM</t>
        </is>
      </c>
      <c r="H1070" s="1" t="inlineStr">
        <is>
          <t>Ceramic</t>
        </is>
      </c>
      <c r="I1070" s="1" t="inlineStr">
        <is>
          <t>-</t>
        </is>
      </c>
      <c r="J1070" t="n">
        <v>2</v>
      </c>
      <c r="K1070" t="inlineStr"/>
      <c r="L1070" t="n">
        <v>2</v>
      </c>
    </row>
    <row r="1071">
      <c r="A1071" s="1">
        <f>Hyperlink("https://www.wallsandfloors.co.uk/devine-whites-tiles-gloss-white-wall-40x20-tiles","Product")</f>
        <v/>
      </c>
      <c r="B1071" s="1" t="inlineStr">
        <is>
          <t>13351</t>
        </is>
      </c>
      <c r="C1071" s="1" t="inlineStr">
        <is>
          <t>Devine Gloss White Wall Tiles</t>
        </is>
      </c>
      <c r="D1071" s="1" t="inlineStr">
        <is>
          <t>400x200x7mm</t>
        </is>
      </c>
      <c r="E1071" s="1" t="n">
        <v>15.95</v>
      </c>
      <c r="F1071" s="1" t="n">
        <v>0</v>
      </c>
      <c r="G1071" s="1" t="inlineStr">
        <is>
          <t>SQM</t>
        </is>
      </c>
      <c r="H1071" s="1" t="inlineStr">
        <is>
          <t>Ceramic</t>
        </is>
      </c>
      <c r="I1071" s="1" t="inlineStr">
        <is>
          <t>Gloss</t>
        </is>
      </c>
      <c r="J1071" t="inlineStr"/>
      <c r="K1071" t="n">
        <v>83</v>
      </c>
      <c r="L1071" t="n">
        <v>83</v>
      </c>
    </row>
    <row r="1072">
      <c r="A1072" s="1">
        <f>Hyperlink("https://www.wallsandfloors.co.uk/denford-pencil-strip-tiles-burgundy-pencil-tiles","Product")</f>
        <v/>
      </c>
      <c r="B1072" s="1" t="inlineStr">
        <is>
          <t>12419</t>
        </is>
      </c>
      <c r="C1072" s="1" t="inlineStr">
        <is>
          <t>Denford Burgundy Pencil Strip Border Tiles</t>
        </is>
      </c>
      <c r="D1072" s="1" t="inlineStr">
        <is>
          <t>200x12x7mm</t>
        </is>
      </c>
      <c r="E1072" s="1" t="n">
        <v>2.75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Gloss</t>
        </is>
      </c>
      <c r="J1072" t="n">
        <v>0</v>
      </c>
      <c r="K1072" t="n">
        <v>0</v>
      </c>
      <c r="L1072" t="n">
        <v>0</v>
      </c>
    </row>
    <row r="1073">
      <c r="A1073" s="1">
        <f>Hyperlink("https://www.wallsandfloors.co.uk/delft-tiles-delft-white-tiles","Product")</f>
        <v/>
      </c>
      <c r="B1073" s="1" t="inlineStr">
        <is>
          <t>13839</t>
        </is>
      </c>
      <c r="C1073" s="1" t="inlineStr">
        <is>
          <t>Delft White Tiles</t>
        </is>
      </c>
      <c r="D1073" s="1" t="inlineStr">
        <is>
          <t>150x150x7mm</t>
        </is>
      </c>
      <c r="E1073" s="1" t="n">
        <v>43.95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58</v>
      </c>
      <c r="K1073" t="n">
        <v>58</v>
      </c>
      <c r="L1073" t="n">
        <v>58</v>
      </c>
    </row>
    <row r="1074">
      <c r="A1074" s="1">
        <f>Hyperlink("https://www.wallsandfloors.co.uk/decorum-tiles-white-marble-effect-tiles","Product")</f>
        <v/>
      </c>
      <c r="B1074" s="1" t="inlineStr">
        <is>
          <t>13749</t>
        </is>
      </c>
      <c r="C1074" s="1" t="inlineStr">
        <is>
          <t>Decorum Gloss White Marble Effect Wall Tiles</t>
        </is>
      </c>
      <c r="D1074" s="1" t="inlineStr">
        <is>
          <t>500x250x8mm</t>
        </is>
      </c>
      <c r="E1074" s="1" t="n">
        <v>15.95</v>
      </c>
      <c r="F1074" s="1" t="n">
        <v>0</v>
      </c>
      <c r="G1074" s="1" t="inlineStr">
        <is>
          <t>SQM</t>
        </is>
      </c>
      <c r="H1074" s="1" t="inlineStr">
        <is>
          <t>Ceramic</t>
        </is>
      </c>
      <c r="I1074" s="1" t="inlineStr">
        <is>
          <t>Gloss</t>
        </is>
      </c>
      <c r="J1074" t="inlineStr"/>
      <c r="K1074" t="inlineStr"/>
      <c r="L1074" t="n">
        <v>177</v>
      </c>
    </row>
    <row r="1075">
      <c r="A1075" s="1">
        <f>Hyperlink("https://www.wallsandfloors.co.uk/decor-seasoned-chiffon-brick-tiles","Product")</f>
        <v/>
      </c>
      <c r="B1075" s="1" t="inlineStr">
        <is>
          <t>34254</t>
        </is>
      </c>
      <c r="C1075" s="1" t="inlineStr">
        <is>
          <t>Seasoned Chiffon Brick Tiles</t>
        </is>
      </c>
      <c r="D1075" s="1" t="inlineStr">
        <is>
          <t>300x75x7mm</t>
        </is>
      </c>
      <c r="E1075" s="1" t="n">
        <v>45.95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Gloss</t>
        </is>
      </c>
      <c r="J1075" t="inlineStr">
        <is>
          <t>In Stock</t>
        </is>
      </c>
      <c r="K1075" t="inlineStr">
        <is>
          <t>In Stock</t>
        </is>
      </c>
      <c r="L1075" t="inlineStr">
        <is>
          <t>In Stock</t>
        </is>
      </c>
    </row>
    <row r="1076">
      <c r="A1076" s="1">
        <f>Hyperlink("https://www.wallsandfloors.co.uk/dc-250-1200-230v-50-hz","Product")</f>
        <v/>
      </c>
      <c r="B1076" s="1" t="inlineStr">
        <is>
          <t>40413</t>
        </is>
      </c>
      <c r="C1076" s="1" t="inlineStr">
        <is>
          <t>DC-250 1200 240V Electric Tile Cutter</t>
        </is>
      </c>
      <c r="D1076" s="1" t="inlineStr">
        <is>
          <t>160x82x131 cm</t>
        </is>
      </c>
      <c r="E1076" s="1" t="inlineStr">
        <is>
          <t>1,515.75</t>
        </is>
      </c>
      <c r="F1076" s="1" t="n">
        <v>0</v>
      </c>
      <c r="G1076" s="1" t="inlineStr">
        <is>
          <t>Unit</t>
        </is>
      </c>
      <c r="H1076" s="1" t="inlineStr">
        <is>
          <t>Electric Tile Cutters</t>
        </is>
      </c>
      <c r="I1076" s="1" t="inlineStr">
        <is>
          <t>-</t>
        </is>
      </c>
      <c r="J1076" t="inlineStr">
        <is>
          <t>Out of Stock</t>
        </is>
      </c>
      <c r="K1076" t="inlineStr">
        <is>
          <t>Out of Stock</t>
        </is>
      </c>
      <c r="L1076" t="inlineStr">
        <is>
          <t>Out of Stock</t>
        </is>
      </c>
    </row>
    <row r="1077">
      <c r="A1077" s="1">
        <f>Hyperlink("https://www.wallsandfloors.co.uk/dc-250-1200-110v-50hz","Product")</f>
        <v/>
      </c>
      <c r="B1077" s="1" t="inlineStr">
        <is>
          <t>27565</t>
        </is>
      </c>
      <c r="C1077" s="1" t="inlineStr">
        <is>
          <t>DC-250-1200 110V Electric Tile Cutter</t>
        </is>
      </c>
      <c r="D1077" s="1" t="inlineStr">
        <is>
          <t>160x82x131 cm</t>
        </is>
      </c>
      <c r="E1077" s="1" t="inlineStr">
        <is>
          <t>1,515.75</t>
        </is>
      </c>
      <c r="F1077" s="1" t="n">
        <v>0</v>
      </c>
      <c r="G1077" s="1" t="inlineStr">
        <is>
          <t>Unit</t>
        </is>
      </c>
      <c r="H1077" s="1" t="inlineStr">
        <is>
          <t>Electric Tile Cutters</t>
        </is>
      </c>
      <c r="I1077" s="1" t="inlineStr">
        <is>
          <t>-</t>
        </is>
      </c>
      <c r="J1077" t="inlineStr"/>
      <c r="K1077" t="inlineStr">
        <is>
          <t>Out of Stock</t>
        </is>
      </c>
      <c r="L1077" t="inlineStr">
        <is>
          <t>Out of Stock</t>
        </is>
      </c>
    </row>
    <row r="1078">
      <c r="A1078" s="1">
        <f>Hyperlink("https://www.wallsandfloors.co.uk/dazzle-mosaics-tiles-silver-tiles","Product")</f>
        <v/>
      </c>
      <c r="B1078" s="1" t="inlineStr">
        <is>
          <t>7636</t>
        </is>
      </c>
      <c r="C1078" s="1" t="inlineStr">
        <is>
          <t>Dazzle Silver Mosaic Tiles</t>
        </is>
      </c>
      <c r="D1078" s="1" t="inlineStr">
        <is>
          <t>305x305x8mm</t>
        </is>
      </c>
      <c r="E1078" s="1" t="n">
        <v>5.95</v>
      </c>
      <c r="F1078" s="1" t="n">
        <v>0</v>
      </c>
      <c r="G1078" s="1" t="inlineStr">
        <is>
          <t>Sheet</t>
        </is>
      </c>
      <c r="H1078" s="1" t="inlineStr">
        <is>
          <t>Glass</t>
        </is>
      </c>
      <c r="I1078" s="1" t="inlineStr">
        <is>
          <t>Mixed</t>
        </is>
      </c>
      <c r="J1078" t="n">
        <v>28</v>
      </c>
      <c r="K1078" t="n">
        <v>28</v>
      </c>
      <c r="L1078" t="n">
        <v>28</v>
      </c>
    </row>
    <row r="1079">
      <c r="A1079" s="1">
        <f>Hyperlink("https://www.wallsandfloors.co.uk/dazzle-mosaics-tiles-purple-haze-tiles","Product")</f>
        <v/>
      </c>
      <c r="B1079" s="1" t="inlineStr">
        <is>
          <t>7635</t>
        </is>
      </c>
      <c r="C1079" s="1" t="inlineStr">
        <is>
          <t>Dazzle Purple Haze Mosaic Tiles</t>
        </is>
      </c>
      <c r="D1079" s="1" t="inlineStr">
        <is>
          <t>305x305x8mm</t>
        </is>
      </c>
      <c r="E1079" s="1" t="n">
        <v>9.949999999999999</v>
      </c>
      <c r="F1079" s="1" t="n">
        <v>0</v>
      </c>
      <c r="G1079" s="1" t="inlineStr">
        <is>
          <t>Sheet</t>
        </is>
      </c>
      <c r="H1079" s="1" t="inlineStr">
        <is>
          <t>Glass</t>
        </is>
      </c>
      <c r="I1079" s="1" t="inlineStr">
        <is>
          <t>Mixed</t>
        </is>
      </c>
      <c r="J1079" t="n">
        <v>21</v>
      </c>
      <c r="K1079" t="n">
        <v>21</v>
      </c>
      <c r="L1079" t="n">
        <v>21</v>
      </c>
    </row>
    <row r="1080">
      <c r="A1080" s="1">
        <f>Hyperlink("https://www.wallsandfloors.co.uk/dazzle-mosaics-tiles-harlequin-tiles","Product")</f>
        <v/>
      </c>
      <c r="B1080" s="1" t="inlineStr">
        <is>
          <t>7633</t>
        </is>
      </c>
      <c r="C1080" s="1" t="inlineStr">
        <is>
          <t>Dazzle Harlequin Mosaic Tiles</t>
        </is>
      </c>
      <c r="D1080" s="1" t="inlineStr">
        <is>
          <t>305x305x8mm</t>
        </is>
      </c>
      <c r="E1080" s="1" t="n">
        <v>6.95</v>
      </c>
      <c r="F1080" s="1" t="n">
        <v>0</v>
      </c>
      <c r="G1080" s="1" t="inlineStr">
        <is>
          <t>Sheet</t>
        </is>
      </c>
      <c r="H1080" s="1" t="inlineStr">
        <is>
          <t>Glass</t>
        </is>
      </c>
      <c r="I1080" s="1" t="inlineStr">
        <is>
          <t>Mixed</t>
        </is>
      </c>
      <c r="J1080" t="n">
        <v>113</v>
      </c>
      <c r="K1080" t="n">
        <v>113</v>
      </c>
      <c r="L1080" t="n">
        <v>113</v>
      </c>
    </row>
    <row r="1081">
      <c r="A1081" s="1">
        <f>Hyperlink("https://www.wallsandfloors.co.uk/dazzle-mosaics-tiles-glitter-tiles","Product")</f>
        <v/>
      </c>
      <c r="B1081" s="1" t="inlineStr">
        <is>
          <t>7632</t>
        </is>
      </c>
      <c r="C1081" s="1" t="inlineStr">
        <is>
          <t>Dazzle Glitter Mosaic Tiles</t>
        </is>
      </c>
      <c r="D1081" s="1" t="inlineStr">
        <is>
          <t>305x305x8mm</t>
        </is>
      </c>
      <c r="E1081" s="1" t="n">
        <v>6.95</v>
      </c>
      <c r="F1081" s="1" t="n">
        <v>0</v>
      </c>
      <c r="G1081" s="1" t="inlineStr">
        <is>
          <t>Sheet</t>
        </is>
      </c>
      <c r="H1081" s="1" t="inlineStr">
        <is>
          <t>Glass</t>
        </is>
      </c>
      <c r="I1081" s="1" t="inlineStr">
        <is>
          <t>Mixed</t>
        </is>
      </c>
      <c r="J1081" t="n">
        <v>45</v>
      </c>
      <c r="K1081" t="inlineStr"/>
      <c r="L1081" t="n">
        <v>45</v>
      </c>
    </row>
    <row r="1082">
      <c r="A1082" s="1">
        <f>Hyperlink("https://www.wallsandfloors.co.uk/dark-honey-tiles","Product")</f>
        <v/>
      </c>
      <c r="B1082" s="1" t="inlineStr">
        <is>
          <t>14684</t>
        </is>
      </c>
      <c r="C1082" s="1" t="inlineStr">
        <is>
          <t>Madagascan Ipil Dark Honey Wood Effect Tiles</t>
        </is>
      </c>
      <c r="D1082" s="1" t="inlineStr">
        <is>
          <t>1200x230x8mm</t>
        </is>
      </c>
      <c r="E1082" s="1" t="n">
        <v>21.95</v>
      </c>
      <c r="F1082" s="1" t="n">
        <v>0</v>
      </c>
      <c r="G1082" s="1" t="inlineStr">
        <is>
          <t>SQM</t>
        </is>
      </c>
      <c r="H1082" s="1" t="inlineStr">
        <is>
          <t>Porcelain</t>
        </is>
      </c>
      <c r="I1082" s="1" t="inlineStr">
        <is>
          <t>Matt</t>
        </is>
      </c>
      <c r="J1082" t="inlineStr">
        <is>
          <t>Out of Stock</t>
        </is>
      </c>
      <c r="K1082" t="inlineStr">
        <is>
          <t>Out of Stock</t>
        </is>
      </c>
      <c r="L1082" t="inlineStr">
        <is>
          <t>Out of Stock</t>
        </is>
      </c>
    </row>
    <row r="1083">
      <c r="A1083" s="1">
        <f>Hyperlink("https://www.wallsandfloors.co.uk/delft-tiles-white-moldura-tiles","Product")</f>
        <v/>
      </c>
      <c r="B1083" s="1" t="inlineStr">
        <is>
          <t>13840</t>
        </is>
      </c>
      <c r="C1083" s="1" t="inlineStr">
        <is>
          <t>Delft White Moldura Border Tiles</t>
        </is>
      </c>
      <c r="D1083" s="1" t="inlineStr">
        <is>
          <t>150x50x7mm</t>
        </is>
      </c>
      <c r="E1083" s="1" t="n">
        <v>5.45</v>
      </c>
      <c r="F1083" s="1" t="n">
        <v>0</v>
      </c>
      <c r="G1083" s="1" t="inlineStr"/>
      <c r="H1083" s="1" t="inlineStr">
        <is>
          <t>Ceramic</t>
        </is>
      </c>
      <c r="I1083" s="1" t="inlineStr">
        <is>
          <t>Gloss</t>
        </is>
      </c>
      <c r="J1083" t="inlineStr"/>
      <c r="K1083" t="inlineStr">
        <is>
          <t>In Stock</t>
        </is>
      </c>
      <c r="L1083" t="inlineStr">
        <is>
          <t>In Stock</t>
        </is>
      </c>
    </row>
    <row r="1084">
      <c r="A1084" s="1">
        <f>Hyperlink("https://www.wallsandfloors.co.uk/devine-whites-tiles-satin-white-wall-15x15-tiles","Product")</f>
        <v/>
      </c>
      <c r="B1084" s="1" t="inlineStr">
        <is>
          <t>13338</t>
        </is>
      </c>
      <c r="C1084" s="1" t="inlineStr">
        <is>
          <t>Marvel Satin White Wall Tiles</t>
        </is>
      </c>
      <c r="D1084" s="1" t="inlineStr">
        <is>
          <t>148x148x6mm</t>
        </is>
      </c>
      <c r="E1084" s="1" t="n">
        <v>11.95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Satin</t>
        </is>
      </c>
      <c r="J1084" t="inlineStr"/>
      <c r="K1084" t="inlineStr">
        <is>
          <t>In Stock</t>
        </is>
      </c>
      <c r="L1084" t="inlineStr">
        <is>
          <t>In Stock</t>
        </is>
      </c>
    </row>
    <row r="1085">
      <c r="A1085" s="1">
        <f>Hyperlink("https://www.wallsandfloors.co.uk/devine-whites-tiles-satin-white-wall-20x20-tiles","Product")</f>
        <v/>
      </c>
      <c r="B1085" s="1" t="inlineStr">
        <is>
          <t>13340</t>
        </is>
      </c>
      <c r="C1085" s="1" t="inlineStr">
        <is>
          <t>Devine Satin White Wall Tiles</t>
        </is>
      </c>
      <c r="D1085" s="1" t="inlineStr">
        <is>
          <t>200x200x6.5mm</t>
        </is>
      </c>
      <c r="E1085" s="1" t="n">
        <v>13.95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Satin</t>
        </is>
      </c>
      <c r="J1085" t="inlineStr"/>
      <c r="K1085" t="inlineStr"/>
      <c r="L1085" t="inlineStr">
        <is>
          <t>Out of Stock</t>
        </is>
      </c>
    </row>
    <row r="1086">
      <c r="A1086" s="1">
        <f>Hyperlink("https://www.wallsandfloors.co.uk/devine-whites-tiles-satin-white-wall-33x25-tiles","Product")</f>
        <v/>
      </c>
      <c r="B1086" s="1" t="inlineStr">
        <is>
          <t>13343</t>
        </is>
      </c>
      <c r="C1086" s="1" t="inlineStr">
        <is>
          <t>Devine Satin White Wall Tiles</t>
        </is>
      </c>
      <c r="D1086" s="1" t="inlineStr">
        <is>
          <t>330x250x7mm</t>
        </is>
      </c>
      <c r="E1086" s="1" t="n">
        <v>15.95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Satin</t>
        </is>
      </c>
      <c r="J1086" t="n">
        <v>150</v>
      </c>
      <c r="K1086" t="n">
        <v>150</v>
      </c>
      <c r="L1086" t="n">
        <v>150</v>
      </c>
    </row>
    <row r="1087">
      <c r="A1087" s="1">
        <f>Hyperlink("https://www.wallsandfloors.co.uk/easy-gres-drill-bit-7-32-6-mm","Product")</f>
        <v/>
      </c>
      <c r="B1087" s="1" t="inlineStr">
        <is>
          <t>40408</t>
        </is>
      </c>
      <c r="C1087" s="1" t="inlineStr">
        <is>
          <t>EASYGRES Drill Bit 6mm</t>
        </is>
      </c>
      <c r="D1087" s="1" t="inlineStr">
        <is>
          <t>6mm</t>
        </is>
      </c>
      <c r="E1087" s="1" t="n">
        <v>3.95</v>
      </c>
      <c r="F1087" s="1" t="n">
        <v>0</v>
      </c>
      <c r="G1087" s="1" t="inlineStr">
        <is>
          <t>Unit</t>
        </is>
      </c>
      <c r="H1087" s="1" t="inlineStr">
        <is>
          <t>Accessories</t>
        </is>
      </c>
      <c r="I1087" s="1" t="inlineStr">
        <is>
          <t>-</t>
        </is>
      </c>
      <c r="J1087" t="inlineStr">
        <is>
          <t>In Stock</t>
        </is>
      </c>
      <c r="K1087" t="inlineStr">
        <is>
          <t>In Stock</t>
        </is>
      </c>
      <c r="L1087" t="inlineStr">
        <is>
          <t>In Stock</t>
        </is>
      </c>
    </row>
    <row r="1088">
      <c r="A1088" s="1">
        <f>Hyperlink("https://www.wallsandfloors.co.uk/easy-gres-drill-bit-5-16-8-mm-set","Product")</f>
        <v/>
      </c>
      <c r="B1088" s="1" t="inlineStr">
        <is>
          <t>40411</t>
        </is>
      </c>
      <c r="C1088" s="1" t="inlineStr">
        <is>
          <t>EASYGRES Drill Bit 8mm Kit</t>
        </is>
      </c>
      <c r="D1088" s="1" t="inlineStr">
        <is>
          <t>8mm</t>
        </is>
      </c>
      <c r="E1088" s="1" t="n">
        <v>12.25</v>
      </c>
      <c r="F1088" s="1" t="n">
        <v>0</v>
      </c>
      <c r="G1088" s="1" t="inlineStr">
        <is>
          <t>Unit</t>
        </is>
      </c>
      <c r="H1088" s="1" t="inlineStr">
        <is>
          <t>Accessories</t>
        </is>
      </c>
      <c r="I1088" s="1" t="inlineStr">
        <is>
          <t>-</t>
        </is>
      </c>
      <c r="J1088" t="inlineStr"/>
      <c r="K1088" t="inlineStr"/>
      <c r="L1088" t="inlineStr">
        <is>
          <t>In Stock</t>
        </is>
      </c>
    </row>
    <row r="1089">
      <c r="A1089" s="1">
        <f>Hyperlink("https://www.wallsandfloors.co.uk/easy-gres-drill-bit-5-16-8-mm","Product")</f>
        <v/>
      </c>
      <c r="B1089" s="1" t="inlineStr">
        <is>
          <t>40409</t>
        </is>
      </c>
      <c r="C1089" s="1" t="inlineStr">
        <is>
          <t>EASYGRES Drill Bit 8mm Kit</t>
        </is>
      </c>
      <c r="D1089" s="1" t="inlineStr">
        <is>
          <t>8mm</t>
        </is>
      </c>
      <c r="E1089" s="1" t="n">
        <v>4.55</v>
      </c>
      <c r="F1089" s="1" t="n">
        <v>0</v>
      </c>
      <c r="G1089" s="1" t="inlineStr">
        <is>
          <t>Unit</t>
        </is>
      </c>
      <c r="H1089" s="1" t="inlineStr">
        <is>
          <t>Accessories</t>
        </is>
      </c>
      <c r="I1089" s="1" t="inlineStr">
        <is>
          <t>-</t>
        </is>
      </c>
      <c r="J1089" t="inlineStr">
        <is>
          <t>In Stock</t>
        </is>
      </c>
      <c r="K1089" t="inlineStr">
        <is>
          <t>In Stock</t>
        </is>
      </c>
      <c r="L1089" t="inlineStr">
        <is>
          <t>In Stock</t>
        </is>
      </c>
    </row>
    <row r="1090">
      <c r="A1090" s="1">
        <f>Hyperlink("https://www.wallsandfloors.co.uk/earthstone-cream-puzzle-tiles","Product")</f>
        <v/>
      </c>
      <c r="B1090" s="1" t="inlineStr">
        <is>
          <t>39718</t>
        </is>
      </c>
      <c r="C1090" s="1" t="inlineStr">
        <is>
          <t>Earthstone Cream Puzzle Tiles</t>
        </is>
      </c>
      <c r="D1090" s="1" t="inlineStr">
        <is>
          <t>600x300x9mm</t>
        </is>
      </c>
      <c r="E1090" s="1" t="n">
        <v>24.95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Matt</t>
        </is>
      </c>
      <c r="J1090" t="n">
        <v>65</v>
      </c>
      <c r="K1090" t="n">
        <v>65</v>
      </c>
      <c r="L1090" t="n">
        <v>65</v>
      </c>
    </row>
    <row r="1091">
      <c r="A1091" s="1">
        <f>Hyperlink("https://www.wallsandfloors.co.uk/dusk-tiles-58763","Product")</f>
        <v/>
      </c>
      <c r="B1091" s="1" t="inlineStr">
        <is>
          <t>43050</t>
        </is>
      </c>
      <c r="C1091" s="1" t="inlineStr">
        <is>
          <t>Dusk Tiles</t>
        </is>
      </c>
      <c r="D1091" s="1" t="inlineStr">
        <is>
          <t>452x452x10mm</t>
        </is>
      </c>
      <c r="E1091" s="1" t="n">
        <v>29.95</v>
      </c>
      <c r="F1091" s="1" t="n">
        <v>0</v>
      </c>
      <c r="G1091" s="1" t="inlineStr">
        <is>
          <t>SQM</t>
        </is>
      </c>
      <c r="H1091" s="1" t="inlineStr">
        <is>
          <t>Porcelain</t>
        </is>
      </c>
      <c r="I1091" s="1" t="inlineStr">
        <is>
          <t>Matt</t>
        </is>
      </c>
      <c r="J1091" t="n">
        <v>85</v>
      </c>
      <c r="K1091" t="inlineStr"/>
      <c r="L1091" t="n">
        <v>85</v>
      </c>
    </row>
    <row r="1092">
      <c r="A1092" s="1">
        <f>Hyperlink("https://www.wallsandfloors.co.uk/dusk-nordic-tiles","Product")</f>
        <v/>
      </c>
      <c r="B1092" s="1" t="inlineStr">
        <is>
          <t>43087</t>
        </is>
      </c>
      <c r="C1092" s="1" t="inlineStr">
        <is>
          <t>Dusk Nordic Tiles</t>
        </is>
      </c>
      <c r="D1092" s="1" t="inlineStr">
        <is>
          <t>452x452x10mm</t>
        </is>
      </c>
      <c r="E1092" s="1" t="n">
        <v>29.95</v>
      </c>
      <c r="F1092" s="1" t="n">
        <v>0</v>
      </c>
      <c r="G1092" s="1" t="inlineStr">
        <is>
          <t>SQM</t>
        </is>
      </c>
      <c r="H1092" s="1" t="inlineStr">
        <is>
          <t>Porcelain</t>
        </is>
      </c>
      <c r="I1092" s="1" t="inlineStr">
        <is>
          <t>Matt</t>
        </is>
      </c>
      <c r="J1092" t="inlineStr"/>
      <c r="K1092" t="inlineStr">
        <is>
          <t>In Stock</t>
        </is>
      </c>
      <c r="L1092" t="inlineStr">
        <is>
          <t>In Stock</t>
        </is>
      </c>
    </row>
    <row r="1093">
      <c r="A1093" s="1">
        <f>Hyperlink("https://www.wallsandfloors.co.uk/dusk-corolla-tiles","Product")</f>
        <v/>
      </c>
      <c r="B1093" s="1" t="inlineStr">
        <is>
          <t>43092</t>
        </is>
      </c>
      <c r="C1093" s="1" t="inlineStr">
        <is>
          <t>Dusk Corolla Tiles</t>
        </is>
      </c>
      <c r="D1093" s="1" t="inlineStr">
        <is>
          <t>452x452x10mm</t>
        </is>
      </c>
      <c r="E1093" s="1" t="n">
        <v>29.95</v>
      </c>
      <c r="F1093" s="1" t="n">
        <v>0</v>
      </c>
      <c r="G1093" s="1" t="inlineStr">
        <is>
          <t>SQM</t>
        </is>
      </c>
      <c r="H1093" s="1" t="inlineStr">
        <is>
          <t>Porcelain</t>
        </is>
      </c>
      <c r="I1093" s="1" t="inlineStr">
        <is>
          <t>Matt</t>
        </is>
      </c>
      <c r="J1093" t="inlineStr"/>
      <c r="K1093" t="n">
        <v>61</v>
      </c>
      <c r="L1093" t="n">
        <v>61</v>
      </c>
    </row>
    <row r="1094">
      <c r="A1094" s="1">
        <f>Hyperlink("https://www.wallsandfloors.co.uk/drygres-drill-bit-o-3-8-10-mm","Product")</f>
        <v/>
      </c>
      <c r="B1094" s="1" t="inlineStr">
        <is>
          <t>40416</t>
        </is>
      </c>
      <c r="C1094" s="1" t="inlineStr">
        <is>
          <t>DRYGRES Drill Bit 10mm</t>
        </is>
      </c>
      <c r="D1094" s="1" t="inlineStr">
        <is>
          <t>10mm</t>
        </is>
      </c>
      <c r="E1094" s="1" t="n">
        <v>22.45</v>
      </c>
      <c r="F1094" s="1" t="n">
        <v>0</v>
      </c>
      <c r="G1094" s="1" t="inlineStr">
        <is>
          <t>Unit</t>
        </is>
      </c>
      <c r="H1094" s="1" t="inlineStr">
        <is>
          <t>Accessories</t>
        </is>
      </c>
      <c r="I1094" s="1" t="inlineStr">
        <is>
          <t>-</t>
        </is>
      </c>
      <c r="J1094" t="inlineStr">
        <is>
          <t>In Stock</t>
        </is>
      </c>
      <c r="K1094" t="inlineStr"/>
      <c r="L1094" t="inlineStr">
        <is>
          <t>In Stock</t>
        </is>
      </c>
    </row>
    <row r="1095">
      <c r="A1095" s="1">
        <f>Hyperlink("https://www.wallsandfloors.co.uk/drygres-drill-bit-o-1-4-6-mm","Product")</f>
        <v/>
      </c>
      <c r="B1095" s="1" t="inlineStr">
        <is>
          <t>40415</t>
        </is>
      </c>
      <c r="C1095" s="1" t="inlineStr">
        <is>
          <t>DRYGRES Drill Bit 6mm</t>
        </is>
      </c>
      <c r="D1095" s="1" t="inlineStr">
        <is>
          <t>6mm</t>
        </is>
      </c>
      <c r="E1095" s="1" t="n">
        <v>18.45</v>
      </c>
      <c r="F1095" s="1" t="n">
        <v>0</v>
      </c>
      <c r="G1095" s="1" t="inlineStr"/>
      <c r="H1095" s="1" t="inlineStr">
        <is>
          <t>Accessories</t>
        </is>
      </c>
      <c r="I1095" s="1" t="inlineStr">
        <is>
          <t>-</t>
        </is>
      </c>
      <c r="J1095" t="inlineStr">
        <is>
          <t>In Stock</t>
        </is>
      </c>
      <c r="K1095" t="inlineStr"/>
      <c r="L1095" t="inlineStr">
        <is>
          <t>In Stock</t>
        </is>
      </c>
    </row>
    <row r="1096">
      <c r="A1096" s="1">
        <f>Hyperlink("https://www.wallsandfloors.co.uk/drygres-drill-bit-o-1-3-8-35-mm","Product")</f>
        <v/>
      </c>
      <c r="B1096" s="1" t="inlineStr">
        <is>
          <t>40406</t>
        </is>
      </c>
      <c r="C1096" s="1" t="inlineStr">
        <is>
          <t>DRYGRES Drill Bit 35mm</t>
        </is>
      </c>
      <c r="D1096" s="1" t="inlineStr">
        <is>
          <t>35mm</t>
        </is>
      </c>
      <c r="E1096" s="1" t="n">
        <v>61.75</v>
      </c>
      <c r="F1096" s="1" t="n">
        <v>0</v>
      </c>
      <c r="G1096" s="1" t="inlineStr">
        <is>
          <t>Unit</t>
        </is>
      </c>
      <c r="H1096" s="1" t="inlineStr">
        <is>
          <t>Accessories</t>
        </is>
      </c>
      <c r="I1096" s="1" t="inlineStr">
        <is>
          <t>-</t>
        </is>
      </c>
      <c r="J1096" t="inlineStr"/>
      <c r="K1096" t="inlineStr">
        <is>
          <t>In Stock</t>
        </is>
      </c>
      <c r="L1096" t="inlineStr">
        <is>
          <t>In Stock</t>
        </is>
      </c>
    </row>
    <row r="1097">
      <c r="A1097" s="1">
        <f>Hyperlink("https://www.wallsandfloors.co.uk/drygres-drill-bit-o-1-3-4-43-mm","Product")</f>
        <v/>
      </c>
      <c r="B1097" s="1" t="inlineStr">
        <is>
          <t>40407</t>
        </is>
      </c>
      <c r="C1097" s="1" t="inlineStr">
        <is>
          <t>DRYGRES Drill Bit 43mm</t>
        </is>
      </c>
      <c r="D1097" s="1" t="inlineStr">
        <is>
          <t>43mm</t>
        </is>
      </c>
      <c r="E1097" s="1" t="n">
        <v>64.45</v>
      </c>
      <c r="F1097" s="1" t="n">
        <v>0</v>
      </c>
      <c r="G1097" s="1" t="inlineStr">
        <is>
          <t>Unit</t>
        </is>
      </c>
      <c r="H1097" s="1" t="inlineStr">
        <is>
          <t>Accessories</t>
        </is>
      </c>
      <c r="I1097" s="1" t="inlineStr">
        <is>
          <t>-</t>
        </is>
      </c>
      <c r="J1097" t="inlineStr"/>
      <c r="K1097" t="inlineStr">
        <is>
          <t>In Stock</t>
        </is>
      </c>
      <c r="L1097" t="inlineStr">
        <is>
          <t>In Stock</t>
        </is>
      </c>
    </row>
    <row r="1098">
      <c r="A1098" s="1">
        <f>Hyperlink("https://www.wallsandfloors.co.uk/drygres-drill-bit-o-1-1-8-28-mm","Product")</f>
        <v/>
      </c>
      <c r="B1098" s="1" t="inlineStr">
        <is>
          <t>39622</t>
        </is>
      </c>
      <c r="C1098" s="1" t="inlineStr">
        <is>
          <t>DRYGRES Drill Bit 28mm</t>
        </is>
      </c>
      <c r="D1098" s="1" t="inlineStr">
        <is>
          <t>28mm</t>
        </is>
      </c>
      <c r="E1098" s="1" t="n">
        <v>47.95</v>
      </c>
      <c r="F1098" s="1" t="n">
        <v>0</v>
      </c>
      <c r="G1098" s="1" t="inlineStr">
        <is>
          <t>Unit</t>
        </is>
      </c>
      <c r="H1098" s="1" t="inlineStr">
        <is>
          <t>Metal</t>
        </is>
      </c>
      <c r="I1098" s="1" t="inlineStr">
        <is>
          <t>-</t>
        </is>
      </c>
      <c r="J1098" t="inlineStr">
        <is>
          <t>In Stock</t>
        </is>
      </c>
      <c r="K1098" t="inlineStr">
        <is>
          <t>In Stock</t>
        </is>
      </c>
      <c r="L1098" t="inlineStr">
        <is>
          <t>In Stock</t>
        </is>
      </c>
    </row>
    <row r="1099">
      <c r="A1099" s="1">
        <f>Hyperlink("https://www.wallsandfloors.co.uk/drygres-drill-bit-3-4-20mm","Product")</f>
        <v/>
      </c>
      <c r="B1099" s="1" t="inlineStr">
        <is>
          <t>27382</t>
        </is>
      </c>
      <c r="C1099" s="1" t="inlineStr">
        <is>
          <t>Drygres Drill Bit 20mm</t>
        </is>
      </c>
      <c r="D1099" s="1" t="inlineStr">
        <is>
          <t>20mm</t>
        </is>
      </c>
      <c r="E1099" s="1" t="n">
        <v>47.95</v>
      </c>
      <c r="F1099" s="1" t="n">
        <v>0</v>
      </c>
      <c r="G1099" s="1" t="inlineStr">
        <is>
          <t>Unit</t>
        </is>
      </c>
      <c r="H1099" s="1" t="inlineStr">
        <is>
          <t>Accessories</t>
        </is>
      </c>
      <c r="I1099" s="1" t="inlineStr">
        <is>
          <t>-</t>
        </is>
      </c>
      <c r="J1099" t="inlineStr">
        <is>
          <t>In Stock</t>
        </is>
      </c>
      <c r="K1099" t="inlineStr">
        <is>
          <t>In Stock</t>
        </is>
      </c>
      <c r="L1099" t="inlineStr">
        <is>
          <t>In Stock</t>
        </is>
      </c>
    </row>
    <row r="1100">
      <c r="A1100" s="1">
        <f>Hyperlink("https://www.wallsandfloors.co.uk/double-suction-cup","Product")</f>
        <v/>
      </c>
      <c r="B1100" s="1" t="inlineStr">
        <is>
          <t>40417</t>
        </is>
      </c>
      <c r="C1100" s="1" t="inlineStr">
        <is>
          <t>Double Suction Cup</t>
        </is>
      </c>
      <c r="D1100" s="1" t="inlineStr">
        <is>
          <t>1 Size</t>
        </is>
      </c>
      <c r="E1100" s="1" t="n">
        <v>45.95</v>
      </c>
      <c r="F1100" s="1" t="n">
        <v>0</v>
      </c>
      <c r="G1100" s="1" t="inlineStr">
        <is>
          <t>Unit</t>
        </is>
      </c>
      <c r="H1100" s="1" t="inlineStr">
        <is>
          <t>Tools</t>
        </is>
      </c>
      <c r="I1100" s="1" t="inlineStr">
        <is>
          <t>-</t>
        </is>
      </c>
      <c r="J1100" t="inlineStr">
        <is>
          <t>Out of Stock</t>
        </is>
      </c>
      <c r="K1100" t="inlineStr">
        <is>
          <t>Out of Stock</t>
        </is>
      </c>
      <c r="L1100" t="inlineStr">
        <is>
          <t>Out of Stock</t>
        </is>
      </c>
    </row>
    <row r="1101">
      <c r="A1101" s="1">
        <f>Hyperlink("https://www.wallsandfloors.co.uk/dollymixx-plum-blush-terrazzo-tiles","Product")</f>
        <v/>
      </c>
      <c r="B1101" s="1" t="inlineStr">
        <is>
          <t>38598</t>
        </is>
      </c>
      <c r="C1101" s="1" t="inlineStr">
        <is>
          <t>Dollymixx Plum Blush Terrazzo Effect Tiles</t>
        </is>
      </c>
      <c r="D1101" s="1" t="inlineStr">
        <is>
          <t>185x185x8mm</t>
        </is>
      </c>
      <c r="E1101" s="1" t="n">
        <v>34.95</v>
      </c>
      <c r="F1101" s="1" t="n">
        <v>0</v>
      </c>
      <c r="G1101" s="1" t="inlineStr">
        <is>
          <t>SQM</t>
        </is>
      </c>
      <c r="H1101" s="1" t="inlineStr">
        <is>
          <t>Porcelain</t>
        </is>
      </c>
      <c r="I1101" s="1" t="inlineStr">
        <is>
          <t>Matt</t>
        </is>
      </c>
      <c r="J1101" t="inlineStr"/>
      <c r="K1101" t="n">
        <v>714</v>
      </c>
      <c r="L1101" t="n">
        <v>714</v>
      </c>
    </row>
    <row r="1102">
      <c r="A1102" s="1">
        <f>Hyperlink("https://www.wallsandfloors.co.uk/dollymixx-patina-dark-grey-terrazzo-tiles","Product")</f>
        <v/>
      </c>
      <c r="B1102" s="1" t="inlineStr">
        <is>
          <t>38595</t>
        </is>
      </c>
      <c r="C1102" s="1" t="inlineStr">
        <is>
          <t>Dollymixx Patina Dark Grey Terrazzo Tiles</t>
        </is>
      </c>
      <c r="D1102" s="1" t="inlineStr">
        <is>
          <t>185x185x8mm</t>
        </is>
      </c>
      <c r="E1102" s="1" t="n">
        <v>34.95</v>
      </c>
      <c r="F1102" s="1" t="n">
        <v>0</v>
      </c>
      <c r="G1102" s="1" t="inlineStr">
        <is>
          <t>SQM</t>
        </is>
      </c>
      <c r="H1102" s="1" t="inlineStr">
        <is>
          <t>Porcelain</t>
        </is>
      </c>
      <c r="I1102" s="1" t="inlineStr">
        <is>
          <t>Matt</t>
        </is>
      </c>
      <c r="J1102" t="n">
        <v>261</v>
      </c>
      <c r="K1102" t="n">
        <v>261</v>
      </c>
      <c r="L1102" t="n">
        <v>261</v>
      </c>
    </row>
    <row r="1103">
      <c r="A1103" s="1">
        <f>Hyperlink("https://www.wallsandfloors.co.uk/dollymixx-light-grey-moondust-terrazzo-tiles","Product")</f>
        <v/>
      </c>
      <c r="B1103" s="1" t="inlineStr">
        <is>
          <t>38597</t>
        </is>
      </c>
      <c r="C1103" s="1" t="inlineStr">
        <is>
          <t>Dollymixx Light Grey Moondust Terrazzo Tiles</t>
        </is>
      </c>
      <c r="D1103" s="1" t="inlineStr">
        <is>
          <t>185x185x8mm</t>
        </is>
      </c>
      <c r="E1103" s="1" t="n">
        <v>34.95</v>
      </c>
      <c r="F1103" s="1" t="n">
        <v>0</v>
      </c>
      <c r="G1103" s="1" t="inlineStr">
        <is>
          <t>SQM</t>
        </is>
      </c>
      <c r="H1103" s="1" t="inlineStr">
        <is>
          <t>Porcelain</t>
        </is>
      </c>
      <c r="I1103" s="1" t="inlineStr">
        <is>
          <t>Matt</t>
        </is>
      </c>
      <c r="J1103" t="inlineStr"/>
      <c r="K1103" t="n">
        <v>144</v>
      </c>
      <c r="L1103" t="n">
        <v>144</v>
      </c>
    </row>
    <row r="1104">
      <c r="A1104" s="1">
        <f>Hyperlink("https://www.wallsandfloors.co.uk/dollymixx-burmuda-dark-blue-terrazzo-tiles","Product")</f>
        <v/>
      </c>
      <c r="B1104" s="1" t="inlineStr">
        <is>
          <t>38594</t>
        </is>
      </c>
      <c r="C1104" s="1" t="inlineStr">
        <is>
          <t>Dollymixx Burmuda Dark Blue Terrazzo Effect Tiles</t>
        </is>
      </c>
      <c r="D1104" s="1" t="inlineStr">
        <is>
          <t>185x185x8mm</t>
        </is>
      </c>
      <c r="E1104" s="1" t="n">
        <v>34.95</v>
      </c>
      <c r="F1104" s="1" t="n">
        <v>0</v>
      </c>
      <c r="G1104" s="1" t="inlineStr">
        <is>
          <t>SQM</t>
        </is>
      </c>
      <c r="H1104" s="1" t="inlineStr">
        <is>
          <t>Porcelain</t>
        </is>
      </c>
      <c r="I1104" s="1" t="inlineStr">
        <is>
          <t>Matt</t>
        </is>
      </c>
      <c r="J1104" t="inlineStr"/>
      <c r="K1104" t="inlineStr"/>
      <c r="L1104" t="n">
        <v>182</v>
      </c>
    </row>
    <row r="1105">
      <c r="A1105" s="1">
        <f>Hyperlink("https://www.wallsandfloors.co.uk/dollymixx-bubblegum-light-blue-terrazzo-tiles","Product")</f>
        <v/>
      </c>
      <c r="B1105" s="1" t="inlineStr">
        <is>
          <t>38596</t>
        </is>
      </c>
      <c r="C1105" s="1" t="inlineStr">
        <is>
          <t>Dollymixx Bubblegum Light Blue Terrazzo Effect Tiles</t>
        </is>
      </c>
      <c r="D1105" s="1" t="inlineStr">
        <is>
          <t>185x185x8mm</t>
        </is>
      </c>
      <c r="E1105" s="1" t="n">
        <v>34.95</v>
      </c>
      <c r="F1105" s="1" t="n">
        <v>0</v>
      </c>
      <c r="G1105" s="1" t="inlineStr">
        <is>
          <t>SQM</t>
        </is>
      </c>
      <c r="H1105" s="1" t="inlineStr">
        <is>
          <t>Porcelain</t>
        </is>
      </c>
      <c r="I1105" s="1" t="inlineStr">
        <is>
          <t>Matt</t>
        </is>
      </c>
      <c r="J1105" t="n">
        <v>118</v>
      </c>
      <c r="K1105" t="n">
        <v>118</v>
      </c>
      <c r="L1105" t="n">
        <v>118</v>
      </c>
    </row>
    <row r="1106">
      <c r="A1106" s="1">
        <f>Hyperlink("https://www.wallsandfloors.co.uk/dollymixx-beige-shroom-terrazzo-tiles","Product")</f>
        <v/>
      </c>
      <c r="B1106" s="1" t="inlineStr">
        <is>
          <t>38593</t>
        </is>
      </c>
      <c r="C1106" s="1" t="inlineStr">
        <is>
          <t>Dollymixx Beige Shroom Terrazzo Tiles</t>
        </is>
      </c>
      <c r="D1106" s="1" t="inlineStr">
        <is>
          <t>185x185x8mm</t>
        </is>
      </c>
      <c r="E1106" s="1" t="n">
        <v>34.95</v>
      </c>
      <c r="F1106" s="1" t="n">
        <v>0</v>
      </c>
      <c r="G1106" s="1" t="inlineStr">
        <is>
          <t>SQM</t>
        </is>
      </c>
      <c r="H1106" s="1" t="inlineStr">
        <is>
          <t>Porcelain</t>
        </is>
      </c>
      <c r="I1106" s="1" t="inlineStr">
        <is>
          <t>Matt</t>
        </is>
      </c>
      <c r="J1106" t="inlineStr">
        <is>
          <t>In Stock</t>
        </is>
      </c>
      <c r="K1106" t="inlineStr">
        <is>
          <t>In Stock</t>
        </is>
      </c>
      <c r="L1106" t="inlineStr">
        <is>
          <t>Out of Stock</t>
        </is>
      </c>
    </row>
    <row r="1107">
      <c r="A1107" s="1">
        <f>Hyperlink("https://www.wallsandfloors.co.uk/diamond-blades-200mm-cev-diamond-blade","Product")</f>
        <v/>
      </c>
      <c r="B1107" s="1" t="inlineStr">
        <is>
          <t>9180</t>
        </is>
      </c>
      <c r="C1107" s="1" t="inlineStr">
        <is>
          <t>200mm CEV Diamond Blade SuperPro</t>
        </is>
      </c>
      <c r="D1107" s="1" t="inlineStr">
        <is>
          <t>200mm</t>
        </is>
      </c>
      <c r="E1107" s="1" t="n">
        <v>89.45</v>
      </c>
      <c r="F1107" s="1" t="n">
        <v>0</v>
      </c>
      <c r="G1107" s="1" t="inlineStr">
        <is>
          <t>Unit</t>
        </is>
      </c>
      <c r="H1107" s="1" t="inlineStr">
        <is>
          <t>Spare Wheels and Parts</t>
        </is>
      </c>
      <c r="I1107" s="1" t="inlineStr">
        <is>
          <t>-</t>
        </is>
      </c>
      <c r="J1107" t="inlineStr"/>
      <c r="K1107" t="inlineStr"/>
      <c r="L1107" t="inlineStr">
        <is>
          <t>In Stock</t>
        </is>
      </c>
    </row>
    <row r="1108">
      <c r="A1108" s="1">
        <f>Hyperlink("https://www.wallsandfloors.co.uk/diablo-travertine-effect-tiles-cream-stone-effect-tiles","Product")</f>
        <v/>
      </c>
      <c r="B1108" s="1" t="inlineStr">
        <is>
          <t>15288</t>
        </is>
      </c>
      <c r="C1108" s="1" t="inlineStr">
        <is>
          <t>Diablo Cream Travertine Effect Tiles</t>
        </is>
      </c>
      <c r="D1108" s="1" t="inlineStr">
        <is>
          <t>600x400x7.5mm</t>
        </is>
      </c>
      <c r="E1108" s="1" t="n">
        <v>20.95</v>
      </c>
      <c r="F1108" s="1" t="n">
        <v>0</v>
      </c>
      <c r="G1108" s="1" t="inlineStr">
        <is>
          <t>SQM</t>
        </is>
      </c>
      <c r="H1108" s="1" t="inlineStr">
        <is>
          <t>Porcelain</t>
        </is>
      </c>
      <c r="I1108" s="1" t="inlineStr">
        <is>
          <t>Matt</t>
        </is>
      </c>
      <c r="J1108" t="n">
        <v>223</v>
      </c>
      <c r="K1108" t="n">
        <v>223</v>
      </c>
      <c r="L1108" t="n">
        <v>223</v>
      </c>
    </row>
    <row r="1109">
      <c r="A1109" s="1">
        <f>Hyperlink("https://www.wallsandfloors.co.uk/devine-whites-tiles-satin-white-wall-60x30-tiles","Product")</f>
        <v/>
      </c>
      <c r="B1109" s="1" t="inlineStr">
        <is>
          <t>13345</t>
        </is>
      </c>
      <c r="C1109" s="1" t="inlineStr">
        <is>
          <t>Devine Satin White Wall Tiles</t>
        </is>
      </c>
      <c r="D1109" s="1" t="inlineStr">
        <is>
          <t>600x300x10mm</t>
        </is>
      </c>
      <c r="E1109" s="1" t="n">
        <v>19.95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Satin</t>
        </is>
      </c>
      <c r="J1109" t="inlineStr">
        <is>
          <t>Out of Stock</t>
        </is>
      </c>
      <c r="K1109" t="inlineStr"/>
      <c r="L1109" t="inlineStr">
        <is>
          <t>Out of Stock</t>
        </is>
      </c>
    </row>
    <row r="1110">
      <c r="A1110" s="1">
        <f>Hyperlink("https://www.wallsandfloors.co.uk/dark-green-strip-150x25mm-tiles","Product")</f>
        <v/>
      </c>
      <c r="B1110" s="1" t="inlineStr">
        <is>
          <t>990243</t>
        </is>
      </c>
      <c r="C1110" s="1" t="inlineStr">
        <is>
          <t>Dark Green Strip Tiles</t>
        </is>
      </c>
      <c r="D1110" s="1" t="inlineStr">
        <is>
          <t>150x25x9-10mm</t>
        </is>
      </c>
      <c r="E1110" s="1" t="n">
        <v>2.37</v>
      </c>
      <c r="F1110" s="1" t="n">
        <v>0</v>
      </c>
      <c r="G1110" s="1" t="inlineStr">
        <is>
          <t>SQM</t>
        </is>
      </c>
      <c r="H1110" s="1" t="inlineStr">
        <is>
          <t>Porcelain</t>
        </is>
      </c>
      <c r="I1110" s="1" t="inlineStr">
        <is>
          <t>Matt</t>
        </is>
      </c>
      <c r="J1110" t="n">
        <v>248</v>
      </c>
      <c r="K1110" t="inlineStr"/>
      <c r="L1110" t="n">
        <v>248</v>
      </c>
    </row>
    <row r="1111">
      <c r="A1111" s="1">
        <f>Hyperlink("https://www.wallsandfloors.co.uk/dark-green-squares-70mm-tiles","Product")</f>
        <v/>
      </c>
      <c r="B1111" s="1" t="inlineStr">
        <is>
          <t>990058</t>
        </is>
      </c>
      <c r="C1111" s="1" t="inlineStr">
        <is>
          <t>Dark Green Squares 70mm Tiles</t>
        </is>
      </c>
      <c r="D1111" s="1" t="inlineStr">
        <is>
          <t>70x70x9-10mm</t>
        </is>
      </c>
      <c r="E1111" s="1" t="n">
        <v>0.85</v>
      </c>
      <c r="F1111" s="1" t="n">
        <v>0</v>
      </c>
      <c r="G1111" s="1" t="inlineStr">
        <is>
          <t>SQM</t>
        </is>
      </c>
      <c r="H1111" s="1" t="inlineStr">
        <is>
          <t>Porcelain</t>
        </is>
      </c>
      <c r="I1111" s="1" t="inlineStr">
        <is>
          <t>Matt</t>
        </is>
      </c>
      <c r="J1111" t="n">
        <v>91</v>
      </c>
      <c r="K1111" t="n">
        <v>91</v>
      </c>
      <c r="L1111" t="n">
        <v>91</v>
      </c>
    </row>
    <row r="1112">
      <c r="A1112" s="1">
        <f>Hyperlink("https://www.wallsandfloors.co.uk/dark-green-squares-50mm-tiles","Product")</f>
        <v/>
      </c>
      <c r="B1112" s="1" t="inlineStr">
        <is>
          <t>990083</t>
        </is>
      </c>
      <c r="C1112" s="1" t="inlineStr">
        <is>
          <t>Dark Green Squares 50mm Tiles</t>
        </is>
      </c>
      <c r="D1112" s="1" t="inlineStr">
        <is>
          <t>50x50x9-10mm</t>
        </is>
      </c>
      <c r="E1112" s="1" t="n">
        <v>0.67</v>
      </c>
      <c r="F1112" s="1" t="n">
        <v>0</v>
      </c>
      <c r="G1112" s="1" t="inlineStr">
        <is>
          <t>SQM</t>
        </is>
      </c>
      <c r="H1112" s="1" t="inlineStr">
        <is>
          <t>Porcelain</t>
        </is>
      </c>
      <c r="I1112" s="1" t="inlineStr">
        <is>
          <t>Matt</t>
        </is>
      </c>
      <c r="J1112" t="n">
        <v>234</v>
      </c>
      <c r="K1112" t="inlineStr"/>
      <c r="L1112" t="n">
        <v>234</v>
      </c>
    </row>
    <row r="1113">
      <c r="A1113" s="1">
        <f>Hyperlink("https://www.wallsandfloors.co.uk/dark-green-squares-150mm-tiles","Product")</f>
        <v/>
      </c>
      <c r="B1113" s="1" t="inlineStr">
        <is>
          <t>990021</t>
        </is>
      </c>
      <c r="C1113" s="1" t="inlineStr">
        <is>
          <t>Dark Green Squares Tiles</t>
        </is>
      </c>
      <c r="D1113" s="1" t="inlineStr">
        <is>
          <t>150x150x9-10mm</t>
        </is>
      </c>
      <c r="E1113" s="1" t="n">
        <v>2.66</v>
      </c>
      <c r="F1113" s="1" t="n">
        <v>0</v>
      </c>
      <c r="G1113" s="1" t="inlineStr">
        <is>
          <t>SQM</t>
        </is>
      </c>
      <c r="H1113" s="1" t="inlineStr">
        <is>
          <t>Porcelain</t>
        </is>
      </c>
      <c r="I1113" s="1" t="inlineStr">
        <is>
          <t>Matt</t>
        </is>
      </c>
      <c r="J1113" t="n">
        <v>147</v>
      </c>
      <c r="K1113" t="n">
        <v>147</v>
      </c>
      <c r="L1113" t="n">
        <v>147</v>
      </c>
    </row>
    <row r="1114">
      <c r="A1114" s="1">
        <f>Hyperlink("https://www.wallsandfloors.co.uk/cpc2-10-diamond-250mm-porcelain-tile-diamond-blade","Product")</f>
        <v/>
      </c>
      <c r="B1114" s="1" t="inlineStr">
        <is>
          <t>27521</t>
        </is>
      </c>
      <c r="C1114" s="1" t="inlineStr">
        <is>
          <t>CPC 250mm 10" Porcelain Tile Diamond Blade</t>
        </is>
      </c>
      <c r="D1114" s="1" t="inlineStr">
        <is>
          <t>250mm</t>
        </is>
      </c>
      <c r="E1114" s="1" t="n">
        <v>77.45</v>
      </c>
      <c r="F1114" s="1" t="n">
        <v>0</v>
      </c>
      <c r="G1114" s="1" t="inlineStr">
        <is>
          <t>Unit</t>
        </is>
      </c>
      <c r="H1114" s="1" t="inlineStr">
        <is>
          <t>Accessories</t>
        </is>
      </c>
      <c r="I1114" s="1" t="inlineStr">
        <is>
          <t>-</t>
        </is>
      </c>
      <c r="J1114" t="inlineStr">
        <is>
          <t>In Stock</t>
        </is>
      </c>
      <c r="K1114" t="inlineStr">
        <is>
          <t>In Stock</t>
        </is>
      </c>
      <c r="L1114" t="inlineStr">
        <is>
          <t>In Stock</t>
        </is>
      </c>
    </row>
    <row r="1115">
      <c r="A1115" s="1">
        <f>Hyperlink("https://www.wallsandfloors.co.uk/cpa180-wheel-hard-materials-diamond-blade","Product")</f>
        <v/>
      </c>
      <c r="B1115" s="1" t="inlineStr">
        <is>
          <t>27512</t>
        </is>
      </c>
      <c r="C1115" s="1" t="inlineStr">
        <is>
          <t>CPA 180mm Hard Materials Diamond Blade</t>
        </is>
      </c>
      <c r="D1115" s="1" t="n">
        <v>1</v>
      </c>
      <c r="E1115" s="1" t="n">
        <v>62.89</v>
      </c>
      <c r="F1115" s="1" t="n">
        <v>0</v>
      </c>
      <c r="G1115" s="1" t="inlineStr">
        <is>
          <t>Unit</t>
        </is>
      </c>
      <c r="H1115" s="1" t="inlineStr">
        <is>
          <t>Accessories</t>
        </is>
      </c>
      <c r="I1115" s="1" t="inlineStr">
        <is>
          <t>-</t>
        </is>
      </c>
      <c r="J1115" t="inlineStr">
        <is>
          <t>In Stock</t>
        </is>
      </c>
      <c r="K1115" t="inlineStr"/>
      <c r="L1115" t="inlineStr">
        <is>
          <t>In Stock</t>
        </is>
      </c>
    </row>
    <row r="1116">
      <c r="A1116" s="1">
        <f>Hyperlink("https://www.wallsandfloors.co.uk/cpa-blade-200mm-hard-materials-diamond-blade","Product")</f>
        <v/>
      </c>
      <c r="B1116" s="1" t="inlineStr">
        <is>
          <t>27513</t>
        </is>
      </c>
      <c r="C1116" s="1" t="inlineStr">
        <is>
          <t>CPA 200mm Hard Materials Diamond Blade</t>
        </is>
      </c>
      <c r="D1116" s="1" t="inlineStr">
        <is>
          <t>200mm</t>
        </is>
      </c>
      <c r="E1116" s="1" t="n">
        <v>72.75</v>
      </c>
      <c r="F1116" s="1" t="n">
        <v>0</v>
      </c>
      <c r="G1116" s="1" t="inlineStr">
        <is>
          <t>Unit</t>
        </is>
      </c>
      <c r="H1116" s="1" t="inlineStr">
        <is>
          <t>Accessories</t>
        </is>
      </c>
      <c r="I1116" s="1" t="inlineStr">
        <is>
          <t>-</t>
        </is>
      </c>
      <c r="J1116" t="inlineStr"/>
      <c r="K1116" t="inlineStr">
        <is>
          <t>In Stock</t>
        </is>
      </c>
      <c r="L1116" t="inlineStr">
        <is>
          <t>In Stock</t>
        </is>
      </c>
    </row>
    <row r="1117">
      <c r="A1117" s="1">
        <f>Hyperlink("https://www.wallsandfloors.co.uk/cpa-250-superpro-hard-materials-diamond-blade","Product")</f>
        <v/>
      </c>
      <c r="B1117" s="1" t="inlineStr">
        <is>
          <t>40400</t>
        </is>
      </c>
      <c r="C1117" s="1" t="inlineStr">
        <is>
          <t>CPA 250mm Super Pro Hard Materials Diamond Blade</t>
        </is>
      </c>
      <c r="D1117" s="1" t="inlineStr">
        <is>
          <t>250mm</t>
        </is>
      </c>
      <c r="E1117" s="1" t="n">
        <v>132.45</v>
      </c>
      <c r="F1117" s="1" t="n">
        <v>0</v>
      </c>
      <c r="G1117" s="1" t="inlineStr">
        <is>
          <t>Unit</t>
        </is>
      </c>
      <c r="H1117" s="1" t="inlineStr">
        <is>
          <t>Accessories</t>
        </is>
      </c>
      <c r="I1117" s="1" t="inlineStr">
        <is>
          <t>-</t>
        </is>
      </c>
      <c r="J1117" t="inlineStr">
        <is>
          <t>In Stock</t>
        </is>
      </c>
      <c r="K1117" t="inlineStr"/>
      <c r="L1117" t="inlineStr">
        <is>
          <t>In Stock</t>
        </is>
      </c>
    </row>
    <row r="1118">
      <c r="A1118" s="1">
        <f>Hyperlink("https://www.wallsandfloors.co.uk/courtyard-slate-silver-peony-slate-effect-mosaic-tiles","Product")</f>
        <v/>
      </c>
      <c r="B1118" s="1" t="inlineStr">
        <is>
          <t>24752</t>
        </is>
      </c>
      <c r="C1118" s="1" t="inlineStr">
        <is>
          <t>Courtyard Silver Peony Slate Effect Mosaic Tiles</t>
        </is>
      </c>
      <c r="D1118" s="1" t="inlineStr">
        <is>
          <t>297x297x7.5mm</t>
        </is>
      </c>
      <c r="E1118" s="1" t="n">
        <v>7.95</v>
      </c>
      <c r="F1118" s="1" t="n">
        <v>0</v>
      </c>
      <c r="G1118" s="1" t="inlineStr">
        <is>
          <t>Sheet</t>
        </is>
      </c>
      <c r="H1118" s="1" t="inlineStr">
        <is>
          <t>Porcelain</t>
        </is>
      </c>
      <c r="I1118" s="1" t="inlineStr">
        <is>
          <t>Matt</t>
        </is>
      </c>
      <c r="J1118" t="inlineStr">
        <is>
          <t>In Stock</t>
        </is>
      </c>
      <c r="K1118" t="inlineStr"/>
      <c r="L1118" t="inlineStr">
        <is>
          <t>In Stock</t>
        </is>
      </c>
    </row>
    <row r="1119">
      <c r="A1119" s="1">
        <f>Hyperlink("https://www.wallsandfloors.co.uk/courtyard-slate-perle-noir-slate-effect-tiles","Product")</f>
        <v/>
      </c>
      <c r="B1119" s="1" t="inlineStr">
        <is>
          <t>24747</t>
        </is>
      </c>
      <c r="C1119" s="1" t="inlineStr">
        <is>
          <t>Courtyard Perle Noir Slate Effect Tiles</t>
        </is>
      </c>
      <c r="D1119" s="1" t="inlineStr">
        <is>
          <t>598x297x7.5mm</t>
        </is>
      </c>
      <c r="E1119" s="1" t="n">
        <v>14.95</v>
      </c>
      <c r="F1119" s="1" t="n">
        <v>0</v>
      </c>
      <c r="G1119" s="1" t="inlineStr">
        <is>
          <t>SQM</t>
        </is>
      </c>
      <c r="H1119" s="1" t="inlineStr">
        <is>
          <t>Porcelain</t>
        </is>
      </c>
      <c r="I1119" s="1" t="inlineStr">
        <is>
          <t>Matt</t>
        </is>
      </c>
      <c r="J1119" t="inlineStr"/>
      <c r="K1119" t="n">
        <v>407</v>
      </c>
      <c r="L1119" t="n">
        <v>407</v>
      </c>
    </row>
    <row r="1120">
      <c r="A1120" s="1">
        <f>Hyperlink("https://www.wallsandfloors.co.uk/courtyard-slate-perle-noir-slate-effect-mosaic-tiles","Product")</f>
        <v/>
      </c>
      <c r="B1120" s="1" t="inlineStr">
        <is>
          <t>24748</t>
        </is>
      </c>
      <c r="C1120" s="1" t="inlineStr">
        <is>
          <t>Courtyard Perle Noir Slate Effect Mosaic Tiles</t>
        </is>
      </c>
      <c r="D1120" s="1" t="inlineStr">
        <is>
          <t>297x297x7.5mm</t>
        </is>
      </c>
      <c r="E1120" s="1" t="n">
        <v>7.95</v>
      </c>
      <c r="F1120" s="1" t="n">
        <v>0</v>
      </c>
      <c r="G1120" s="1" t="inlineStr">
        <is>
          <t>Sheet</t>
        </is>
      </c>
      <c r="H1120" s="1" t="inlineStr">
        <is>
          <t>Porcelain</t>
        </is>
      </c>
      <c r="I1120" s="1" t="inlineStr">
        <is>
          <t>Matt</t>
        </is>
      </c>
      <c r="J1120" t="inlineStr">
        <is>
          <t>Out of Stock</t>
        </is>
      </c>
      <c r="K1120" t="inlineStr">
        <is>
          <t>Out of Stock</t>
        </is>
      </c>
      <c r="L1120" t="inlineStr">
        <is>
          <t>Out of Stock</t>
        </is>
      </c>
    </row>
    <row r="1121">
      <c r="A1121" s="1">
        <f>Hyperlink("https://www.wallsandfloors.co.uk/country-farmhouse-multicolour-slate-tiles-multicolour-slate-60x40-tiles","Product")</f>
        <v/>
      </c>
      <c r="B1121" s="1" t="inlineStr">
        <is>
          <t>12113</t>
        </is>
      </c>
      <c r="C1121" s="1" t="inlineStr">
        <is>
          <t>Country Farmhouse Multicolour Slate Tiles</t>
        </is>
      </c>
      <c r="D1121" s="1" t="inlineStr">
        <is>
          <t>600x400x7-12mm</t>
        </is>
      </c>
      <c r="E1121" s="1" t="n">
        <v>25.95</v>
      </c>
      <c r="F1121" s="1" t="n">
        <v>0</v>
      </c>
      <c r="G1121" s="1" t="inlineStr">
        <is>
          <t>SQM</t>
        </is>
      </c>
      <c r="H1121" s="1" t="inlineStr">
        <is>
          <t>Slate</t>
        </is>
      </c>
      <c r="I1121" s="1" t="inlineStr">
        <is>
          <t>Matt</t>
        </is>
      </c>
      <c r="J1121" t="inlineStr"/>
      <c r="K1121" t="inlineStr">
        <is>
          <t>In Stock</t>
        </is>
      </c>
      <c r="L1121" t="inlineStr">
        <is>
          <t>In Stock</t>
        </is>
      </c>
    </row>
    <row r="1122">
      <c r="A1122" s="1">
        <f>Hyperlink("https://www.wallsandfloors.co.uk/cotton-soft-white-tiles","Product")</f>
        <v/>
      </c>
      <c r="B1122" s="1" t="inlineStr">
        <is>
          <t>38434</t>
        </is>
      </c>
      <c r="C1122" s="1" t="inlineStr">
        <is>
          <t>Cotton Soft White Tiles</t>
        </is>
      </c>
      <c r="D1122" s="1" t="inlineStr">
        <is>
          <t>300x200x8mm</t>
        </is>
      </c>
      <c r="E1122" s="1" t="n">
        <v>30.95</v>
      </c>
      <c r="F1122" s="1" t="n">
        <v>0</v>
      </c>
      <c r="G1122" s="1" t="inlineStr">
        <is>
          <t>SQM</t>
        </is>
      </c>
      <c r="H1122" s="1" t="inlineStr">
        <is>
          <t>Ceramic</t>
        </is>
      </c>
      <c r="I1122" s="1" t="inlineStr">
        <is>
          <t>Satin</t>
        </is>
      </c>
      <c r="J1122" t="inlineStr">
        <is>
          <t>In Stock</t>
        </is>
      </c>
      <c r="K1122" t="inlineStr">
        <is>
          <t>In Stock</t>
        </is>
      </c>
      <c r="L1122" t="inlineStr">
        <is>
          <t>In Stock</t>
        </is>
      </c>
    </row>
    <row r="1123">
      <c r="A1123" s="1">
        <f>Hyperlink("https://www.wallsandfloors.co.uk/cotton-soft-taupe-tiles","Product")</f>
        <v/>
      </c>
      <c r="B1123" s="1" t="inlineStr">
        <is>
          <t>38435</t>
        </is>
      </c>
      <c r="C1123" s="1" t="inlineStr">
        <is>
          <t>Cotton Soft Taupe Tiles</t>
        </is>
      </c>
      <c r="D1123" s="1" t="inlineStr">
        <is>
          <t>300x200x8mm</t>
        </is>
      </c>
      <c r="E1123" s="1" t="n">
        <v>30.95</v>
      </c>
      <c r="F1123" s="1" t="n">
        <v>0</v>
      </c>
      <c r="G1123" s="1" t="inlineStr">
        <is>
          <t>SQM</t>
        </is>
      </c>
      <c r="H1123" s="1" t="inlineStr">
        <is>
          <t>Ceramic</t>
        </is>
      </c>
      <c r="I1123" s="1" t="inlineStr">
        <is>
          <t>Satin</t>
        </is>
      </c>
      <c r="J1123" t="inlineStr">
        <is>
          <t>Out of Stock</t>
        </is>
      </c>
      <c r="K1123" t="inlineStr"/>
      <c r="L1123" t="inlineStr">
        <is>
          <t>Out of Stock</t>
        </is>
      </c>
    </row>
    <row r="1124">
      <c r="A1124" s="1">
        <f>Hyperlink("https://www.wallsandfloors.co.uk/cotton-soft-grey-tiles","Product")</f>
        <v/>
      </c>
      <c r="B1124" s="1" t="inlineStr">
        <is>
          <t>38436</t>
        </is>
      </c>
      <c r="C1124" s="1" t="inlineStr">
        <is>
          <t>Cotton Soft Grey Tiles</t>
        </is>
      </c>
      <c r="D1124" s="1" t="inlineStr">
        <is>
          <t>300x200x8mm</t>
        </is>
      </c>
      <c r="E1124" s="1" t="n">
        <v>30.95</v>
      </c>
      <c r="F1124" s="1" t="n">
        <v>0</v>
      </c>
      <c r="G1124" s="1" t="inlineStr">
        <is>
          <t>SQM</t>
        </is>
      </c>
      <c r="H1124" s="1" t="inlineStr">
        <is>
          <t>Ceramic</t>
        </is>
      </c>
      <c r="I1124" s="1" t="inlineStr">
        <is>
          <t>Satin</t>
        </is>
      </c>
      <c r="J1124" t="inlineStr">
        <is>
          <t>In Stock</t>
        </is>
      </c>
      <c r="K1124" t="inlineStr">
        <is>
          <t>In Stock</t>
        </is>
      </c>
      <c r="L1124" t="inlineStr">
        <is>
          <t>In Stock</t>
        </is>
      </c>
    </row>
    <row r="1125">
      <c r="A1125" s="1">
        <f>Hyperlink("https://www.wallsandfloors.co.uk/coton-white-gloss-tiles","Product")</f>
        <v/>
      </c>
      <c r="B1125" s="1" t="inlineStr">
        <is>
          <t>15156</t>
        </is>
      </c>
      <c r="C1125" s="1" t="inlineStr">
        <is>
          <t>Cotton Bone Metro Tiles</t>
        </is>
      </c>
      <c r="D1125" s="1" t="inlineStr">
        <is>
          <t>300x100x8mm</t>
        </is>
      </c>
      <c r="E1125" s="1" t="n">
        <v>25.95</v>
      </c>
      <c r="F1125" s="1" t="n">
        <v>0</v>
      </c>
      <c r="G1125" s="1" t="inlineStr">
        <is>
          <t>SQM</t>
        </is>
      </c>
      <c r="H1125" s="1" t="inlineStr">
        <is>
          <t>Ceramic</t>
        </is>
      </c>
      <c r="I1125" s="1" t="inlineStr">
        <is>
          <t>Gloss</t>
        </is>
      </c>
      <c r="J1125" t="n">
        <v>84</v>
      </c>
      <c r="K1125" t="n">
        <v>84</v>
      </c>
      <c r="L1125" t="n">
        <v>84</v>
      </c>
    </row>
    <row r="1126">
      <c r="A1126" s="1">
        <f>Hyperlink("https://www.wallsandfloors.co.uk/contour-shadow-hexagon-tiles","Product")</f>
        <v/>
      </c>
      <c r="B1126" s="1" t="inlineStr">
        <is>
          <t>14521</t>
        </is>
      </c>
      <c r="C1126" s="1" t="inlineStr">
        <is>
          <t>Contour Shadow Hexagon Tiles</t>
        </is>
      </c>
      <c r="D1126" s="1" t="inlineStr">
        <is>
          <t>330x285x9mm</t>
        </is>
      </c>
      <c r="E1126" s="1" t="n">
        <v>33.95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Matt</t>
        </is>
      </c>
      <c r="J1126" t="n">
        <v>98</v>
      </c>
      <c r="K1126" t="inlineStr"/>
      <c r="L1126" t="n">
        <v>98</v>
      </c>
    </row>
    <row r="1127">
      <c r="A1127" s="1">
        <f>Hyperlink("https://www.wallsandfloors.co.uk/concrete-natural-20x20-matt-decor-tiles","Product")</f>
        <v/>
      </c>
      <c r="B1127" s="1" t="inlineStr">
        <is>
          <t>43879</t>
        </is>
      </c>
      <c r="C1127" s="1" t="inlineStr">
        <is>
          <t>Ritz Concrete Natural Matt Decor Tiles</t>
        </is>
      </c>
      <c r="D1127" s="1" t="inlineStr">
        <is>
          <t>200x200x8.5mm</t>
        </is>
      </c>
      <c r="E1127" s="1" t="n">
        <v>40.95</v>
      </c>
      <c r="F1127" s="1" t="n">
        <v>0</v>
      </c>
      <c r="G1127" s="1" t="inlineStr">
        <is>
          <t>SQM</t>
        </is>
      </c>
      <c r="H1127" s="1" t="inlineStr">
        <is>
          <t>Porcelain</t>
        </is>
      </c>
      <c r="I1127" s="1" t="inlineStr">
        <is>
          <t>Matt</t>
        </is>
      </c>
      <c r="J1127" t="inlineStr">
        <is>
          <t>In Stock</t>
        </is>
      </c>
      <c r="K1127" t="inlineStr"/>
      <c r="L1127" t="inlineStr">
        <is>
          <t>In Stock</t>
        </is>
      </c>
    </row>
    <row r="1128">
      <c r="A1128" s="1">
        <f>Hyperlink("https://www.wallsandfloors.co.uk/coimbra-tiles-large-dune-tiles","Product")</f>
        <v/>
      </c>
      <c r="B1128" s="1" t="inlineStr">
        <is>
          <t>12126</t>
        </is>
      </c>
      <c r="C1128" s="1" t="inlineStr">
        <is>
          <t>Coimbra Dune Cream Stone Effect Tiles</t>
        </is>
      </c>
      <c r="D1128" s="1" t="inlineStr">
        <is>
          <t>600x600x9mm</t>
        </is>
      </c>
      <c r="E1128" s="1" t="n">
        <v>18.95</v>
      </c>
      <c r="F1128" s="1" t="n">
        <v>0</v>
      </c>
      <c r="G1128" s="1" t="inlineStr">
        <is>
          <t>SQM</t>
        </is>
      </c>
      <c r="H1128" s="1" t="inlineStr">
        <is>
          <t>Porcelain</t>
        </is>
      </c>
      <c r="I1128" s="1" t="inlineStr">
        <is>
          <t>Matt</t>
        </is>
      </c>
      <c r="J1128" t="n">
        <v>126</v>
      </c>
      <c r="K1128" t="n">
        <v>126</v>
      </c>
      <c r="L1128" t="n">
        <v>126</v>
      </c>
    </row>
    <row r="1129">
      <c r="A1129" s="1">
        <f>Hyperlink("https://www.wallsandfloors.co.uk/cognac-triangle-70x70x100mm-tiles","Product")</f>
        <v/>
      </c>
      <c r="B1129" s="1" t="inlineStr">
        <is>
          <t>990191</t>
        </is>
      </c>
      <c r="C1129" s="1" t="inlineStr">
        <is>
          <t>Cognac Triangle 70x70x100mm Tiles</t>
        </is>
      </c>
      <c r="D1129" s="1" t="inlineStr">
        <is>
          <t>70x70x100mm</t>
        </is>
      </c>
      <c r="E1129" s="1" t="n">
        <v>2.21</v>
      </c>
      <c r="F1129" s="1" t="n">
        <v>0</v>
      </c>
      <c r="G1129" s="1" t="inlineStr">
        <is>
          <t>SQM</t>
        </is>
      </c>
      <c r="H1129" s="1" t="inlineStr">
        <is>
          <t>Porcelain</t>
        </is>
      </c>
      <c r="I1129" s="1" t="inlineStr">
        <is>
          <t>Matt</t>
        </is>
      </c>
      <c r="J1129" t="inlineStr"/>
      <c r="K1129" t="n">
        <v>58</v>
      </c>
      <c r="L1129" t="n">
        <v>58</v>
      </c>
    </row>
    <row r="1130">
      <c r="A1130" s="1">
        <f>Hyperlink("https://www.wallsandfloors.co.uk/cognac-triangle-100x100x140mm-tiles","Product")</f>
        <v/>
      </c>
      <c r="B1130" s="1" t="inlineStr">
        <is>
          <t>990216</t>
        </is>
      </c>
      <c r="C1130" s="1" t="inlineStr">
        <is>
          <t>Cognac Triangle Tiles</t>
        </is>
      </c>
      <c r="D1130" s="1" t="inlineStr">
        <is>
          <t>100x100x1400mm</t>
        </is>
      </c>
      <c r="E1130" s="1" t="n">
        <v>3.38</v>
      </c>
      <c r="F1130" s="1" t="n">
        <v>0</v>
      </c>
      <c r="G1130" s="1" t="inlineStr">
        <is>
          <t>SQM</t>
        </is>
      </c>
      <c r="H1130" s="1" t="inlineStr">
        <is>
          <t>Porcelain</t>
        </is>
      </c>
      <c r="I1130" s="1" t="inlineStr">
        <is>
          <t>Matt</t>
        </is>
      </c>
      <c r="J1130" t="n">
        <v>43</v>
      </c>
      <c r="K1130" t="n">
        <v>43</v>
      </c>
      <c r="L1130" t="n">
        <v>43</v>
      </c>
    </row>
    <row r="1131">
      <c r="A1131" s="1">
        <f>Hyperlink("https://www.wallsandfloors.co.uk/cognac-strip-150x50mm-tiles","Product")</f>
        <v/>
      </c>
      <c r="B1131" s="1" t="inlineStr">
        <is>
          <t>990266</t>
        </is>
      </c>
      <c r="C1131" s="1" t="inlineStr">
        <is>
          <t>Cognac Strip Tiles</t>
        </is>
      </c>
      <c r="D1131" s="1" t="inlineStr">
        <is>
          <t>150x50x9-10mm</t>
        </is>
      </c>
      <c r="E1131" s="1" t="n">
        <v>4.55</v>
      </c>
      <c r="F1131" s="1" t="n">
        <v>0</v>
      </c>
      <c r="G1131" s="1" t="inlineStr"/>
      <c r="H1131" s="1" t="inlineStr">
        <is>
          <t>Porcelain</t>
        </is>
      </c>
      <c r="I1131" s="1" t="inlineStr">
        <is>
          <t>Matt</t>
        </is>
      </c>
      <c r="J1131" t="inlineStr"/>
      <c r="K1131" t="inlineStr">
        <is>
          <t>In Stock</t>
        </is>
      </c>
      <c r="L1131" t="inlineStr">
        <is>
          <t>In Stock</t>
        </is>
      </c>
    </row>
    <row r="1132">
      <c r="A1132" s="1">
        <f>Hyperlink("https://www.wallsandfloors.co.uk/cognac-strip-150x25mm-tiles","Product")</f>
        <v/>
      </c>
      <c r="B1132" s="1" t="inlineStr">
        <is>
          <t>990241</t>
        </is>
      </c>
      <c r="C1132" s="1" t="inlineStr">
        <is>
          <t>Cognac Strip Tiles</t>
        </is>
      </c>
      <c r="D1132" s="1" t="inlineStr">
        <is>
          <t>150x25x9-10mm</t>
        </is>
      </c>
      <c r="E1132" s="1" t="n">
        <v>1.13</v>
      </c>
      <c r="F1132" s="1" t="n">
        <v>0</v>
      </c>
      <c r="G1132" s="1" t="inlineStr">
        <is>
          <t>SQM</t>
        </is>
      </c>
      <c r="H1132" s="1" t="inlineStr">
        <is>
          <t>Porcelain</t>
        </is>
      </c>
      <c r="I1132" s="1" t="inlineStr">
        <is>
          <t>Matt</t>
        </is>
      </c>
      <c r="J1132" t="n">
        <v>33</v>
      </c>
      <c r="K1132" t="n">
        <v>33</v>
      </c>
      <c r="L1132" t="n">
        <v>33</v>
      </c>
    </row>
    <row r="1133">
      <c r="A1133" s="1">
        <f>Hyperlink("https://www.wallsandfloors.co.uk/cognac-squares-70mm-tiles","Product")</f>
        <v/>
      </c>
      <c r="B1133" s="1" t="inlineStr">
        <is>
          <t>990056</t>
        </is>
      </c>
      <c r="C1133" s="1" t="inlineStr">
        <is>
          <t>Cognac Squares 70mm Tiles</t>
        </is>
      </c>
      <c r="D1133" s="1" t="inlineStr">
        <is>
          <t>70x70x9-10mm</t>
        </is>
      </c>
      <c r="E1133" s="1" t="n">
        <v>1.3</v>
      </c>
      <c r="F1133" s="1" t="n">
        <v>0</v>
      </c>
      <c r="G1133" s="1" t="inlineStr">
        <is>
          <t>SQM</t>
        </is>
      </c>
      <c r="H1133" s="1" t="inlineStr">
        <is>
          <t>Porcelain</t>
        </is>
      </c>
      <c r="I1133" s="1" t="inlineStr">
        <is>
          <t>Matt</t>
        </is>
      </c>
      <c r="J1133" t="n">
        <v>162</v>
      </c>
      <c r="K1133" t="inlineStr"/>
      <c r="L1133" t="n">
        <v>162</v>
      </c>
    </row>
    <row r="1134">
      <c r="A1134" s="1">
        <f>Hyperlink("https://www.wallsandfloors.co.uk/cognac-squares-50mm-tiles","Product")</f>
        <v/>
      </c>
      <c r="B1134" s="1" t="inlineStr">
        <is>
          <t>990081</t>
        </is>
      </c>
      <c r="C1134" s="1" t="inlineStr">
        <is>
          <t>Cognac Squares 50mm Tiles</t>
        </is>
      </c>
      <c r="D1134" s="1" t="inlineStr">
        <is>
          <t>50x50x9-10mm</t>
        </is>
      </c>
      <c r="E1134" s="1" t="n">
        <v>0.67</v>
      </c>
      <c r="F1134" s="1" t="n">
        <v>0</v>
      </c>
      <c r="G1134" s="1" t="inlineStr">
        <is>
          <t>SQM</t>
        </is>
      </c>
      <c r="H1134" s="1" t="inlineStr">
        <is>
          <t>Porcelain</t>
        </is>
      </c>
      <c r="I1134" s="1" t="inlineStr">
        <is>
          <t>Matt</t>
        </is>
      </c>
      <c r="J1134" t="n">
        <v>2259</v>
      </c>
      <c r="K1134" t="n">
        <v>2259</v>
      </c>
      <c r="L1134" t="n">
        <v>2259</v>
      </c>
    </row>
    <row r="1135">
      <c r="A1135" s="1">
        <f>Hyperlink("https://www.wallsandfloors.co.uk/cognac-squares-35mm-tiles","Product")</f>
        <v/>
      </c>
      <c r="B1135" s="1" t="inlineStr">
        <is>
          <t>990106</t>
        </is>
      </c>
      <c r="C1135" s="1" t="inlineStr">
        <is>
          <t>Cognac Squares 35mm Tiles</t>
        </is>
      </c>
      <c r="D1135" s="1" t="inlineStr">
        <is>
          <t>35x35x9-10mm</t>
        </is>
      </c>
      <c r="E1135" s="1" t="n">
        <v>0.37</v>
      </c>
      <c r="F1135" s="1" t="n">
        <v>0</v>
      </c>
      <c r="G1135" s="1" t="inlineStr">
        <is>
          <t>SQM</t>
        </is>
      </c>
      <c r="H1135" s="1" t="inlineStr">
        <is>
          <t>Porcelain</t>
        </is>
      </c>
      <c r="I1135" s="1" t="inlineStr">
        <is>
          <t>Matt</t>
        </is>
      </c>
      <c r="J1135" t="n">
        <v>737</v>
      </c>
      <c r="K1135" t="inlineStr"/>
      <c r="L1135" t="n">
        <v>737</v>
      </c>
    </row>
    <row r="1136">
      <c r="A1136" s="1">
        <f>Hyperlink("https://www.wallsandfloors.co.uk/cognac-octagon-150mm-tiles","Product")</f>
        <v/>
      </c>
      <c r="B1136" s="1" t="inlineStr">
        <is>
          <t>990129</t>
        </is>
      </c>
      <c r="C1136" s="1" t="inlineStr">
        <is>
          <t>Cognac Octagon Tiles</t>
        </is>
      </c>
      <c r="D1136" s="1" t="inlineStr">
        <is>
          <t>150x150x9-10mm</t>
        </is>
      </c>
      <c r="E1136" s="1" t="n">
        <v>2.66</v>
      </c>
      <c r="F1136" s="1" t="n">
        <v>0</v>
      </c>
      <c r="G1136" s="1" t="inlineStr">
        <is>
          <t>SQM</t>
        </is>
      </c>
      <c r="H1136" s="1" t="inlineStr">
        <is>
          <t>Porcelain</t>
        </is>
      </c>
      <c r="I1136" s="1" t="inlineStr">
        <is>
          <t>Matt</t>
        </is>
      </c>
      <c r="J1136" t="n">
        <v>186</v>
      </c>
      <c r="K1136" t="n">
        <v>186</v>
      </c>
      <c r="L1136" t="n">
        <v>186</v>
      </c>
    </row>
    <row r="1137">
      <c r="A1137" s="1">
        <f>Hyperlink("https://www.wallsandfloors.co.uk/cpx-200-pro-porcelain-tile-diamond-blade","Product")</f>
        <v/>
      </c>
      <c r="B1137" s="1" t="inlineStr">
        <is>
          <t>40402</t>
        </is>
      </c>
      <c r="C1137" s="1" t="inlineStr">
        <is>
          <t>CPX 200mm Porcelain Tile Diamond Blade</t>
        </is>
      </c>
      <c r="D1137" s="1" t="inlineStr">
        <is>
          <t>200mm</t>
        </is>
      </c>
      <c r="E1137" s="1" t="n">
        <v>54.85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inlineStr">
        <is>
          <t>In Stock</t>
        </is>
      </c>
      <c r="K1137" t="inlineStr"/>
      <c r="L1137" t="inlineStr">
        <is>
          <t>In Stock</t>
        </is>
      </c>
    </row>
    <row r="1138">
      <c r="A1138" s="1">
        <f>Hyperlink("https://www.wallsandfloors.co.uk/coffee-squares-100mm-tiles","Product")</f>
        <v/>
      </c>
      <c r="B1138" s="1" t="inlineStr">
        <is>
          <t>990030</t>
        </is>
      </c>
      <c r="C1138" s="1" t="inlineStr">
        <is>
          <t>Coffee Squares 100mm Tiles</t>
        </is>
      </c>
      <c r="D1138" s="1" t="inlineStr">
        <is>
          <t>100x100x9-10mm</t>
        </is>
      </c>
      <c r="E1138" s="1" t="n">
        <v>1.62</v>
      </c>
      <c r="F1138" s="1" t="n">
        <v>0</v>
      </c>
      <c r="G1138" s="1" t="inlineStr">
        <is>
          <t>SQM</t>
        </is>
      </c>
      <c r="H1138" s="1" t="inlineStr">
        <is>
          <t>Porcelain</t>
        </is>
      </c>
      <c r="I1138" s="1" t="inlineStr">
        <is>
          <t>Matt</t>
        </is>
      </c>
      <c r="J1138" t="n">
        <v>287</v>
      </c>
      <c r="K1138" t="n">
        <v>287</v>
      </c>
      <c r="L1138" t="n">
        <v>287</v>
      </c>
    </row>
    <row r="1139">
      <c r="A1139" s="1">
        <f>Hyperlink("https://www.wallsandfloors.co.uk/cpx-250-pro-porcelain-tile-diamond-blade","Product")</f>
        <v/>
      </c>
      <c r="B1139" s="1" t="inlineStr">
        <is>
          <t>40401</t>
        </is>
      </c>
      <c r="C1139" s="1" t="inlineStr">
        <is>
          <t>CPX 250mm Porcelain Tile Diamond Blade</t>
        </is>
      </c>
      <c r="D1139" s="1" t="inlineStr">
        <is>
          <t>250mm</t>
        </is>
      </c>
      <c r="E1139" s="1" t="n">
        <v>92.95</v>
      </c>
      <c r="F1139" s="1" t="n">
        <v>0</v>
      </c>
      <c r="G1139" s="1" t="inlineStr">
        <is>
          <t>Unit</t>
        </is>
      </c>
      <c r="H1139" s="1" t="inlineStr">
        <is>
          <t>Accessories</t>
        </is>
      </c>
      <c r="I1139" s="1" t="inlineStr">
        <is>
          <t>-</t>
        </is>
      </c>
      <c r="J1139" t="inlineStr">
        <is>
          <t>In Stock</t>
        </is>
      </c>
      <c r="K1139" t="inlineStr">
        <is>
          <t>In Stock</t>
        </is>
      </c>
      <c r="L1139" t="inlineStr">
        <is>
          <t>In Stock</t>
        </is>
      </c>
    </row>
    <row r="1140">
      <c r="A1140" s="1">
        <f>Hyperlink("https://www.wallsandfloors.co.uk/craquelure-fern-tiles","Product")</f>
        <v/>
      </c>
      <c r="B1140" s="1" t="inlineStr">
        <is>
          <t>41705</t>
        </is>
      </c>
      <c r="C1140" s="1" t="inlineStr">
        <is>
          <t>Craquelure Fern Tiles</t>
        </is>
      </c>
      <c r="D1140" s="1" t="inlineStr">
        <is>
          <t>200x100x6.8mm</t>
        </is>
      </c>
      <c r="E1140" s="1" t="n">
        <v>35.95</v>
      </c>
      <c r="F1140" s="1" t="n">
        <v>0</v>
      </c>
      <c r="G1140" s="1" t="inlineStr">
        <is>
          <t>SQM</t>
        </is>
      </c>
      <c r="H1140" s="1" t="inlineStr">
        <is>
          <t>Ceramic</t>
        </is>
      </c>
      <c r="I1140" s="1" t="inlineStr">
        <is>
          <t>Gloss</t>
        </is>
      </c>
      <c r="J1140" t="n">
        <v>211</v>
      </c>
      <c r="K1140" t="n">
        <v>211</v>
      </c>
      <c r="L1140" t="n">
        <v>211</v>
      </c>
    </row>
    <row r="1141">
      <c r="A1141" s="1">
        <f>Hyperlink("https://www.wallsandfloors.co.uk/dark-copper-brick-mosaic-tiles","Product")</f>
        <v/>
      </c>
      <c r="B1141" s="1" t="inlineStr">
        <is>
          <t>15645</t>
        </is>
      </c>
      <c r="C1141" s="1" t="inlineStr">
        <is>
          <t>Dark Copper Brick Mosaic Tiles</t>
        </is>
      </c>
      <c r="D1141" s="1" t="inlineStr">
        <is>
          <t>300x300x8mm</t>
        </is>
      </c>
      <c r="E1141" s="1" t="n">
        <v>16.55</v>
      </c>
      <c r="F1141" s="1" t="n">
        <v>0</v>
      </c>
      <c r="G1141" s="1" t="inlineStr">
        <is>
          <t>Sheet</t>
        </is>
      </c>
      <c r="H1141" s="1" t="inlineStr">
        <is>
          <t>Glass, Metal</t>
        </is>
      </c>
      <c r="I1141" s="1" t="inlineStr">
        <is>
          <t>Matt</t>
        </is>
      </c>
      <c r="J1141" t="n">
        <v>9</v>
      </c>
      <c r="K1141" t="n">
        <v>9</v>
      </c>
      <c r="L1141" t="n">
        <v>9</v>
      </c>
    </row>
    <row r="1142">
      <c r="A1142" s="1">
        <f>Hyperlink("https://www.wallsandfloors.co.uk/dark-blue-squares-50mm-tiles","Product")</f>
        <v/>
      </c>
      <c r="B1142" s="1" t="inlineStr">
        <is>
          <t>990082</t>
        </is>
      </c>
      <c r="C1142" s="1" t="inlineStr">
        <is>
          <t>Dark Blue Squares 50mm Tiles</t>
        </is>
      </c>
      <c r="D1142" s="1" t="inlineStr">
        <is>
          <t>50x50x9-10mm</t>
        </is>
      </c>
      <c r="E1142" s="1" t="n">
        <v>1.3</v>
      </c>
      <c r="F1142" s="1" t="n">
        <v>0</v>
      </c>
      <c r="G1142" s="1" t="inlineStr">
        <is>
          <t>SQM</t>
        </is>
      </c>
      <c r="H1142" s="1" t="inlineStr">
        <is>
          <t>Porcelain</t>
        </is>
      </c>
      <c r="I1142" s="1" t="inlineStr">
        <is>
          <t>Matt</t>
        </is>
      </c>
      <c r="J1142" t="n">
        <v>143</v>
      </c>
      <c r="K1142" t="n">
        <v>143</v>
      </c>
      <c r="L1142" t="n">
        <v>143</v>
      </c>
    </row>
    <row r="1143">
      <c r="A1143" s="1">
        <f>Hyperlink("https://www.wallsandfloors.co.uk/dark-blue-squares-35mm-tiles","Product")</f>
        <v/>
      </c>
      <c r="B1143" s="1" t="inlineStr">
        <is>
          <t>990107</t>
        </is>
      </c>
      <c r="C1143" s="1" t="inlineStr">
        <is>
          <t>Dark Blue Squares 35mm Tiles</t>
        </is>
      </c>
      <c r="D1143" s="1" t="inlineStr">
        <is>
          <t>35x35x9-10mm</t>
        </is>
      </c>
      <c r="E1143" s="1" t="n">
        <v>1.3</v>
      </c>
      <c r="F1143" s="1" t="n">
        <v>0</v>
      </c>
      <c r="G1143" s="1" t="inlineStr">
        <is>
          <t>SQM</t>
        </is>
      </c>
      <c r="H1143" s="1" t="inlineStr">
        <is>
          <t>Porcelain</t>
        </is>
      </c>
      <c r="I1143" s="1" t="inlineStr">
        <is>
          <t>Matt</t>
        </is>
      </c>
      <c r="J1143" t="n">
        <v>229</v>
      </c>
      <c r="K1143" t="n">
        <v>229</v>
      </c>
      <c r="L1143" t="n">
        <v>229</v>
      </c>
    </row>
    <row r="1144">
      <c r="A1144" s="1">
        <f>Hyperlink("https://www.wallsandfloors.co.uk/dark-blue-squares-150mm-tiles","Product")</f>
        <v/>
      </c>
      <c r="B1144" s="1" t="inlineStr">
        <is>
          <t>990020</t>
        </is>
      </c>
      <c r="C1144" s="1" t="inlineStr">
        <is>
          <t>Dark Blue Squares Tiles</t>
        </is>
      </c>
      <c r="D1144" s="1" t="inlineStr">
        <is>
          <t>150x150x9-10mm</t>
        </is>
      </c>
      <c r="E1144" s="1" t="n">
        <v>3.2</v>
      </c>
      <c r="F1144" s="1" t="n">
        <v>0</v>
      </c>
      <c r="G1144" s="1" t="inlineStr">
        <is>
          <t>SQM</t>
        </is>
      </c>
      <c r="H1144" s="1" t="inlineStr">
        <is>
          <t>Porcelain</t>
        </is>
      </c>
      <c r="I1144" s="1" t="inlineStr">
        <is>
          <t>Matt</t>
        </is>
      </c>
      <c r="J1144" t="n">
        <v>179</v>
      </c>
      <c r="K1144" t="n">
        <v>179</v>
      </c>
      <c r="L1144" t="n">
        <v>179</v>
      </c>
    </row>
    <row r="1145">
      <c r="A1145" s="1">
        <f>Hyperlink("https://www.wallsandfloors.co.uk/dark-blue-squares-100mm-tiles","Product")</f>
        <v/>
      </c>
      <c r="B1145" s="1" t="inlineStr">
        <is>
          <t>990032</t>
        </is>
      </c>
      <c r="C1145" s="1" t="inlineStr">
        <is>
          <t>Dark Blue Squares 100mm Tiles</t>
        </is>
      </c>
      <c r="D1145" s="1" t="inlineStr">
        <is>
          <t>100x100x9-10mm</t>
        </is>
      </c>
      <c r="E1145" s="1" t="n">
        <v>1.83</v>
      </c>
      <c r="F1145" s="1" t="n">
        <v>0</v>
      </c>
      <c r="G1145" s="1" t="inlineStr">
        <is>
          <t>SQM</t>
        </is>
      </c>
      <c r="H1145" s="1" t="inlineStr">
        <is>
          <t>Porcelain</t>
        </is>
      </c>
      <c r="I1145" s="1" t="inlineStr">
        <is>
          <t>Matt</t>
        </is>
      </c>
      <c r="J1145" t="n">
        <v>229</v>
      </c>
      <c r="K1145" t="n">
        <v>229</v>
      </c>
      <c r="L1145" t="n">
        <v>229</v>
      </c>
    </row>
    <row r="1146">
      <c r="A1146" s="1">
        <f>Hyperlink("https://www.wallsandfloors.co.uk/daisy-bloom-tiles","Product")</f>
        <v/>
      </c>
      <c r="B1146" s="1" t="inlineStr">
        <is>
          <t>41137</t>
        </is>
      </c>
      <c r="C1146" s="1" t="inlineStr">
        <is>
          <t>Classico Daisy Bloom Pattern Tiles</t>
        </is>
      </c>
      <c r="D1146" s="1" t="inlineStr">
        <is>
          <t>450x450x10mm</t>
        </is>
      </c>
      <c r="E1146" s="1" t="n">
        <v>20.95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Matt</t>
        </is>
      </c>
      <c r="J1146" t="n">
        <v>578</v>
      </c>
      <c r="K1146" t="inlineStr"/>
      <c r="L1146" t="n">
        <v>578</v>
      </c>
    </row>
    <row r="1147">
      <c r="A1147" s="1">
        <f>Hyperlink("https://www.wallsandfloors.co.uk/cusco-stacked-iron-stone-effect-tiles","Product")</f>
        <v/>
      </c>
      <c r="B1147" s="1" t="inlineStr">
        <is>
          <t>29160</t>
        </is>
      </c>
      <c r="C1147" s="1" t="inlineStr">
        <is>
          <t>Stacked Iron Stone Effect Tiles</t>
        </is>
      </c>
      <c r="D1147" s="1" t="inlineStr">
        <is>
          <t>650x333x10mm</t>
        </is>
      </c>
      <c r="E1147" s="1" t="n">
        <v>34.95</v>
      </c>
      <c r="F1147" s="1" t="n">
        <v>0</v>
      </c>
      <c r="G1147" s="1" t="inlineStr">
        <is>
          <t>SQM</t>
        </is>
      </c>
      <c r="H1147" s="1" t="inlineStr">
        <is>
          <t>Porcelain</t>
        </is>
      </c>
      <c r="I1147" s="1" t="inlineStr">
        <is>
          <t>Matt</t>
        </is>
      </c>
      <c r="J1147" t="inlineStr"/>
      <c r="K1147" t="n">
        <v>132</v>
      </c>
      <c r="L1147" t="n">
        <v>132</v>
      </c>
    </row>
    <row r="1148">
      <c r="A1148" s="1">
        <f>Hyperlink("https://www.wallsandfloors.co.uk/cusco-dry-stone-wall-effect-tiles-stacked-slate-stone-effect-tiles","Product")</f>
        <v/>
      </c>
      <c r="B1148" s="1" t="inlineStr">
        <is>
          <t>15311</t>
        </is>
      </c>
      <c r="C1148" s="1" t="inlineStr">
        <is>
          <t>Stacked Slate Stone Effect Tiles</t>
        </is>
      </c>
      <c r="D1148" s="1" t="inlineStr">
        <is>
          <t>650x333x10mm</t>
        </is>
      </c>
      <c r="E1148" s="1" t="n">
        <v>34.95</v>
      </c>
      <c r="F1148" s="1" t="n">
        <v>0</v>
      </c>
      <c r="G1148" s="1" t="inlineStr">
        <is>
          <t>SQM</t>
        </is>
      </c>
      <c r="H1148" s="1" t="inlineStr">
        <is>
          <t>Porcelain</t>
        </is>
      </c>
      <c r="I1148" s="1" t="inlineStr">
        <is>
          <t>Matt</t>
        </is>
      </c>
      <c r="J1148" t="n">
        <v>157</v>
      </c>
      <c r="K1148" t="n">
        <v>157</v>
      </c>
      <c r="L1148" t="n">
        <v>157</v>
      </c>
    </row>
    <row r="1149">
      <c r="A1149" s="1">
        <f>Hyperlink("https://www.wallsandfloors.co.uk/cusco-dry-stone-wall-effect-tiles-stacked-sand-stone-effect-tiles","Product")</f>
        <v/>
      </c>
      <c r="B1149" s="1" t="inlineStr">
        <is>
          <t>15313</t>
        </is>
      </c>
      <c r="C1149" s="1" t="inlineStr">
        <is>
          <t>Stacked Sand Stone Effect Tiles</t>
        </is>
      </c>
      <c r="D1149" s="1" t="inlineStr">
        <is>
          <t>650x333x10mm</t>
        </is>
      </c>
      <c r="E1149" s="1" t="n">
        <v>34.95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Matt</t>
        </is>
      </c>
      <c r="J1149" t="inlineStr"/>
      <c r="K1149" t="n">
        <v>81</v>
      </c>
      <c r="L1149" t="n">
        <v>81</v>
      </c>
    </row>
    <row r="1150">
      <c r="A1150" s="1">
        <f>Hyperlink("https://www.wallsandfloors.co.uk/cusco-dry-stone-wall-effect-tiles-stacked-rustic-slate-stone-effect-tiles","Product")</f>
        <v/>
      </c>
      <c r="B1150" s="1" t="inlineStr">
        <is>
          <t>15312</t>
        </is>
      </c>
      <c r="C1150" s="1" t="inlineStr">
        <is>
          <t>Stacked Rustic Slate Stone Effect Tiles</t>
        </is>
      </c>
      <c r="D1150" s="1" t="inlineStr">
        <is>
          <t>650x333x10mm</t>
        </is>
      </c>
      <c r="E1150" s="1" t="n">
        <v>34.95</v>
      </c>
      <c r="F1150" s="1" t="n">
        <v>0</v>
      </c>
      <c r="G1150" s="1" t="inlineStr">
        <is>
          <t>SQM</t>
        </is>
      </c>
      <c r="H1150" s="1" t="inlineStr">
        <is>
          <t>Porcelain</t>
        </is>
      </c>
      <c r="I1150" s="1" t="inlineStr">
        <is>
          <t>Matt</t>
        </is>
      </c>
      <c r="J1150" t="inlineStr">
        <is>
          <t>In Stock</t>
        </is>
      </c>
      <c r="K1150" t="inlineStr">
        <is>
          <t>In Stock</t>
        </is>
      </c>
      <c r="L1150" t="n">
        <v>95</v>
      </c>
    </row>
    <row r="1151">
      <c r="A1151" s="1">
        <f>Hyperlink("https://www.wallsandfloors.co.uk/cusco-dry-stone-wall-effect-tiles-stacked-limestone-effect-tiles","Product")</f>
        <v/>
      </c>
      <c r="B1151" s="1" t="inlineStr">
        <is>
          <t>15314</t>
        </is>
      </c>
      <c r="C1151" s="1" t="inlineStr">
        <is>
          <t>Stacked Limestone Effect Tiles</t>
        </is>
      </c>
      <c r="D1151" s="1" t="inlineStr">
        <is>
          <t>650x333x10mm</t>
        </is>
      </c>
      <c r="E1151" s="1" t="n">
        <v>34.95</v>
      </c>
      <c r="F1151" s="1" t="n">
        <v>0</v>
      </c>
      <c r="G1151" s="1" t="inlineStr">
        <is>
          <t>SQM</t>
        </is>
      </c>
      <c r="H1151" s="1" t="inlineStr">
        <is>
          <t>Porcelain</t>
        </is>
      </c>
      <c r="I1151" s="1" t="inlineStr">
        <is>
          <t>Matt</t>
        </is>
      </c>
      <c r="J1151" t="n">
        <v>78</v>
      </c>
      <c r="K1151" t="n">
        <v>78</v>
      </c>
      <c r="L1151" t="n">
        <v>78</v>
      </c>
    </row>
    <row r="1152">
      <c r="A1152" s="1">
        <f>Hyperlink("https://www.wallsandfloors.co.uk/csv-115-superpro-ceramic-tile-diamond-blade","Product")</f>
        <v/>
      </c>
      <c r="B1152" s="1" t="inlineStr">
        <is>
          <t>40399</t>
        </is>
      </c>
      <c r="C1152" s="1" t="inlineStr">
        <is>
          <t>CSV 115 Ceramic Tile Diamond Blade</t>
        </is>
      </c>
      <c r="D1152" s="1" t="inlineStr">
        <is>
          <t>115mm</t>
        </is>
      </c>
      <c r="E1152" s="1" t="n">
        <v>16.45</v>
      </c>
      <c r="F1152" s="1" t="n">
        <v>0</v>
      </c>
      <c r="G1152" s="1" t="inlineStr">
        <is>
          <t>Unit</t>
        </is>
      </c>
      <c r="H1152" s="1" t="inlineStr">
        <is>
          <t>Accessories</t>
        </is>
      </c>
      <c r="I1152" s="1" t="inlineStr">
        <is>
          <t>-</t>
        </is>
      </c>
      <c r="J1152" t="inlineStr"/>
      <c r="K1152" t="inlineStr">
        <is>
          <t>In Stock</t>
        </is>
      </c>
      <c r="L1152" t="inlineStr">
        <is>
          <t>In Stock</t>
        </is>
      </c>
    </row>
    <row r="1153">
      <c r="A1153" s="1">
        <f>Hyperlink("https://www.wallsandfloors.co.uk/crosshatch-sienna-tiles","Product")</f>
        <v/>
      </c>
      <c r="B1153" s="1" t="inlineStr">
        <is>
          <t>43090</t>
        </is>
      </c>
      <c r="C1153" s="1" t="inlineStr">
        <is>
          <t>Crosshatch Sienna Tiles</t>
        </is>
      </c>
      <c r="D1153" s="1" t="inlineStr">
        <is>
          <t>450x450x10.5mm</t>
        </is>
      </c>
      <c r="E1153" s="1" t="n">
        <v>30.95</v>
      </c>
      <c r="F1153" s="1" t="n">
        <v>0</v>
      </c>
      <c r="G1153" s="1" t="inlineStr">
        <is>
          <t>SQM</t>
        </is>
      </c>
      <c r="H1153" s="1" t="inlineStr">
        <is>
          <t>Ceramic</t>
        </is>
      </c>
      <c r="I1153" s="1" t="inlineStr">
        <is>
          <t>Matt</t>
        </is>
      </c>
      <c r="J1153" t="n">
        <v>241</v>
      </c>
      <c r="K1153" t="n">
        <v>241</v>
      </c>
      <c r="L1153" t="n">
        <v>241</v>
      </c>
    </row>
    <row r="1154">
      <c r="A1154" s="1">
        <f>Hyperlink("https://www.wallsandfloors.co.uk/crosshatch-ocean-tiles","Product")</f>
        <v/>
      </c>
      <c r="B1154" s="1" t="inlineStr">
        <is>
          <t>43089</t>
        </is>
      </c>
      <c r="C1154" s="1" t="inlineStr">
        <is>
          <t>Crosshatch Ocean Tiles</t>
        </is>
      </c>
      <c r="D1154" s="1" t="inlineStr">
        <is>
          <t>450x450x10.5mm</t>
        </is>
      </c>
      <c r="E1154" s="1" t="n">
        <v>26.95</v>
      </c>
      <c r="F1154" s="1" t="n">
        <v>0</v>
      </c>
      <c r="G1154" s="1" t="inlineStr">
        <is>
          <t>SQM</t>
        </is>
      </c>
      <c r="H1154" s="1" t="inlineStr">
        <is>
          <t>Ceramic</t>
        </is>
      </c>
      <c r="I1154" s="1" t="inlineStr">
        <is>
          <t>Matt</t>
        </is>
      </c>
      <c r="J1154" t="inlineStr"/>
      <c r="K1154" t="n">
        <v>54</v>
      </c>
      <c r="L1154" t="n">
        <v>54</v>
      </c>
    </row>
    <row r="1155">
      <c r="A1155" s="1">
        <f>Hyperlink("https://www.wallsandfloors.co.uk/crosshatch-night-tiles","Product")</f>
        <v/>
      </c>
      <c r="B1155" s="1" t="inlineStr">
        <is>
          <t>43088</t>
        </is>
      </c>
      <c r="C1155" s="1" t="inlineStr">
        <is>
          <t>Crosshatch Night Tiles</t>
        </is>
      </c>
      <c r="D1155" s="1" t="inlineStr">
        <is>
          <t>450x450x10.5mm</t>
        </is>
      </c>
      <c r="E1155" s="1" t="n">
        <v>26.95</v>
      </c>
      <c r="F1155" s="1" t="n">
        <v>0</v>
      </c>
      <c r="G1155" s="1" t="inlineStr">
        <is>
          <t>SQM</t>
        </is>
      </c>
      <c r="H1155" s="1" t="inlineStr">
        <is>
          <t>Ceramic</t>
        </is>
      </c>
      <c r="I1155" s="1" t="inlineStr">
        <is>
          <t>Matt</t>
        </is>
      </c>
      <c r="J1155" t="inlineStr">
        <is>
          <t>Out of Stock</t>
        </is>
      </c>
      <c r="K1155" t="inlineStr">
        <is>
          <t>Out of Stock</t>
        </is>
      </c>
      <c r="L1155" t="inlineStr">
        <is>
          <t>Out of Stock</t>
        </is>
      </c>
    </row>
    <row r="1156">
      <c r="A1156" s="1">
        <f>Hyperlink("https://www.wallsandfloors.co.uk/crosshatch-moss-tiles","Product")</f>
        <v/>
      </c>
      <c r="B1156" s="1" t="inlineStr">
        <is>
          <t>43091</t>
        </is>
      </c>
      <c r="C1156" s="1" t="inlineStr">
        <is>
          <t>Crosshatch Moss Tiles</t>
        </is>
      </c>
      <c r="D1156" s="1" t="inlineStr">
        <is>
          <t>450x450x10.5mm</t>
        </is>
      </c>
      <c r="E1156" s="1" t="n">
        <v>26.95</v>
      </c>
      <c r="F1156" s="1" t="n">
        <v>0</v>
      </c>
      <c r="G1156" s="1" t="inlineStr">
        <is>
          <t>SQM</t>
        </is>
      </c>
      <c r="H1156" s="1" t="inlineStr">
        <is>
          <t>Ceramic</t>
        </is>
      </c>
      <c r="I1156" s="1" t="inlineStr">
        <is>
          <t>Matt</t>
        </is>
      </c>
      <c r="J1156" t="inlineStr">
        <is>
          <t>Out of Stock</t>
        </is>
      </c>
      <c r="K1156" t="inlineStr"/>
      <c r="L1156" t="inlineStr">
        <is>
          <t>Out of Stock</t>
        </is>
      </c>
    </row>
    <row r="1157">
      <c r="A1157" s="1">
        <f>Hyperlink("https://www.wallsandfloors.co.uk/crepuscolo-satin-marble-effect-biondo-75x75-tiles","Product")</f>
        <v/>
      </c>
      <c r="B1157" s="1" t="inlineStr">
        <is>
          <t>40303</t>
        </is>
      </c>
      <c r="C1157" s="1" t="inlineStr">
        <is>
          <t>Crepuscolo Pearl Matt Marble Effect 75x75 Tiles</t>
        </is>
      </c>
      <c r="D1157" s="1" t="inlineStr">
        <is>
          <t>750x750x11mm</t>
        </is>
      </c>
      <c r="E1157" s="1" t="n">
        <v>22.55</v>
      </c>
      <c r="F1157" s="1" t="n">
        <v>0</v>
      </c>
      <c r="G1157" s="1" t="inlineStr">
        <is>
          <t>SQM</t>
        </is>
      </c>
      <c r="H1157" s="1" t="inlineStr">
        <is>
          <t>Porcelain</t>
        </is>
      </c>
      <c r="I1157" s="1" t="inlineStr">
        <is>
          <t>Matt</t>
        </is>
      </c>
      <c r="J1157" t="n">
        <v>128</v>
      </c>
      <c r="K1157" t="n">
        <v>128</v>
      </c>
      <c r="L1157" t="n">
        <v>128</v>
      </c>
    </row>
    <row r="1158">
      <c r="A1158" s="1">
        <f>Hyperlink("https://www.wallsandfloors.co.uk/crepuscolo-polished-marble-effect-biondo-75x35-tiles","Product")</f>
        <v/>
      </c>
      <c r="B1158" s="1" t="inlineStr">
        <is>
          <t>40304</t>
        </is>
      </c>
      <c r="C1158" s="1" t="inlineStr">
        <is>
          <t>Crepuscolo Pearl Polished Marble Effect 75x37 Tiles</t>
        </is>
      </c>
      <c r="D1158" s="1" t="inlineStr">
        <is>
          <t>750x375x11mm</t>
        </is>
      </c>
      <c r="E1158" s="1" t="n">
        <v>26.77</v>
      </c>
      <c r="F1158" s="1" t="n">
        <v>0</v>
      </c>
      <c r="G1158" s="1" t="inlineStr">
        <is>
          <t>SQM</t>
        </is>
      </c>
      <c r="H1158" s="1" t="inlineStr">
        <is>
          <t>Porcelain</t>
        </is>
      </c>
      <c r="I1158" s="1" t="inlineStr">
        <is>
          <t>Polished</t>
        </is>
      </c>
      <c r="J1158" t="n">
        <v>59</v>
      </c>
      <c r="K1158" t="inlineStr"/>
      <c r="L1158" t="n">
        <v>59</v>
      </c>
    </row>
    <row r="1159">
      <c r="A1159" s="1">
        <f>Hyperlink("https://www.wallsandfloors.co.uk/cream-tiles-cream-250x200-tiles","Product")</f>
        <v/>
      </c>
      <c r="B1159" s="1" t="inlineStr">
        <is>
          <t>14660</t>
        </is>
      </c>
      <c r="C1159" s="1" t="inlineStr">
        <is>
          <t>Cream 250x200 Tiles</t>
        </is>
      </c>
      <c r="D1159" s="1" t="inlineStr">
        <is>
          <t>250x200x6.8mm</t>
        </is>
      </c>
      <c r="E1159" s="1" t="n">
        <v>19.95</v>
      </c>
      <c r="F1159" s="1" t="n">
        <v>0</v>
      </c>
      <c r="G1159" s="1" t="inlineStr">
        <is>
          <t>SQM</t>
        </is>
      </c>
      <c r="H1159" s="1" t="inlineStr">
        <is>
          <t>Ceramic</t>
        </is>
      </c>
      <c r="I1159" s="1" t="inlineStr">
        <is>
          <t>Gloss</t>
        </is>
      </c>
      <c r="J1159" t="n">
        <v>83</v>
      </c>
      <c r="K1159" t="n">
        <v>83</v>
      </c>
      <c r="L1159" t="n">
        <v>83</v>
      </c>
    </row>
    <row r="1160">
      <c r="A1160" s="1">
        <f>Hyperlink("https://www.wallsandfloors.co.uk/cream-500x250-wall-tiles","Product")</f>
        <v/>
      </c>
      <c r="B1160" s="1" t="inlineStr">
        <is>
          <t>13745</t>
        </is>
      </c>
      <c r="C1160" s="1" t="inlineStr">
        <is>
          <t>Athena Cream Wall Tiles</t>
        </is>
      </c>
      <c r="D1160" s="1" t="inlineStr">
        <is>
          <t>500x250x8mm</t>
        </is>
      </c>
      <c r="E1160" s="1" t="n">
        <v>13.95</v>
      </c>
      <c r="F1160" s="1" t="n">
        <v>0</v>
      </c>
      <c r="G1160" s="1" t="inlineStr">
        <is>
          <t>SQM</t>
        </is>
      </c>
      <c r="H1160" s="1" t="inlineStr">
        <is>
          <t>Ceramic</t>
        </is>
      </c>
      <c r="I1160" s="1" t="inlineStr">
        <is>
          <t>Gloss</t>
        </is>
      </c>
      <c r="J1160" t="n">
        <v>121</v>
      </c>
      <c r="K1160" t="n">
        <v>121</v>
      </c>
      <c r="L1160" t="n">
        <v>121</v>
      </c>
    </row>
    <row r="1161">
      <c r="A1161" s="1">
        <f>Hyperlink("https://www.wallsandfloors.co.uk/craquelure-steel-tiles","Product")</f>
        <v/>
      </c>
      <c r="B1161" s="1" t="inlineStr">
        <is>
          <t>41390</t>
        </is>
      </c>
      <c r="C1161" s="1" t="inlineStr">
        <is>
          <t>Craquelure Steel Tiles</t>
        </is>
      </c>
      <c r="D1161" s="1" t="inlineStr">
        <is>
          <t>200x100x6.8mm</t>
        </is>
      </c>
      <c r="E1161" s="1" t="n">
        <v>35.95</v>
      </c>
      <c r="F1161" s="1" t="n">
        <v>0</v>
      </c>
      <c r="G1161" s="1" t="inlineStr">
        <is>
          <t>SQM</t>
        </is>
      </c>
      <c r="H1161" s="1" t="inlineStr">
        <is>
          <t>Ceramic</t>
        </is>
      </c>
      <c r="I1161" s="1" t="inlineStr">
        <is>
          <t>Gloss</t>
        </is>
      </c>
      <c r="J1161" t="inlineStr"/>
      <c r="K1161" t="inlineStr"/>
      <c r="L1161" t="n">
        <v>60</v>
      </c>
    </row>
    <row r="1162">
      <c r="A1162" s="1">
        <f>Hyperlink("https://www.wallsandfloors.co.uk/craquelure-living-coral-tiles","Product")</f>
        <v/>
      </c>
      <c r="B1162" s="1" t="inlineStr">
        <is>
          <t>41709</t>
        </is>
      </c>
      <c r="C1162" s="1" t="inlineStr">
        <is>
          <t>Craquelure Living Coral Tiles</t>
        </is>
      </c>
      <c r="D1162" s="1" t="inlineStr">
        <is>
          <t>200x100x6.8mm</t>
        </is>
      </c>
      <c r="E1162" s="1" t="n">
        <v>35.95</v>
      </c>
      <c r="F1162" s="1" t="n">
        <v>0</v>
      </c>
      <c r="G1162" s="1" t="inlineStr">
        <is>
          <t>SQM</t>
        </is>
      </c>
      <c r="H1162" s="1" t="inlineStr">
        <is>
          <t>Ceramic</t>
        </is>
      </c>
      <c r="I1162" s="1" t="inlineStr">
        <is>
          <t>Gloss</t>
        </is>
      </c>
      <c r="J1162" t="inlineStr">
        <is>
          <t>In Stock</t>
        </is>
      </c>
      <c r="K1162" t="inlineStr">
        <is>
          <t>In Stock</t>
        </is>
      </c>
      <c r="L1162" t="inlineStr">
        <is>
          <t>In Stock</t>
        </is>
      </c>
    </row>
    <row r="1163">
      <c r="A1163" s="1">
        <f>Hyperlink("https://www.wallsandfloors.co.uk/craquelure-kingfisher-tiles","Product")</f>
        <v/>
      </c>
      <c r="B1163" s="1" t="inlineStr">
        <is>
          <t>41707</t>
        </is>
      </c>
      <c r="C1163" s="1" t="inlineStr">
        <is>
          <t>Craquelure Kingfisher Tiles</t>
        </is>
      </c>
      <c r="D1163" s="1" t="inlineStr">
        <is>
          <t>200x100x6.8mm</t>
        </is>
      </c>
      <c r="E1163" s="1" t="n">
        <v>30.95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Gloss</t>
        </is>
      </c>
      <c r="J1163" t="n">
        <v>86</v>
      </c>
      <c r="K1163" t="n">
        <v>86</v>
      </c>
      <c r="L1163" t="n">
        <v>86</v>
      </c>
    </row>
    <row r="1164">
      <c r="A1164" s="1">
        <f>Hyperlink("https://www.wallsandfloors.co.uk/craquelure-ash-tiles","Product")</f>
        <v/>
      </c>
      <c r="B1164" s="1" t="inlineStr">
        <is>
          <t>41706</t>
        </is>
      </c>
      <c r="C1164" s="1" t="inlineStr">
        <is>
          <t>Craquelure Ash Tiles</t>
        </is>
      </c>
      <c r="D1164" s="1" t="inlineStr">
        <is>
          <t>200x100x6.8mm</t>
        </is>
      </c>
      <c r="E1164" s="1" t="n">
        <v>30.95</v>
      </c>
      <c r="F1164" s="1" t="n">
        <v>0</v>
      </c>
      <c r="G1164" s="1" t="inlineStr">
        <is>
          <t>SQM</t>
        </is>
      </c>
      <c r="H1164" s="1" t="inlineStr">
        <is>
          <t>Ceramic</t>
        </is>
      </c>
      <c r="I1164" s="1" t="inlineStr">
        <is>
          <t>Gloss</t>
        </is>
      </c>
      <c r="J1164" t="inlineStr"/>
      <c r="K1164" t="inlineStr"/>
      <c r="L1164" t="inlineStr">
        <is>
          <t>In Stock</t>
        </is>
      </c>
    </row>
    <row r="1165">
      <c r="A1165" s="1">
        <f>Hyperlink("https://www.wallsandfloors.co.uk/bococa-paintwash-wood-effect-tiles-azure-painted-chevron-wood-tiles","Product")</f>
        <v/>
      </c>
      <c r="B1165" s="1" t="inlineStr">
        <is>
          <t>15649</t>
        </is>
      </c>
      <c r="C1165" s="1" t="inlineStr">
        <is>
          <t>BoCoCa Azure Painted Chevron Wood Tiles</t>
        </is>
      </c>
      <c r="D1165" s="1" t="inlineStr">
        <is>
          <t>900x450x9mm</t>
        </is>
      </c>
      <c r="E1165" s="1" t="n">
        <v>40.95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inlineStr">
        <is>
          <t>In Stock</t>
        </is>
      </c>
      <c r="K1165" t="inlineStr"/>
      <c r="L1165" t="inlineStr">
        <is>
          <t>In Stock</t>
        </is>
      </c>
    </row>
    <row r="1166">
      <c r="A1166" s="1">
        <f>Hyperlink("https://www.wallsandfloors.co.uk/bococa-paintwash-wood-effect-tiles-azure-painted-90x15-wood-tiles","Product")</f>
        <v/>
      </c>
      <c r="B1166" s="1" t="inlineStr">
        <is>
          <t>15647</t>
        </is>
      </c>
      <c r="C1166" s="1" t="inlineStr">
        <is>
          <t>BoCoCa Azure Painted Wood Tiles</t>
        </is>
      </c>
      <c r="D1166" s="1" t="inlineStr">
        <is>
          <t>900x150x9mm</t>
        </is>
      </c>
      <c r="E1166" s="1" t="n">
        <v>40.95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n">
        <v>53</v>
      </c>
      <c r="K1166" t="n">
        <v>53</v>
      </c>
      <c r="L1166" t="n">
        <v>53</v>
      </c>
    </row>
    <row r="1167">
      <c r="A1167" s="1">
        <f>Hyperlink("https://www.wallsandfloors.co.uk/boccino-dark-grey-wall-floor-tiles","Product")</f>
        <v/>
      </c>
      <c r="B1167" s="1" t="inlineStr">
        <is>
          <t>44481</t>
        </is>
      </c>
      <c r="C1167" s="1" t="inlineStr">
        <is>
          <t>Boccino Dark Grey Wall &amp; Floor Tiles</t>
        </is>
      </c>
      <c r="D1167" s="1" t="inlineStr">
        <is>
          <t>600x300x8.8mm</t>
        </is>
      </c>
      <c r="E1167" s="1" t="n">
        <v>14.95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536</v>
      </c>
      <c r="K1167" t="n">
        <v>536</v>
      </c>
      <c r="L1167" t="n">
        <v>536</v>
      </c>
    </row>
    <row r="1168">
      <c r="A1168" s="1">
        <f>Hyperlink("https://www.wallsandfloors.co.uk/antique-smooth-crackle-metro-tiles-les-sablons-blue-crackle-metro-tiles","Product")</f>
        <v/>
      </c>
      <c r="B1168" s="1" t="inlineStr">
        <is>
          <t>11340</t>
        </is>
      </c>
      <c r="C1168" s="1" t="inlineStr">
        <is>
          <t>Les Sablons Blue Flat Crackle Metro Tiles</t>
        </is>
      </c>
      <c r="D1168" s="1" t="inlineStr">
        <is>
          <t>150x75x7mm</t>
        </is>
      </c>
      <c r="E1168" s="1" t="n">
        <v>40.95</v>
      </c>
      <c r="F1168" s="1" t="n">
        <v>0</v>
      </c>
      <c r="G1168" s="1" t="inlineStr">
        <is>
          <t>SQM</t>
        </is>
      </c>
      <c r="H1168" s="1" t="inlineStr">
        <is>
          <t>Ceramic</t>
        </is>
      </c>
      <c r="I1168" s="1" t="inlineStr">
        <is>
          <t>Gloss</t>
        </is>
      </c>
      <c r="J1168" t="n">
        <v>56</v>
      </c>
      <c r="K1168" t="inlineStr"/>
      <c r="L1168" t="n">
        <v>56</v>
      </c>
    </row>
    <row r="1169">
      <c r="A1169" s="1">
        <f>Hyperlink("https://www.wallsandfloors.co.uk/antique-smooth-crackle-metro-tiles-le-vert-de-maisons-green-crackle-metro-tiles","Product")</f>
        <v/>
      </c>
      <c r="B1169" s="1" t="inlineStr">
        <is>
          <t>12346</t>
        </is>
      </c>
      <c r="C1169" s="1" t="inlineStr">
        <is>
          <t>Le Vert De Maisons Green Crackle Flat Metro Tiles</t>
        </is>
      </c>
      <c r="D1169" s="1" t="inlineStr">
        <is>
          <t>150x75x7mm</t>
        </is>
      </c>
      <c r="E1169" s="1" t="n">
        <v>40.95</v>
      </c>
      <c r="F1169" s="1" t="n">
        <v>0</v>
      </c>
      <c r="G1169" s="1" t="inlineStr">
        <is>
          <t>SQM</t>
        </is>
      </c>
      <c r="H1169" s="1" t="inlineStr">
        <is>
          <t>Ceramic</t>
        </is>
      </c>
      <c r="I1169" s="1" t="inlineStr">
        <is>
          <t>Gloss</t>
        </is>
      </c>
      <c r="J1169" t="n">
        <v>104</v>
      </c>
      <c r="K1169" t="inlineStr"/>
      <c r="L1169" t="n">
        <v>104</v>
      </c>
    </row>
    <row r="1170">
      <c r="A1170" s="1">
        <f>Hyperlink("https://www.wallsandfloors.co.uk/antique-smooth-crackle-metro-tiles-le-vert-de-maisons-crackle-green-moldura-border-tiles","Product")</f>
        <v/>
      </c>
      <c r="B1170" s="1" t="inlineStr">
        <is>
          <t>13196</t>
        </is>
      </c>
      <c r="C1170" s="1" t="inlineStr">
        <is>
          <t>Le Vert De Maisons Crackle Green Moldura Border Tiles</t>
        </is>
      </c>
      <c r="D1170" s="1" t="inlineStr">
        <is>
          <t>150x50x7mm</t>
        </is>
      </c>
      <c r="E1170" s="1" t="n">
        <v>4.95</v>
      </c>
      <c r="F1170" s="1" t="n">
        <v>0</v>
      </c>
      <c r="G1170" s="1" t="inlineStr">
        <is>
          <t>SQM</t>
        </is>
      </c>
      <c r="H1170" s="1" t="inlineStr">
        <is>
          <t>Ceramic</t>
        </is>
      </c>
      <c r="I1170" s="1" t="inlineStr">
        <is>
          <t>Gloss</t>
        </is>
      </c>
      <c r="J1170" t="n">
        <v>102</v>
      </c>
      <c r="K1170" t="n">
        <v>102</v>
      </c>
      <c r="L1170" t="n">
        <v>102</v>
      </c>
    </row>
    <row r="1171">
      <c r="A1171" s="1">
        <f>Hyperlink("https://www.wallsandfloors.co.uk/antique-smooth-crackle-metro-tiles-jourdain-green-crackle-metro-tiles","Product")</f>
        <v/>
      </c>
      <c r="B1171" s="1" t="inlineStr">
        <is>
          <t>13115</t>
        </is>
      </c>
      <c r="C1171" s="1" t="inlineStr">
        <is>
          <t>Jourdain Green Crackle Flat Mini Metro Tiles</t>
        </is>
      </c>
      <c r="D1171" s="1" t="inlineStr">
        <is>
          <t>150x75x7mm</t>
        </is>
      </c>
      <c r="E1171" s="1" t="n">
        <v>40.95</v>
      </c>
      <c r="F1171" s="1" t="n">
        <v>0</v>
      </c>
      <c r="G1171" s="1" t="inlineStr">
        <is>
          <t>SQM</t>
        </is>
      </c>
      <c r="H1171" s="1" t="inlineStr">
        <is>
          <t>Ceramic</t>
        </is>
      </c>
      <c r="I1171" s="1" t="inlineStr">
        <is>
          <t>Gloss</t>
        </is>
      </c>
      <c r="J1171" t="n">
        <v>63</v>
      </c>
      <c r="K1171" t="n">
        <v>63</v>
      </c>
      <c r="L1171" t="n">
        <v>63</v>
      </c>
    </row>
    <row r="1172">
      <c r="A1172" s="1">
        <f>Hyperlink("https://www.wallsandfloors.co.uk/antique-smooth-crackle-metro-tiles-jourdain-crackle-green-moldura-border-tiles","Product")</f>
        <v/>
      </c>
      <c r="B1172" s="1" t="inlineStr">
        <is>
          <t>13194</t>
        </is>
      </c>
      <c r="C1172" s="1" t="inlineStr">
        <is>
          <t>Jourdain Crackle Green Moldura Border Tiles</t>
        </is>
      </c>
      <c r="D1172" s="1" t="inlineStr">
        <is>
          <t>150x50x7mm</t>
        </is>
      </c>
      <c r="E1172" s="1" t="n">
        <v>4.95</v>
      </c>
      <c r="F1172" s="1" t="n">
        <v>0</v>
      </c>
      <c r="G1172" s="1" t="inlineStr">
        <is>
          <t>Tile</t>
        </is>
      </c>
      <c r="H1172" s="1" t="inlineStr">
        <is>
          <t>Ceramic</t>
        </is>
      </c>
      <c r="I1172" s="1" t="inlineStr">
        <is>
          <t>Gloss</t>
        </is>
      </c>
      <c r="J1172" t="inlineStr">
        <is>
          <t>In Stock</t>
        </is>
      </c>
      <c r="K1172" t="inlineStr">
        <is>
          <t>In Stock</t>
        </is>
      </c>
      <c r="L1172" t="inlineStr">
        <is>
          <t>In Stock</t>
        </is>
      </c>
    </row>
    <row r="1173">
      <c r="A1173" s="1">
        <f>Hyperlink("https://www.wallsandfloors.co.uk/antique-smooth-crackle-metro-tiles-jourdain-crackle-green-floral-border-tiles","Product")</f>
        <v/>
      </c>
      <c r="B1173" s="1" t="inlineStr">
        <is>
          <t>13176</t>
        </is>
      </c>
      <c r="C1173" s="1" t="inlineStr">
        <is>
          <t>Jourdain Crackle Green Floral Border Tiles</t>
        </is>
      </c>
      <c r="D1173" s="1" t="inlineStr">
        <is>
          <t>150x75x7mm</t>
        </is>
      </c>
      <c r="E1173" s="1" t="n">
        <v>5.75</v>
      </c>
      <c r="F1173" s="1" t="n">
        <v>0</v>
      </c>
      <c r="G1173" s="1" t="inlineStr">
        <is>
          <t>Tile</t>
        </is>
      </c>
      <c r="H1173" s="1" t="inlineStr">
        <is>
          <t>Ceramic</t>
        </is>
      </c>
      <c r="I1173" s="1" t="inlineStr">
        <is>
          <t>Gloss</t>
        </is>
      </c>
      <c r="J1173" t="inlineStr"/>
      <c r="K1173" t="inlineStr">
        <is>
          <t>In Stock</t>
        </is>
      </c>
      <c r="L1173" t="inlineStr">
        <is>
          <t>In Stock</t>
        </is>
      </c>
    </row>
    <row r="1174">
      <c r="A1174" s="1">
        <f>Hyperlink("https://www.wallsandfloors.co.uk/antique-smooth-crackle-metro-tiles-charmarande-crackle-cream-moldura-border-tiles","Product")</f>
        <v/>
      </c>
      <c r="B1174" s="1" t="inlineStr">
        <is>
          <t>13191</t>
        </is>
      </c>
      <c r="C1174" s="1" t="inlineStr">
        <is>
          <t>Charmarande Crackle Cream Moldura Border Tiles</t>
        </is>
      </c>
      <c r="D1174" s="1" t="inlineStr">
        <is>
          <t>150x50x7mm</t>
        </is>
      </c>
      <c r="E1174" s="1" t="n">
        <v>4.95</v>
      </c>
      <c r="F1174" s="1" t="n">
        <v>0</v>
      </c>
      <c r="G1174" s="1" t="inlineStr">
        <is>
          <t>Tile</t>
        </is>
      </c>
      <c r="H1174" s="1" t="inlineStr">
        <is>
          <t>Ceramic</t>
        </is>
      </c>
      <c r="I1174" s="1" t="inlineStr">
        <is>
          <t>Gloss</t>
        </is>
      </c>
      <c r="J1174" t="inlineStr">
        <is>
          <t>In Stock</t>
        </is>
      </c>
      <c r="K1174" t="inlineStr">
        <is>
          <t>In Stock</t>
        </is>
      </c>
      <c r="L1174" t="inlineStr">
        <is>
          <t>In Stock</t>
        </is>
      </c>
    </row>
    <row r="1175">
      <c r="A1175" s="1">
        <f>Hyperlink("https://www.wallsandfloors.co.uk/antique-smooth-crackle-metro-tiles-bastille-white-crackle-metro-tiles","Product")</f>
        <v/>
      </c>
      <c r="B1175" s="1" t="inlineStr">
        <is>
          <t>11339</t>
        </is>
      </c>
      <c r="C1175" s="1" t="inlineStr">
        <is>
          <t>Bastille White Smooth Crackle Mini Metro Tiles</t>
        </is>
      </c>
      <c r="D1175" s="1" t="inlineStr">
        <is>
          <t>150x75x7mm</t>
        </is>
      </c>
      <c r="E1175" s="1" t="n">
        <v>35.95</v>
      </c>
      <c r="F1175" s="1" t="n">
        <v>0</v>
      </c>
      <c r="G1175" s="1" t="inlineStr">
        <is>
          <t>SQM</t>
        </is>
      </c>
      <c r="H1175" s="1" t="inlineStr">
        <is>
          <t>Ceramic</t>
        </is>
      </c>
      <c r="I1175" s="1" t="inlineStr">
        <is>
          <t>Gloss</t>
        </is>
      </c>
      <c r="J1175" t="n">
        <v>288</v>
      </c>
      <c r="K1175" t="n">
        <v>288</v>
      </c>
      <c r="L1175" t="n">
        <v>288</v>
      </c>
    </row>
    <row r="1176">
      <c r="A1176" s="1">
        <f>Hyperlink("https://www.wallsandfloors.co.uk/antique-smooth-crackle-metro-tiles-bastille-crackle-white-nave-border-tiles","Product")</f>
        <v/>
      </c>
      <c r="B1176" s="1" t="inlineStr">
        <is>
          <t>13201</t>
        </is>
      </c>
      <c r="C1176" s="1" t="inlineStr">
        <is>
          <t>Bastille Crackle White Nave Border Tiles</t>
        </is>
      </c>
      <c r="D1176" s="1" t="inlineStr">
        <is>
          <t>150x75x7mm</t>
        </is>
      </c>
      <c r="E1176" s="1" t="n">
        <v>5.75</v>
      </c>
      <c r="F1176" s="1" t="n">
        <v>0</v>
      </c>
      <c r="G1176" s="1" t="inlineStr">
        <is>
          <t>Tile</t>
        </is>
      </c>
      <c r="H1176" s="1" t="inlineStr">
        <is>
          <t>Ceramic</t>
        </is>
      </c>
      <c r="I1176" s="1" t="inlineStr">
        <is>
          <t>Gloss</t>
        </is>
      </c>
      <c r="J1176" t="inlineStr"/>
      <c r="K1176" t="inlineStr">
        <is>
          <t>In Stock</t>
        </is>
      </c>
      <c r="L1176" t="inlineStr">
        <is>
          <t>In Stock</t>
        </is>
      </c>
    </row>
    <row r="1177">
      <c r="A1177" s="1">
        <f>Hyperlink("https://www.wallsandfloors.co.uk/antique-smooth-crackle-metro-tiles-bastille-crackle-white-moldura-border-tiles","Product")</f>
        <v/>
      </c>
      <c r="B1177" s="1" t="inlineStr">
        <is>
          <t>13193</t>
        </is>
      </c>
      <c r="C1177" s="1" t="inlineStr">
        <is>
          <t>Bastille Crackle White Moldura Border Tiles</t>
        </is>
      </c>
      <c r="D1177" s="1" t="inlineStr">
        <is>
          <t>150x50x7mm</t>
        </is>
      </c>
      <c r="E1177" s="1" t="n">
        <v>4.95</v>
      </c>
      <c r="F1177" s="1" t="n">
        <v>0</v>
      </c>
      <c r="G1177" s="1" t="inlineStr">
        <is>
          <t>Tile</t>
        </is>
      </c>
      <c r="H1177" s="1" t="inlineStr">
        <is>
          <t>Ceramic</t>
        </is>
      </c>
      <c r="I1177" s="1" t="inlineStr">
        <is>
          <t>Gloss</t>
        </is>
      </c>
      <c r="J1177" t="inlineStr">
        <is>
          <t>In Stock</t>
        </is>
      </c>
      <c r="K1177" t="inlineStr">
        <is>
          <t>In Stock</t>
        </is>
      </c>
      <c r="L1177" t="inlineStr">
        <is>
          <t>In Stock</t>
        </is>
      </c>
    </row>
    <row r="1178">
      <c r="A1178" s="1">
        <f>Hyperlink("https://www.wallsandfloors.co.uk/antique-smooth-crackle-metro-tiles-les-sablons-crackle-blue-floral-border-tiles","Product")</f>
        <v/>
      </c>
      <c r="B1178" s="1" t="inlineStr">
        <is>
          <t>13170</t>
        </is>
      </c>
      <c r="C1178" s="1" t="inlineStr">
        <is>
          <t>Les Sablons Crackle Blue Floral Border Tiles</t>
        </is>
      </c>
      <c r="D1178" s="1" t="inlineStr">
        <is>
          <t>150x75x7mm</t>
        </is>
      </c>
      <c r="E1178" s="1" t="n">
        <v>5.75</v>
      </c>
      <c r="F1178" s="1" t="n">
        <v>0</v>
      </c>
      <c r="G1178" s="1" t="inlineStr">
        <is>
          <t>Tile</t>
        </is>
      </c>
      <c r="H1178" s="1" t="inlineStr">
        <is>
          <t>Ceramic</t>
        </is>
      </c>
      <c r="I1178" s="1" t="inlineStr">
        <is>
          <t>Gloss</t>
        </is>
      </c>
      <c r="J1178" t="inlineStr">
        <is>
          <t>In Stock</t>
        </is>
      </c>
      <c r="K1178" t="inlineStr"/>
      <c r="L1178" t="inlineStr">
        <is>
          <t>In Stock</t>
        </is>
      </c>
    </row>
    <row r="1179">
      <c r="A1179" s="1">
        <f>Hyperlink("https://www.wallsandfloors.co.uk/antique-glass-mosaic-tiles-crystal-tiles","Product")</f>
        <v/>
      </c>
      <c r="B1179" s="1" t="inlineStr">
        <is>
          <t>7608</t>
        </is>
      </c>
      <c r="C1179" s="1" t="inlineStr">
        <is>
          <t>Antique Glass Crystal Mosaic Tiles</t>
        </is>
      </c>
      <c r="D1179" s="1" t="inlineStr">
        <is>
          <t>310x310x8mm</t>
        </is>
      </c>
      <c r="E1179" s="1" t="n">
        <v>3.95</v>
      </c>
      <c r="F1179" s="1" t="n">
        <v>0</v>
      </c>
      <c r="G1179" s="1" t="inlineStr">
        <is>
          <t>Sheet</t>
        </is>
      </c>
      <c r="H1179" s="1" t="inlineStr">
        <is>
          <t>Glass</t>
        </is>
      </c>
      <c r="I1179" s="1" t="inlineStr">
        <is>
          <t>Mixed</t>
        </is>
      </c>
      <c r="J1179" t="n">
        <v>6</v>
      </c>
      <c r="K1179" t="n">
        <v>6</v>
      </c>
      <c r="L1179" t="n">
        <v>6</v>
      </c>
    </row>
    <row r="1180">
      <c r="A1180" s="1">
        <f>Hyperlink("https://www.wallsandfloors.co.uk/antique-crackle-metro-tiles-varenne-crackle-teal-tiles","Product")</f>
        <v/>
      </c>
      <c r="B1180" s="1" t="inlineStr">
        <is>
          <t>14450</t>
        </is>
      </c>
      <c r="C1180" s="1" t="inlineStr">
        <is>
          <t>Varenne Crackle Teal Tiles</t>
        </is>
      </c>
      <c r="D1180" s="1" t="inlineStr">
        <is>
          <t>150x75x7mm</t>
        </is>
      </c>
      <c r="E1180" s="1" t="n">
        <v>40.95</v>
      </c>
      <c r="F1180" s="1" t="n">
        <v>0</v>
      </c>
      <c r="G1180" s="1" t="inlineStr">
        <is>
          <t>SQM</t>
        </is>
      </c>
      <c r="H1180" s="1" t="inlineStr">
        <is>
          <t>Ceramic</t>
        </is>
      </c>
      <c r="I1180" s="1" t="inlineStr">
        <is>
          <t>Gloss</t>
        </is>
      </c>
      <c r="J1180" t="inlineStr"/>
      <c r="K1180" t="inlineStr">
        <is>
          <t>In Stock</t>
        </is>
      </c>
      <c r="L1180" t="inlineStr">
        <is>
          <t>In Stock</t>
        </is>
      </c>
    </row>
    <row r="1181">
      <c r="A1181" s="1">
        <f>Hyperlink("https://www.wallsandfloors.co.uk/antique-crackle-metro-tiles-tuileries-cream-crackle-metro-tiles","Product")</f>
        <v/>
      </c>
      <c r="B1181" s="1" t="inlineStr">
        <is>
          <t>11042</t>
        </is>
      </c>
      <c r="C1181" s="1" t="inlineStr">
        <is>
          <t>Tuileries Cream Crackle Metro Tiles</t>
        </is>
      </c>
      <c r="D1181" s="1" t="inlineStr">
        <is>
          <t>150x75x7mm</t>
        </is>
      </c>
      <c r="E1181" s="1" t="n">
        <v>40.95</v>
      </c>
      <c r="F1181" s="1" t="n">
        <v>0</v>
      </c>
      <c r="G1181" s="1" t="inlineStr">
        <is>
          <t>SQM</t>
        </is>
      </c>
      <c r="H1181" s="1" t="inlineStr">
        <is>
          <t>Ceramic</t>
        </is>
      </c>
      <c r="I1181" s="1" t="inlineStr">
        <is>
          <t>Gloss</t>
        </is>
      </c>
      <c r="J1181" t="n">
        <v>167</v>
      </c>
      <c r="K1181" t="n">
        <v>167</v>
      </c>
      <c r="L1181" t="n">
        <v>167</v>
      </c>
    </row>
    <row r="1182">
      <c r="A1182" s="1">
        <f>Hyperlink("https://www.wallsandfloors.co.uk/antique-crackle-metro-tiles-porte-maillot-grey-crackle-metro-tiles","Product")</f>
        <v/>
      </c>
      <c r="B1182" s="1" t="inlineStr">
        <is>
          <t>11043</t>
        </is>
      </c>
      <c r="C1182" s="1" t="inlineStr">
        <is>
          <t>Porte Maillot Grey Crackle Metro Tiles</t>
        </is>
      </c>
      <c r="D1182" s="1" t="inlineStr">
        <is>
          <t>150x75x7mm</t>
        </is>
      </c>
      <c r="E1182" s="1" t="n">
        <v>40.95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Gloss</t>
        </is>
      </c>
      <c r="J1182" t="n">
        <v>385</v>
      </c>
      <c r="K1182" t="n">
        <v>385</v>
      </c>
      <c r="L1182" t="n">
        <v>385</v>
      </c>
    </row>
    <row r="1183">
      <c r="A1183" s="1">
        <f>Hyperlink("https://www.wallsandfloors.co.uk/antique-crackle-metro-tiles-monceau-blue-crackle-tiles","Product")</f>
        <v/>
      </c>
      <c r="B1183" s="1" t="inlineStr">
        <is>
          <t>14449</t>
        </is>
      </c>
      <c r="C1183" s="1" t="inlineStr">
        <is>
          <t>Monceau Teal Crackle Tiles</t>
        </is>
      </c>
      <c r="D1183" s="1" t="inlineStr">
        <is>
          <t>150x75x7mm</t>
        </is>
      </c>
      <c r="E1183" s="1" t="n">
        <v>40.95</v>
      </c>
      <c r="F1183" s="1" t="n">
        <v>0</v>
      </c>
      <c r="G1183" s="1" t="inlineStr">
        <is>
          <t>SQM</t>
        </is>
      </c>
      <c r="H1183" s="1" t="inlineStr">
        <is>
          <t>Ceramic</t>
        </is>
      </c>
      <c r="I1183" s="1" t="inlineStr">
        <is>
          <t>Gloss</t>
        </is>
      </c>
      <c r="J1183" t="n">
        <v>138</v>
      </c>
      <c r="K1183" t="n">
        <v>138</v>
      </c>
      <c r="L1183" t="n">
        <v>138</v>
      </c>
    </row>
    <row r="1184">
      <c r="A1184" s="1">
        <f>Hyperlink("https://www.wallsandfloors.co.uk/antique-crackle-metro-tiles-madeleine-purple-crackle-metro-tiles","Product")</f>
        <v/>
      </c>
      <c r="B1184" s="1" t="inlineStr">
        <is>
          <t>13119</t>
        </is>
      </c>
      <c r="C1184" s="1" t="inlineStr">
        <is>
          <t>Madeleine Purple Crackle Metro Tiles</t>
        </is>
      </c>
      <c r="D1184" s="1" t="inlineStr">
        <is>
          <t>150x75x7mm</t>
        </is>
      </c>
      <c r="E1184" s="1" t="n">
        <v>40.95</v>
      </c>
      <c r="F1184" s="1" t="n">
        <v>0</v>
      </c>
      <c r="G1184" s="1" t="inlineStr">
        <is>
          <t>SQM</t>
        </is>
      </c>
      <c r="H1184" s="1" t="inlineStr">
        <is>
          <t>Ceramic</t>
        </is>
      </c>
      <c r="I1184" s="1" t="inlineStr">
        <is>
          <t>Gloss</t>
        </is>
      </c>
      <c r="J1184" t="inlineStr"/>
      <c r="K1184" t="n">
        <v>79</v>
      </c>
      <c r="L1184" t="n">
        <v>79</v>
      </c>
    </row>
    <row r="1185">
      <c r="A1185" s="1">
        <f>Hyperlink("https://www.wallsandfloors.co.uk/antique-crackle-metro-tiles-les-sablons-blue-crackle-metro-tiles","Product")</f>
        <v/>
      </c>
      <c r="B1185" s="1" t="inlineStr">
        <is>
          <t>11040</t>
        </is>
      </c>
      <c r="C1185" s="1" t="inlineStr">
        <is>
          <t>Antique Les Sablons Blue Crackle Metro Tiles</t>
        </is>
      </c>
      <c r="D1185" s="1" t="inlineStr">
        <is>
          <t>150x75x7mm</t>
        </is>
      </c>
      <c r="E1185" s="1" t="n">
        <v>40.95</v>
      </c>
      <c r="F1185" s="1" t="n">
        <v>0</v>
      </c>
      <c r="G1185" s="1" t="inlineStr">
        <is>
          <t>SQM</t>
        </is>
      </c>
      <c r="H1185" s="1" t="inlineStr">
        <is>
          <t>Ceramic</t>
        </is>
      </c>
      <c r="I1185" s="1" t="inlineStr">
        <is>
          <t>Gloss</t>
        </is>
      </c>
      <c r="J1185" t="n">
        <v>96</v>
      </c>
      <c r="K1185" t="n">
        <v>96</v>
      </c>
      <c r="L1185" t="n">
        <v>96</v>
      </c>
    </row>
    <row r="1186">
      <c r="A1186" s="1">
        <f>Hyperlink("https://www.wallsandfloors.co.uk/antique-crackle-metro-tiles-le-vert-de-maisons-green-crackle-metro-tiles","Product")</f>
        <v/>
      </c>
      <c r="B1186" s="1" t="inlineStr">
        <is>
          <t>12344</t>
        </is>
      </c>
      <c r="C1186" s="1" t="inlineStr">
        <is>
          <t>Le Vert De Maisons Green Crackle Metro Tiles</t>
        </is>
      </c>
      <c r="D1186" s="1" t="inlineStr">
        <is>
          <t>150x75x7mm</t>
        </is>
      </c>
      <c r="E1186" s="1" t="n">
        <v>40.95</v>
      </c>
      <c r="F1186" s="1" t="n">
        <v>0</v>
      </c>
      <c r="G1186" s="1" t="inlineStr">
        <is>
          <t>SQM</t>
        </is>
      </c>
      <c r="H1186" s="1" t="inlineStr">
        <is>
          <t>Ceramic</t>
        </is>
      </c>
      <c r="I1186" s="1" t="inlineStr">
        <is>
          <t>Gloss</t>
        </is>
      </c>
      <c r="J1186" t="n">
        <v>176</v>
      </c>
      <c r="K1186" t="n">
        <v>176</v>
      </c>
      <c r="L1186" t="n">
        <v>176</v>
      </c>
    </row>
    <row r="1187">
      <c r="A1187" s="1">
        <f>Hyperlink("https://www.wallsandfloors.co.uk/antique-crackle-metro-tiles-hotel-de-ville-blue-crackle-tiles","Product")</f>
        <v/>
      </c>
      <c r="B1187" s="1" t="inlineStr">
        <is>
          <t>13583</t>
        </is>
      </c>
      <c r="C1187" s="1" t="inlineStr">
        <is>
          <t>Hotel De Ville Blue Crackle Tiles</t>
        </is>
      </c>
      <c r="D1187" s="1" t="inlineStr">
        <is>
          <t>150x75x7mm</t>
        </is>
      </c>
      <c r="E1187" s="1" t="n">
        <v>40.95</v>
      </c>
      <c r="F1187" s="1" t="n">
        <v>0</v>
      </c>
      <c r="G1187" s="1" t="inlineStr">
        <is>
          <t>SQM</t>
        </is>
      </c>
      <c r="H1187" s="1" t="inlineStr">
        <is>
          <t>Ceramic</t>
        </is>
      </c>
      <c r="I1187" s="1" t="inlineStr">
        <is>
          <t>Gloss</t>
        </is>
      </c>
      <c r="J1187" t="n">
        <v>205</v>
      </c>
      <c r="K1187" t="n">
        <v>205</v>
      </c>
      <c r="L1187" t="n">
        <v>205</v>
      </c>
    </row>
    <row r="1188">
      <c r="A1188" s="1">
        <f>Hyperlink("https://www.wallsandfloors.co.uk/antique-crackle-metro-tiles-chamarande-cream-crackle-metro-tiles","Product")</f>
        <v/>
      </c>
      <c r="B1188" s="1" t="inlineStr">
        <is>
          <t>12343</t>
        </is>
      </c>
      <c r="C1188" s="1" t="inlineStr">
        <is>
          <t>Antique Chamarande Cream Crackle Metro Tiles</t>
        </is>
      </c>
      <c r="D1188" s="1" t="inlineStr">
        <is>
          <t>150x75x7mm</t>
        </is>
      </c>
      <c r="E1188" s="1" t="n">
        <v>40.95</v>
      </c>
      <c r="F1188" s="1" t="n">
        <v>0</v>
      </c>
      <c r="G1188" s="1" t="inlineStr">
        <is>
          <t>SQM</t>
        </is>
      </c>
      <c r="H1188" s="1" t="inlineStr">
        <is>
          <t>Ceramic</t>
        </is>
      </c>
      <c r="I1188" s="1" t="inlineStr">
        <is>
          <t>Gloss</t>
        </is>
      </c>
      <c r="J1188" t="inlineStr"/>
      <c r="K1188" t="inlineStr">
        <is>
          <t>Out of Stock</t>
        </is>
      </c>
      <c r="L1188" t="inlineStr">
        <is>
          <t>Out of Stock</t>
        </is>
      </c>
    </row>
    <row r="1189">
      <c r="A1189" s="1">
        <f>Hyperlink("https://www.wallsandfloors.co.uk/antique-crackle-metro-tiles-bastille-white-crackle-metro-tiles","Product")</f>
        <v/>
      </c>
      <c r="B1189" s="1" t="inlineStr">
        <is>
          <t>11041</t>
        </is>
      </c>
      <c r="C1189" s="1" t="inlineStr">
        <is>
          <t>Bastille White Crackle Metro Tiles</t>
        </is>
      </c>
      <c r="D1189" s="1" t="inlineStr">
        <is>
          <t>150x75x7mm</t>
        </is>
      </c>
      <c r="E1189" s="1" t="n">
        <v>36.95</v>
      </c>
      <c r="F1189" s="1" t="n">
        <v>0</v>
      </c>
      <c r="G1189" s="1" t="inlineStr">
        <is>
          <t>SQM</t>
        </is>
      </c>
      <c r="H1189" s="1" t="inlineStr">
        <is>
          <t>Ceramic</t>
        </is>
      </c>
      <c r="I1189" s="1" t="inlineStr">
        <is>
          <t>Gloss</t>
        </is>
      </c>
      <c r="J1189" t="inlineStr"/>
      <c r="K1189" t="inlineStr">
        <is>
          <t>In Stock</t>
        </is>
      </c>
      <c r="L1189" t="inlineStr">
        <is>
          <t>In Stock</t>
        </is>
      </c>
    </row>
    <row r="1190">
      <c r="A1190" s="1">
        <f>Hyperlink("https://www.wallsandfloors.co.uk/antique-delft-tiles-antique-delft-crackle-border-tiles","Product")</f>
        <v/>
      </c>
      <c r="B1190" s="1" t="inlineStr">
        <is>
          <t>13911</t>
        </is>
      </c>
      <c r="C1190" s="1" t="inlineStr">
        <is>
          <t>Antique Delft Crackle Border Tiles</t>
        </is>
      </c>
      <c r="D1190" s="1" t="inlineStr">
        <is>
          <t>150x75x7mm</t>
        </is>
      </c>
      <c r="E1190" s="1" t="n">
        <v>2.45</v>
      </c>
      <c r="F1190" s="1" t="n">
        <v>0</v>
      </c>
      <c r="G1190" s="1" t="inlineStr">
        <is>
          <t>SQM</t>
        </is>
      </c>
      <c r="H1190" s="1" t="inlineStr">
        <is>
          <t>Ceramic</t>
        </is>
      </c>
      <c r="I1190" s="1" t="inlineStr">
        <is>
          <t>Gloss</t>
        </is>
      </c>
      <c r="J1190" t="n">
        <v>3</v>
      </c>
      <c r="K1190" t="n">
        <v>3</v>
      </c>
      <c r="L1190" t="n">
        <v>3</v>
      </c>
    </row>
    <row r="1191">
      <c r="A1191" s="1">
        <f>Hyperlink("https://www.wallsandfloors.co.uk/antique-smooth-crackle-metro-tiles-les-sablons-crackle-blue-moldura-border-tiles","Product")</f>
        <v/>
      </c>
      <c r="B1191" s="1" t="inlineStr">
        <is>
          <t>13179</t>
        </is>
      </c>
      <c r="C1191" s="1" t="inlineStr">
        <is>
          <t>Les Sablons Crackle Blue Moldura Border Tiles</t>
        </is>
      </c>
      <c r="D1191" s="1" t="inlineStr">
        <is>
          <t>150x50x7mm</t>
        </is>
      </c>
      <c r="E1191" s="1" t="n">
        <v>4.95</v>
      </c>
      <c r="F1191" s="1" t="n">
        <v>0</v>
      </c>
      <c r="G1191" s="1" t="inlineStr">
        <is>
          <t>SQM</t>
        </is>
      </c>
      <c r="H1191" s="1" t="inlineStr">
        <is>
          <t>Ceramic</t>
        </is>
      </c>
      <c r="I1191" s="1" t="inlineStr">
        <is>
          <t>Gloss</t>
        </is>
      </c>
      <c r="J1191" t="n">
        <v>267</v>
      </c>
      <c r="K1191" t="n">
        <v>267</v>
      </c>
      <c r="L1191" t="n">
        <v>267</v>
      </c>
    </row>
    <row r="1192">
      <c r="A1192" s="1">
        <f>Hyperlink("https://www.wallsandfloors.co.uk/antique-smooth-crackle-metro-tiles-madeleine-crackle-purple-moldura-border-tiles","Product")</f>
        <v/>
      </c>
      <c r="B1192" s="1" t="inlineStr">
        <is>
          <t>13195</t>
        </is>
      </c>
      <c r="C1192" s="1" t="inlineStr">
        <is>
          <t>Madeleine Crackle Purple Moldura Border Tiles</t>
        </is>
      </c>
      <c r="D1192" s="1" t="inlineStr">
        <is>
          <t>150x50x7mm</t>
        </is>
      </c>
      <c r="E1192" s="1" t="n">
        <v>4.95</v>
      </c>
      <c r="F1192" s="1" t="n">
        <v>0</v>
      </c>
      <c r="G1192" s="1" t="inlineStr">
        <is>
          <t>SQM</t>
        </is>
      </c>
      <c r="H1192" s="1" t="inlineStr">
        <is>
          <t>Ceramic</t>
        </is>
      </c>
      <c r="I1192" s="1" t="inlineStr">
        <is>
          <t>Gloss</t>
        </is>
      </c>
      <c r="J1192" t="inlineStr"/>
      <c r="K1192" t="inlineStr"/>
      <c r="L1192" t="n">
        <v>167</v>
      </c>
    </row>
    <row r="1193">
      <c r="A1193" s="1">
        <f>Hyperlink("https://www.wallsandfloors.co.uk/antique-smooth-crackle-metro-tiles-monceau-teal-smooth-crackle-metro-tiles","Product")</f>
        <v/>
      </c>
      <c r="B1193" s="1" t="inlineStr">
        <is>
          <t>14446</t>
        </is>
      </c>
      <c r="C1193" s="1" t="inlineStr">
        <is>
          <t>Monceau Teal Crackle Flat Metro Tiles</t>
        </is>
      </c>
      <c r="D1193" s="1" t="inlineStr">
        <is>
          <t>150x75x7mm</t>
        </is>
      </c>
      <c r="E1193" s="1" t="n">
        <v>40.95</v>
      </c>
      <c r="F1193" s="1" t="n">
        <v>0</v>
      </c>
      <c r="G1193" s="1" t="inlineStr">
        <is>
          <t>SQM</t>
        </is>
      </c>
      <c r="H1193" s="1" t="inlineStr">
        <is>
          <t>Ceramic</t>
        </is>
      </c>
      <c r="I1193" s="1" t="inlineStr">
        <is>
          <t>Gloss</t>
        </is>
      </c>
      <c r="J1193" t="n">
        <v>145</v>
      </c>
      <c r="K1193" t="n">
        <v>145</v>
      </c>
      <c r="L1193" t="n">
        <v>145</v>
      </c>
    </row>
    <row r="1194">
      <c r="A1194" s="1">
        <f>Hyperlink("https://www.wallsandfloors.co.uk/aragon-autumn-brown-quarry-tiles-r-e-15x15-tiles","Product")</f>
        <v/>
      </c>
      <c r="B1194" s="1" t="inlineStr">
        <is>
          <t>11523</t>
        </is>
      </c>
      <c r="C1194" s="1" t="inlineStr">
        <is>
          <t>Aragon Autumn Brown R.E Quarry Tiles</t>
        </is>
      </c>
      <c r="D1194" s="1" t="inlineStr">
        <is>
          <t>150x150x12mm</t>
        </is>
      </c>
      <c r="E1194" s="1" t="n">
        <v>3.95</v>
      </c>
      <c r="F1194" s="1" t="n">
        <v>0</v>
      </c>
      <c r="G1194" s="1" t="inlineStr">
        <is>
          <t>Tile</t>
        </is>
      </c>
      <c r="H1194" s="1" t="inlineStr">
        <is>
          <t>Clay</t>
        </is>
      </c>
      <c r="I1194" s="1" t="inlineStr">
        <is>
          <t>Matt</t>
        </is>
      </c>
      <c r="J1194" t="inlineStr">
        <is>
          <t>Out of Stock</t>
        </is>
      </c>
      <c r="K1194" t="inlineStr"/>
      <c r="L1194" t="inlineStr">
        <is>
          <t>Out of Stock</t>
        </is>
      </c>
    </row>
    <row r="1195">
      <c r="A1195" s="1">
        <f>Hyperlink("https://www.wallsandfloors.co.uk/aragon-autumn-brown-quarry-tiles-internal-angle-quarry-tiles","Product")</f>
        <v/>
      </c>
      <c r="B1195" s="1" t="inlineStr">
        <is>
          <t>11522</t>
        </is>
      </c>
      <c r="C1195" s="1" t="inlineStr">
        <is>
          <t>Internal Angle Quarry Tiles</t>
        </is>
      </c>
      <c r="D1195" s="1" t="inlineStr">
        <is>
          <t>115x30x12mm</t>
        </is>
      </c>
      <c r="E1195" s="1" t="n">
        <v>9.949999999999999</v>
      </c>
      <c r="F1195" s="1" t="n">
        <v>0</v>
      </c>
      <c r="G1195" s="1" t="inlineStr">
        <is>
          <t>Tile</t>
        </is>
      </c>
      <c r="H1195" s="1" t="inlineStr">
        <is>
          <t>Clay</t>
        </is>
      </c>
      <c r="I1195" s="1" t="inlineStr">
        <is>
          <t>Matt</t>
        </is>
      </c>
      <c r="J1195" t="inlineStr"/>
      <c r="K1195" t="inlineStr">
        <is>
          <t>In Stock</t>
        </is>
      </c>
      <c r="L1195" t="inlineStr">
        <is>
          <t>In Stock</t>
        </is>
      </c>
    </row>
    <row r="1196">
      <c r="A1196" s="1">
        <f>Hyperlink("https://www.wallsandfloors.co.uk/aragon-autumn-brown-quarry-tiles-flat-20x20-tiles","Product")</f>
        <v/>
      </c>
      <c r="B1196" s="1" t="inlineStr">
        <is>
          <t>12111</t>
        </is>
      </c>
      <c r="C1196" s="1" t="inlineStr">
        <is>
          <t>Aragon Flat Brown Quarry Tiles</t>
        </is>
      </c>
      <c r="D1196" s="1" t="inlineStr">
        <is>
          <t>200x200x12mm</t>
        </is>
      </c>
      <c r="E1196" s="1" t="n">
        <v>50.95</v>
      </c>
      <c r="F1196" s="1" t="n">
        <v>0</v>
      </c>
      <c r="G1196" s="1" t="inlineStr">
        <is>
          <t>SQM</t>
        </is>
      </c>
      <c r="H1196" s="1" t="inlineStr">
        <is>
          <t>Clay</t>
        </is>
      </c>
      <c r="I1196" s="1" t="inlineStr">
        <is>
          <t>Matt</t>
        </is>
      </c>
      <c r="J1196" t="inlineStr">
        <is>
          <t>In Stock</t>
        </is>
      </c>
      <c r="K1196" t="inlineStr">
        <is>
          <t>In Stock</t>
        </is>
      </c>
      <c r="L1196" t="inlineStr">
        <is>
          <t>In Stock</t>
        </is>
      </c>
    </row>
    <row r="1197">
      <c r="A1197" s="1">
        <f>Hyperlink("https://www.wallsandfloors.co.uk/aragon-autumn-brown-quarry-tiles-flat-15x15-tiles","Product")</f>
        <v/>
      </c>
      <c r="B1197" s="1" t="inlineStr">
        <is>
          <t>11519</t>
        </is>
      </c>
      <c r="C1197" s="1" t="inlineStr">
        <is>
          <t>Aragon Flat Brown Quarry Tiles</t>
        </is>
      </c>
      <c r="D1197" s="1" t="inlineStr">
        <is>
          <t>150x150x12mm</t>
        </is>
      </c>
      <c r="E1197" s="1" t="n">
        <v>40.95</v>
      </c>
      <c r="F1197" s="1" t="n">
        <v>0</v>
      </c>
      <c r="G1197" s="1" t="inlineStr"/>
      <c r="H1197" s="1" t="inlineStr">
        <is>
          <t>Clay</t>
        </is>
      </c>
      <c r="I1197" s="1" t="inlineStr">
        <is>
          <t>Matt</t>
        </is>
      </c>
      <c r="J1197" t="inlineStr">
        <is>
          <t>Out of Stock</t>
        </is>
      </c>
      <c r="K1197" t="inlineStr">
        <is>
          <t>Out of Stock</t>
        </is>
      </c>
      <c r="L1197" t="inlineStr">
        <is>
          <t>Out of Stock</t>
        </is>
      </c>
    </row>
    <row r="1198">
      <c r="A1198" s="1">
        <f>Hyperlink("https://www.wallsandfloors.co.uk/aragon-autumn-brown-quarry-tiles-external-angle-quarry-tiles","Product")</f>
        <v/>
      </c>
      <c r="B1198" s="1" t="inlineStr">
        <is>
          <t>11521</t>
        </is>
      </c>
      <c r="C1198" s="1" t="inlineStr">
        <is>
          <t>External Angle Quarry Tiles</t>
        </is>
      </c>
      <c r="D1198" s="1" t="inlineStr">
        <is>
          <t>115x30x12mm</t>
        </is>
      </c>
      <c r="E1198" s="1" t="n">
        <v>9.949999999999999</v>
      </c>
      <c r="F1198" s="1" t="n">
        <v>0</v>
      </c>
      <c r="G1198" s="1" t="inlineStr">
        <is>
          <t>Tile</t>
        </is>
      </c>
      <c r="H1198" s="1" t="inlineStr">
        <is>
          <t>Clay</t>
        </is>
      </c>
      <c r="I1198" s="1" t="inlineStr">
        <is>
          <t>Matt</t>
        </is>
      </c>
      <c r="J1198" t="inlineStr">
        <is>
          <t>In Stock</t>
        </is>
      </c>
      <c r="K1198" t="inlineStr">
        <is>
          <t>In Stock</t>
        </is>
      </c>
      <c r="L1198" t="inlineStr">
        <is>
          <t>In Stock</t>
        </is>
      </c>
    </row>
    <row r="1199">
      <c r="A1199" s="1">
        <f>Hyperlink("https://www.wallsandfloors.co.uk/aquarelle-300x100-tiles-wheat-tiles","Product")</f>
        <v/>
      </c>
      <c r="B1199" s="1" t="inlineStr">
        <is>
          <t>15405</t>
        </is>
      </c>
      <c r="C1199" s="1" t="inlineStr">
        <is>
          <t>Aquarelle Wheat Cream Tiles</t>
        </is>
      </c>
      <c r="D1199" s="1" t="inlineStr">
        <is>
          <t>300x100x8mm</t>
        </is>
      </c>
      <c r="E1199" s="1" t="n">
        <v>29.95</v>
      </c>
      <c r="F1199" s="1" t="n">
        <v>0</v>
      </c>
      <c r="G1199" s="1" t="inlineStr">
        <is>
          <t>SQM</t>
        </is>
      </c>
      <c r="H1199" s="1" t="inlineStr">
        <is>
          <t>Ceramic</t>
        </is>
      </c>
      <c r="I1199" s="1" t="inlineStr">
        <is>
          <t>Gloss</t>
        </is>
      </c>
      <c r="J1199" t="inlineStr"/>
      <c r="K1199" t="inlineStr">
        <is>
          <t>In Stock</t>
        </is>
      </c>
      <c r="L1199" t="inlineStr">
        <is>
          <t>In Stock</t>
        </is>
      </c>
    </row>
    <row r="1200">
      <c r="A1200" s="1">
        <f>Hyperlink("https://www.wallsandfloors.co.uk/aquarelle-300x100-tiles-umber-tiles","Product")</f>
        <v/>
      </c>
      <c r="B1200" s="1" t="inlineStr">
        <is>
          <t>15409</t>
        </is>
      </c>
      <c r="C1200" s="1" t="inlineStr">
        <is>
          <t>Aquarelle Umber Grey Tiles</t>
        </is>
      </c>
      <c r="D1200" s="1" t="inlineStr">
        <is>
          <t>300x100x8mm</t>
        </is>
      </c>
      <c r="E1200" s="1" t="n">
        <v>30.95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n">
        <v>227</v>
      </c>
      <c r="K1200" t="inlineStr"/>
      <c r="L1200" t="n">
        <v>227</v>
      </c>
    </row>
    <row r="1201">
      <c r="A1201" s="1">
        <f>Hyperlink("https://www.wallsandfloors.co.uk/aquarelle-300x100-tiles-oatmeal-tiles","Product")</f>
        <v/>
      </c>
      <c r="B1201" s="1" t="inlineStr">
        <is>
          <t>15406</t>
        </is>
      </c>
      <c r="C1201" s="1" t="inlineStr">
        <is>
          <t>Aquarelle Oatmeal Cream Tiles</t>
        </is>
      </c>
      <c r="D1201" s="1" t="inlineStr">
        <is>
          <t>300x100x8mm</t>
        </is>
      </c>
      <c r="E1201" s="1" t="n">
        <v>29.95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inlineStr"/>
      <c r="K1201" t="n">
        <v>176</v>
      </c>
      <c r="L1201" t="n">
        <v>176</v>
      </c>
    </row>
    <row r="1202">
      <c r="A1202" s="1">
        <f>Hyperlink("https://www.wallsandfloors.co.uk/aquarelle-300x100-tiles-mocha-tiles","Product")</f>
        <v/>
      </c>
      <c r="B1202" s="1" t="inlineStr">
        <is>
          <t>15680</t>
        </is>
      </c>
      <c r="C1202" s="1" t="inlineStr">
        <is>
          <t>Aquarelle Mocha Brown Tiles</t>
        </is>
      </c>
      <c r="D1202" s="1" t="inlineStr">
        <is>
          <t>300x100x8mm</t>
        </is>
      </c>
      <c r="E1202" s="1" t="n">
        <v>29.95</v>
      </c>
      <c r="F1202" s="1" t="n">
        <v>0</v>
      </c>
      <c r="G1202" s="1" t="inlineStr">
        <is>
          <t>SQM</t>
        </is>
      </c>
      <c r="H1202" s="1" t="inlineStr">
        <is>
          <t>Ceramic</t>
        </is>
      </c>
      <c r="I1202" s="1" t="inlineStr">
        <is>
          <t>Gloss</t>
        </is>
      </c>
      <c r="J1202" t="inlineStr">
        <is>
          <t>In Stock</t>
        </is>
      </c>
      <c r="K1202" t="inlineStr">
        <is>
          <t>In Stock</t>
        </is>
      </c>
      <c r="L1202" t="inlineStr">
        <is>
          <t>In Stock</t>
        </is>
      </c>
    </row>
    <row r="1203">
      <c r="A1203" s="1">
        <f>Hyperlink("https://www.wallsandfloors.co.uk/apollo-hexagon-mosaic-tiles-aurora-mix-hexagon-mosaic-tiles","Product")</f>
        <v/>
      </c>
      <c r="B1203" s="1" t="inlineStr">
        <is>
          <t>14091</t>
        </is>
      </c>
      <c r="C1203" s="1" t="inlineStr">
        <is>
          <t>Apollo Aurora Mix Hexagon Mosaic Tiles</t>
        </is>
      </c>
      <c r="D1203" s="1" t="inlineStr">
        <is>
          <t>301x290x4.4mm</t>
        </is>
      </c>
      <c r="E1203" s="1" t="n">
        <v>13.95</v>
      </c>
      <c r="F1203" s="1" t="n">
        <v>0</v>
      </c>
      <c r="G1203" s="1" t="inlineStr">
        <is>
          <t>Sheet</t>
        </is>
      </c>
      <c r="H1203" s="1" t="inlineStr">
        <is>
          <t>Glass</t>
        </is>
      </c>
      <c r="I1203" s="1" t="inlineStr">
        <is>
          <t>Mixed</t>
        </is>
      </c>
      <c r="J1203" t="inlineStr">
        <is>
          <t>In Stock</t>
        </is>
      </c>
      <c r="K1203" t="inlineStr"/>
      <c r="L1203" t="inlineStr">
        <is>
          <t>In Stock</t>
        </is>
      </c>
    </row>
    <row r="1204">
      <c r="A1204" s="1">
        <f>Hyperlink("https://www.wallsandfloors.co.uk/apennine-flat-gloss-20x10-tiles","Product")</f>
        <v/>
      </c>
      <c r="B1204" s="1" t="inlineStr">
        <is>
          <t>37744</t>
        </is>
      </c>
      <c r="C1204" s="1" t="inlineStr">
        <is>
          <t>Vena Biana Flat Gloss Tiles</t>
        </is>
      </c>
      <c r="D1204" s="1" t="inlineStr">
        <is>
          <t>200x100x6.5mm</t>
        </is>
      </c>
      <c r="E1204" s="1" t="n">
        <v>19.65</v>
      </c>
      <c r="F1204" s="1" t="n">
        <v>0</v>
      </c>
      <c r="G1204" s="1" t="inlineStr">
        <is>
          <t>SQM</t>
        </is>
      </c>
      <c r="H1204" s="1" t="inlineStr">
        <is>
          <t>Ceramic</t>
        </is>
      </c>
      <c r="I1204" s="1" t="inlineStr">
        <is>
          <t>Gloss</t>
        </is>
      </c>
      <c r="J1204" t="inlineStr">
        <is>
          <t>Out of Stock</t>
        </is>
      </c>
      <c r="K1204" t="inlineStr">
        <is>
          <t>Out of Stock</t>
        </is>
      </c>
      <c r="L1204" t="inlineStr">
        <is>
          <t>Out of Stock</t>
        </is>
      </c>
    </row>
    <row r="1205">
      <c r="A1205" s="1">
        <f>Hyperlink("https://www.wallsandfloors.co.uk/antoinette-parquet-whiteleaf-jewel-wood-tiles","Product")</f>
        <v/>
      </c>
      <c r="B1205" s="1" t="inlineStr">
        <is>
          <t>38478</t>
        </is>
      </c>
      <c r="C1205" s="1" t="inlineStr">
        <is>
          <t>Antoinette Parquet Whiteleaf Jewel Wood Tiles</t>
        </is>
      </c>
      <c r="D1205" s="1" t="inlineStr">
        <is>
          <t>800x800x10mm</t>
        </is>
      </c>
      <c r="E1205" s="1" t="n">
        <v>43.95</v>
      </c>
      <c r="F1205" s="1" t="n">
        <v>0</v>
      </c>
      <c r="G1205" s="1" t="inlineStr">
        <is>
          <t>SQM</t>
        </is>
      </c>
      <c r="H1205" s="1" t="inlineStr">
        <is>
          <t>Porcelain</t>
        </is>
      </c>
      <c r="I1205" s="1" t="inlineStr">
        <is>
          <t>Matt</t>
        </is>
      </c>
      <c r="J1205" t="n">
        <v>147</v>
      </c>
      <c r="K1205" t="n">
        <v>147</v>
      </c>
      <c r="L1205" t="n">
        <v>147</v>
      </c>
    </row>
    <row r="1206">
      <c r="A1206" s="1">
        <f>Hyperlink("https://www.wallsandfloors.co.uk/antoinette-parquet-whiteleaf-jazz-wood-tiles","Product")</f>
        <v/>
      </c>
      <c r="B1206" s="1" t="inlineStr">
        <is>
          <t>38481</t>
        </is>
      </c>
      <c r="C1206" s="1" t="inlineStr">
        <is>
          <t>Antoinette Parquet Whiteleaf Jazz Wood Tiles</t>
        </is>
      </c>
      <c r="D1206" s="1" t="inlineStr">
        <is>
          <t>800x800x10mm</t>
        </is>
      </c>
      <c r="E1206" s="1" t="n">
        <v>43.95</v>
      </c>
      <c r="F1206" s="1" t="n">
        <v>0</v>
      </c>
      <c r="G1206" s="1" t="inlineStr">
        <is>
          <t>SQM</t>
        </is>
      </c>
      <c r="H1206" s="1" t="inlineStr">
        <is>
          <t>Porcelain</t>
        </is>
      </c>
      <c r="I1206" s="1" t="inlineStr">
        <is>
          <t>Matt</t>
        </is>
      </c>
      <c r="J1206" t="inlineStr">
        <is>
          <t>Out of Stock</t>
        </is>
      </c>
      <c r="K1206" t="inlineStr"/>
      <c r="L1206" t="inlineStr">
        <is>
          <t>Out of Stock</t>
        </is>
      </c>
    </row>
    <row r="1207">
      <c r="A1207" s="1">
        <f>Hyperlink("https://www.wallsandfloors.co.uk/antoinette-parquet-maple-jewel-wood-tiles","Product")</f>
        <v/>
      </c>
      <c r="B1207" s="1" t="inlineStr">
        <is>
          <t>38479</t>
        </is>
      </c>
      <c r="C1207" s="1" t="inlineStr">
        <is>
          <t>Antoinette Parquet Maple Jewel Wood Tiles</t>
        </is>
      </c>
      <c r="D1207" s="1" t="inlineStr">
        <is>
          <t>800x800x10mm</t>
        </is>
      </c>
      <c r="E1207" s="1" t="n">
        <v>43.95</v>
      </c>
      <c r="F1207" s="1" t="n">
        <v>0</v>
      </c>
      <c r="G1207" s="1" t="inlineStr">
        <is>
          <t>SQM</t>
        </is>
      </c>
      <c r="H1207" s="1" t="inlineStr">
        <is>
          <t>Porcelain</t>
        </is>
      </c>
      <c r="I1207" s="1" t="inlineStr">
        <is>
          <t>Matt</t>
        </is>
      </c>
      <c r="J1207" t="inlineStr"/>
      <c r="K1207" t="inlineStr">
        <is>
          <t>Out of Stock</t>
        </is>
      </c>
      <c r="L1207" t="inlineStr">
        <is>
          <t>Out of Stock</t>
        </is>
      </c>
    </row>
    <row r="1208">
      <c r="A1208" s="1">
        <f>Hyperlink("https://www.wallsandfloors.co.uk/antoinette-parquet-maple-jazz-wood-tiles","Product")</f>
        <v/>
      </c>
      <c r="B1208" s="1" t="inlineStr">
        <is>
          <t>38482</t>
        </is>
      </c>
      <c r="C1208" s="1" t="inlineStr">
        <is>
          <t>Antoinette Parquet Maple Jazz Wood Tiles</t>
        </is>
      </c>
      <c r="D1208" s="1" t="inlineStr">
        <is>
          <t>800x800x10mm</t>
        </is>
      </c>
      <c r="E1208" s="1" t="n">
        <v>43.95</v>
      </c>
      <c r="F1208" s="1" t="n">
        <v>0</v>
      </c>
      <c r="G1208" s="1" t="inlineStr">
        <is>
          <t>SQM</t>
        </is>
      </c>
      <c r="H1208" s="1" t="inlineStr">
        <is>
          <t>Porcelain</t>
        </is>
      </c>
      <c r="I1208" s="1" t="inlineStr">
        <is>
          <t>Matt</t>
        </is>
      </c>
      <c r="J1208" t="n">
        <v>55</v>
      </c>
      <c r="K1208" t="n">
        <v>55</v>
      </c>
      <c r="L1208" t="n">
        <v>55</v>
      </c>
    </row>
    <row r="1209">
      <c r="A1209" s="1">
        <f>Hyperlink("https://www.wallsandfloors.co.uk/antoinette-parquet-cherry-jazz-wood-tiles","Product")</f>
        <v/>
      </c>
      <c r="B1209" s="1" t="inlineStr">
        <is>
          <t>38483</t>
        </is>
      </c>
      <c r="C1209" s="1" t="inlineStr">
        <is>
          <t>Antoinette Parquet Cherry Jazz Wood Tiles</t>
        </is>
      </c>
      <c r="D1209" s="1" t="inlineStr">
        <is>
          <t>800x800x10mm</t>
        </is>
      </c>
      <c r="E1209" s="1" t="n">
        <v>43.95</v>
      </c>
      <c r="F1209" s="1" t="n">
        <v>0</v>
      </c>
      <c r="G1209" s="1" t="inlineStr">
        <is>
          <t>SQM</t>
        </is>
      </c>
      <c r="H1209" s="1" t="inlineStr">
        <is>
          <t>Porcelain</t>
        </is>
      </c>
      <c r="I1209" s="1" t="inlineStr">
        <is>
          <t>Matt</t>
        </is>
      </c>
      <c r="J1209" t="inlineStr">
        <is>
          <t>In Stock</t>
        </is>
      </c>
      <c r="K1209" t="inlineStr"/>
      <c r="L1209" t="inlineStr">
        <is>
          <t>In Stock</t>
        </is>
      </c>
    </row>
    <row r="1210">
      <c r="A1210" s="1">
        <f>Hyperlink("https://www.wallsandfloors.co.uk/antiquity-scintilla-black-tiles","Product")</f>
        <v/>
      </c>
      <c r="B1210" s="1" t="inlineStr">
        <is>
          <t>24746</t>
        </is>
      </c>
      <c r="C1210" s="1" t="inlineStr">
        <is>
          <t>Scintilla Black Star Pattern Tiles</t>
        </is>
      </c>
      <c r="D1210" s="1" t="inlineStr">
        <is>
          <t>450x450x10.5mm</t>
        </is>
      </c>
      <c r="E1210" s="1" t="n">
        <v>19.95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Matt</t>
        </is>
      </c>
      <c r="J1210" t="inlineStr"/>
      <c r="K1210" t="inlineStr"/>
      <c r="L1210" t="n">
        <v>950</v>
      </c>
    </row>
    <row r="1211">
      <c r="A1211" s="1">
        <f>Hyperlink("https://www.wallsandfloors.co.uk/antiquity-panoply-tiles","Product")</f>
        <v/>
      </c>
      <c r="B1211" s="1" t="inlineStr">
        <is>
          <t>24741</t>
        </is>
      </c>
      <c r="C1211" s="1" t="inlineStr">
        <is>
          <t>Panoply Tiles</t>
        </is>
      </c>
      <c r="D1211" s="1" t="inlineStr">
        <is>
          <t>450x450x11.5mm</t>
        </is>
      </c>
      <c r="E1211" s="1" t="n">
        <v>26.95</v>
      </c>
      <c r="F1211" s="1" t="n">
        <v>0</v>
      </c>
      <c r="G1211" s="1" t="inlineStr">
        <is>
          <t>SQM</t>
        </is>
      </c>
      <c r="H1211" s="1" t="inlineStr">
        <is>
          <t>Ceramic</t>
        </is>
      </c>
      <c r="I1211" s="1" t="inlineStr">
        <is>
          <t>Matt</t>
        </is>
      </c>
      <c r="J1211" t="inlineStr">
        <is>
          <t>In Stock</t>
        </is>
      </c>
      <c r="K1211" t="inlineStr"/>
      <c r="L1211" t="inlineStr">
        <is>
          <t>In Stock</t>
        </is>
      </c>
    </row>
    <row r="1212">
      <c r="A1212" s="1">
        <f>Hyperlink("https://www.wallsandfloors.co.uk/antiquity-moiety-tiles","Product")</f>
        <v/>
      </c>
      <c r="B1212" s="1" t="inlineStr">
        <is>
          <t>24740</t>
        </is>
      </c>
      <c r="C1212" s="1" t="inlineStr">
        <is>
          <t>Moiety Tiles</t>
        </is>
      </c>
      <c r="D1212" s="1" t="inlineStr">
        <is>
          <t>450x450x11.5mm</t>
        </is>
      </c>
      <c r="E1212" s="1" t="n">
        <v>26.95</v>
      </c>
      <c r="F1212" s="1" t="n">
        <v>0</v>
      </c>
      <c r="G1212" s="1" t="inlineStr">
        <is>
          <t>SQM</t>
        </is>
      </c>
      <c r="H1212" s="1" t="inlineStr">
        <is>
          <t>Ceramic</t>
        </is>
      </c>
      <c r="I1212" s="1" t="inlineStr">
        <is>
          <t>Matt</t>
        </is>
      </c>
      <c r="J1212" t="n">
        <v>128</v>
      </c>
      <c r="K1212" t="n">
        <v>128</v>
      </c>
      <c r="L1212" t="n">
        <v>128</v>
      </c>
    </row>
    <row r="1213">
      <c r="A1213" s="1">
        <f>Hyperlink("https://www.wallsandfloors.co.uk/antique-smooth-crackle-square-tiles-bastille-crackle-15x15-white-tiles","Product")</f>
        <v/>
      </c>
      <c r="B1213" s="1" t="inlineStr">
        <is>
          <t>13105</t>
        </is>
      </c>
      <c r="C1213" s="1" t="inlineStr">
        <is>
          <t>Bastille White Square Crackle Tiles</t>
        </is>
      </c>
      <c r="D1213" s="1" t="inlineStr">
        <is>
          <t>150x150x7mm</t>
        </is>
      </c>
      <c r="E1213" s="1" t="n">
        <v>38.95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78</v>
      </c>
      <c r="K1213" t="inlineStr"/>
      <c r="L1213" t="n">
        <v>78</v>
      </c>
    </row>
    <row r="1214">
      <c r="A1214" s="1">
        <f>Hyperlink("https://www.wallsandfloors.co.uk/antique-smooth-crackle-square-tiles-bastille-crackle-10x10-white-tiles","Product")</f>
        <v/>
      </c>
      <c r="B1214" s="1" t="inlineStr">
        <is>
          <t>13104</t>
        </is>
      </c>
      <c r="C1214" s="1" t="inlineStr">
        <is>
          <t>Bastille Crackle White Tiles</t>
        </is>
      </c>
      <c r="D1214" s="1" t="inlineStr">
        <is>
          <t>100x100x7mm</t>
        </is>
      </c>
      <c r="E1214" s="1" t="n">
        <v>38.95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n">
        <v>211</v>
      </c>
      <c r="K1214" t="n">
        <v>211</v>
      </c>
      <c r="L1214" t="n">
        <v>211</v>
      </c>
    </row>
    <row r="1215">
      <c r="A1215" s="1">
        <f>Hyperlink("https://www.wallsandfloors.co.uk/antique-smooth-crackle-metro-tiles-varenne-teal-smooth-crackle-metro-tiles","Product")</f>
        <v/>
      </c>
      <c r="B1215" s="1" t="inlineStr">
        <is>
          <t>14447</t>
        </is>
      </c>
      <c r="C1215" s="1" t="inlineStr">
        <is>
          <t>Varenne Teal Crackle Flat Metro Tiles</t>
        </is>
      </c>
      <c r="D1215" s="1" t="inlineStr">
        <is>
          <t>150x75x7mm</t>
        </is>
      </c>
      <c r="E1215" s="1" t="n">
        <v>40.95</v>
      </c>
      <c r="F1215" s="1" t="n">
        <v>0</v>
      </c>
      <c r="G1215" s="1" t="inlineStr"/>
      <c r="H1215" s="1" t="inlineStr">
        <is>
          <t>Ceramic</t>
        </is>
      </c>
      <c r="I1215" s="1" t="inlineStr">
        <is>
          <t>Gloss</t>
        </is>
      </c>
      <c r="J1215" t="inlineStr">
        <is>
          <t>In Stock</t>
        </is>
      </c>
      <c r="K1215" t="inlineStr">
        <is>
          <t>In Stock</t>
        </is>
      </c>
      <c r="L1215" t="inlineStr">
        <is>
          <t>In Stock</t>
        </is>
      </c>
    </row>
    <row r="1216">
      <c r="A1216" s="1">
        <f>Hyperlink("https://www.wallsandfloors.co.uk/antique-smooth-crackle-metro-tiles-tuileries-cream-crackle-metro-tiles","Product")</f>
        <v/>
      </c>
      <c r="B1216" s="1" t="inlineStr">
        <is>
          <t>11338</t>
        </is>
      </c>
      <c r="C1216" s="1" t="inlineStr">
        <is>
          <t>Tuileries Cream Crackle Flat Metro Tiles</t>
        </is>
      </c>
      <c r="D1216" s="1" t="inlineStr">
        <is>
          <t>150x75x7mm</t>
        </is>
      </c>
      <c r="E1216" s="1" t="n">
        <v>40.95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inlineStr"/>
      <c r="K1216" t="inlineStr">
        <is>
          <t>In Stock</t>
        </is>
      </c>
      <c r="L1216" t="inlineStr">
        <is>
          <t>In Stock</t>
        </is>
      </c>
    </row>
    <row r="1217">
      <c r="A1217" s="1">
        <f>Hyperlink("https://www.wallsandfloors.co.uk/anti-mould-flexible-tile-grout-white-anti-mould-tile-grout-3kg","Product")</f>
        <v/>
      </c>
      <c r="B1217" s="1" t="inlineStr">
        <is>
          <t>13825</t>
        </is>
      </c>
      <c r="C1217" s="1" t="inlineStr">
        <is>
          <t>White Anti-Mould Tile Grout 3kg</t>
        </is>
      </c>
      <c r="D1217" s="1" t="inlineStr">
        <is>
          <t>3 kg</t>
        </is>
      </c>
      <c r="E1217" s="1" t="n">
        <v>10.95</v>
      </c>
      <c r="F1217" s="1" t="n">
        <v>0</v>
      </c>
      <c r="G1217" s="1" t="inlineStr">
        <is>
          <t>Unit</t>
        </is>
      </c>
      <c r="H1217" s="1" t="inlineStr">
        <is>
          <t>Grout</t>
        </is>
      </c>
      <c r="I1217" s="1" t="inlineStr">
        <is>
          <t>-</t>
        </is>
      </c>
      <c r="J1217" t="n">
        <v>113</v>
      </c>
      <c r="K1217" t="n">
        <v>113</v>
      </c>
      <c r="L1217" t="n">
        <v>113</v>
      </c>
    </row>
    <row r="1218">
      <c r="A1218" s="1">
        <f>Hyperlink("https://www.wallsandfloors.co.uk/anti-mould-flexible-tile-grout-limestone-anti-mould-tile-grout-10kg","Product")</f>
        <v/>
      </c>
      <c r="B1218" s="1" t="inlineStr">
        <is>
          <t>13820</t>
        </is>
      </c>
      <c r="C1218" s="1" t="inlineStr">
        <is>
          <t>Limestone Anti-Mould Tile Grout 10kg</t>
        </is>
      </c>
      <c r="D1218" s="1" t="inlineStr">
        <is>
          <t>10 Kg</t>
        </is>
      </c>
      <c r="E1218" s="1" t="n">
        <v>19.95</v>
      </c>
      <c r="F1218" s="1" t="n">
        <v>0</v>
      </c>
      <c r="G1218" s="1" t="inlineStr">
        <is>
          <t>Unit</t>
        </is>
      </c>
      <c r="H1218" s="1" t="inlineStr">
        <is>
          <t>Grout</t>
        </is>
      </c>
      <c r="I1218" s="1" t="inlineStr">
        <is>
          <t>-</t>
        </is>
      </c>
      <c r="J1218" t="inlineStr">
        <is>
          <t>In Stock</t>
        </is>
      </c>
      <c r="K1218" t="inlineStr">
        <is>
          <t>In Stock</t>
        </is>
      </c>
      <c r="L1218" t="inlineStr">
        <is>
          <t>In Stock</t>
        </is>
      </c>
    </row>
    <row r="1219">
      <c r="A1219" s="1">
        <f>Hyperlink("https://www.wallsandfloors.co.uk/anti-mould-flexible-tile-grout-black-charcoal-anti-mould-tile-grout-10kg","Product")</f>
        <v/>
      </c>
      <c r="B1219" s="1" t="inlineStr">
        <is>
          <t>13813</t>
        </is>
      </c>
      <c r="C1219" s="1" t="inlineStr">
        <is>
          <t>Charcoal Anti-Mould Tile Grout 10kg</t>
        </is>
      </c>
      <c r="D1219" s="1" t="inlineStr">
        <is>
          <t>10 Kg</t>
        </is>
      </c>
      <c r="E1219" s="1" t="n">
        <v>19.95</v>
      </c>
      <c r="F1219" s="1" t="n">
        <v>0</v>
      </c>
      <c r="G1219" s="1" t="inlineStr">
        <is>
          <t>Unit</t>
        </is>
      </c>
      <c r="H1219" s="1" t="inlineStr">
        <is>
          <t>Grout</t>
        </is>
      </c>
      <c r="I1219" s="1" t="inlineStr">
        <is>
          <t>-</t>
        </is>
      </c>
      <c r="J1219" t="inlineStr">
        <is>
          <t>In Stock</t>
        </is>
      </c>
      <c r="K1219" t="inlineStr"/>
      <c r="L1219" t="inlineStr">
        <is>
          <t>In Stock</t>
        </is>
      </c>
    </row>
    <row r="1220">
      <c r="A1220" s="1">
        <f>Hyperlink("https://www.wallsandfloors.co.uk/anthracite-triangle-35x35x50mm-tiles","Product")</f>
        <v/>
      </c>
      <c r="B1220" s="1" t="inlineStr">
        <is>
          <t>990137</t>
        </is>
      </c>
      <c r="C1220" s="1" t="inlineStr">
        <is>
          <t>Anthracite Triangle 35x35x50mm Tiles</t>
        </is>
      </c>
      <c r="D1220" s="1" t="inlineStr">
        <is>
          <t>35x35x50mm</t>
        </is>
      </c>
      <c r="E1220" s="1" t="n">
        <v>1.76</v>
      </c>
      <c r="F1220" s="1" t="n">
        <v>0</v>
      </c>
      <c r="G1220" s="1" t="inlineStr">
        <is>
          <t>SQM</t>
        </is>
      </c>
      <c r="H1220" s="1" t="inlineStr">
        <is>
          <t>Porcelain</t>
        </is>
      </c>
      <c r="I1220" s="1" t="inlineStr">
        <is>
          <t>Matt</t>
        </is>
      </c>
      <c r="J1220" t="inlineStr"/>
      <c r="K1220" t="n">
        <v>1736</v>
      </c>
      <c r="L1220" t="n">
        <v>1736</v>
      </c>
    </row>
    <row r="1221">
      <c r="A1221" s="1">
        <f>Hyperlink("https://www.wallsandfloors.co.uk/achilles-seashell-tiles","Product")</f>
        <v/>
      </c>
      <c r="B1221" s="1" t="inlineStr">
        <is>
          <t>41393</t>
        </is>
      </c>
      <c r="C1221" s="1" t="inlineStr">
        <is>
          <t>Achilles Seashell Marble Effect Fish Scale Tiles</t>
        </is>
      </c>
      <c r="D1221" s="1" t="inlineStr">
        <is>
          <t>307x307x10mm</t>
        </is>
      </c>
      <c r="E1221" s="1" t="n">
        <v>39.95</v>
      </c>
      <c r="F1221" s="1" t="n">
        <v>0</v>
      </c>
      <c r="G1221" s="1" t="inlineStr">
        <is>
          <t>SQM</t>
        </is>
      </c>
      <c r="H1221" s="1" t="inlineStr">
        <is>
          <t>Porcelain</t>
        </is>
      </c>
      <c r="I1221" s="1" t="inlineStr">
        <is>
          <t>Matt</t>
        </is>
      </c>
      <c r="J1221" t="n">
        <v>120</v>
      </c>
      <c r="K1221" t="n">
        <v>119</v>
      </c>
      <c r="L1221" t="n">
        <v>120</v>
      </c>
    </row>
    <row r="1222">
      <c r="A1222" s="1">
        <f>Hyperlink("https://www.wallsandfloors.co.uk/accessories-for-manual-tile-cutters-scoring-wheel-kit","Product")</f>
        <v/>
      </c>
      <c r="B1222" s="1" t="inlineStr">
        <is>
          <t>9175</t>
        </is>
      </c>
      <c r="C1222" s="1" t="inlineStr">
        <is>
          <t>Scoring Wheel Kit</t>
        </is>
      </c>
      <c r="D1222" s="1" t="inlineStr">
        <is>
          <t>6 8 10 18 and 22mm</t>
        </is>
      </c>
      <c r="E1222" s="1" t="n">
        <v>50.25</v>
      </c>
      <c r="F1222" s="1" t="n">
        <v>0</v>
      </c>
      <c r="G1222" s="1" t="inlineStr">
        <is>
          <t>Unit</t>
        </is>
      </c>
      <c r="H1222" s="1" t="inlineStr">
        <is>
          <t>Spare Wheels and Parts</t>
        </is>
      </c>
      <c r="I1222" s="1" t="inlineStr">
        <is>
          <t>-</t>
        </is>
      </c>
      <c r="J1222" t="inlineStr">
        <is>
          <t>In Stock</t>
        </is>
      </c>
      <c r="K1222" t="inlineStr"/>
      <c r="L1222" t="inlineStr">
        <is>
          <t>In Stock</t>
        </is>
      </c>
    </row>
    <row r="1223">
      <c r="A1223" s="1">
        <f>Hyperlink("https://www.wallsandfloors.co.uk/accessories-for-manual-tile-cutters-rubi-scoring-wheel-tx-tm-9174","Product")</f>
        <v/>
      </c>
      <c r="B1223" s="1" t="inlineStr">
        <is>
          <t>9174</t>
        </is>
      </c>
      <c r="C1223" s="1" t="inlineStr">
        <is>
          <t>Rubi Scoring Wheel (TX &amp; TM)</t>
        </is>
      </c>
      <c r="D1223" s="1" t="inlineStr">
        <is>
          <t>22mm</t>
        </is>
      </c>
      <c r="E1223" s="1" t="n">
        <v>28.75</v>
      </c>
      <c r="F1223" s="1" t="n">
        <v>0</v>
      </c>
      <c r="G1223" s="1" t="inlineStr">
        <is>
          <t>Unit</t>
        </is>
      </c>
      <c r="H1223" s="1" t="inlineStr">
        <is>
          <t>Spare Wheels and Parts</t>
        </is>
      </c>
      <c r="I1223" s="1" t="inlineStr">
        <is>
          <t>-</t>
        </is>
      </c>
      <c r="J1223" t="inlineStr">
        <is>
          <t>Out of Stock</t>
        </is>
      </c>
      <c r="K1223" t="inlineStr"/>
      <c r="L1223" t="inlineStr">
        <is>
          <t>Out of Stock</t>
        </is>
      </c>
    </row>
    <row r="1224">
      <c r="A1224" s="1">
        <f>Hyperlink("https://www.wallsandfloors.co.uk/accessories-for-manual-tile-cutters-rubi-scoring-wheel-tx-tm-9173","Product")</f>
        <v/>
      </c>
      <c r="B1224" s="1" t="inlineStr">
        <is>
          <t>9173</t>
        </is>
      </c>
      <c r="C1224" s="1" t="inlineStr">
        <is>
          <t>Rubi Scoring Wheel (TX &amp; TZ)</t>
        </is>
      </c>
      <c r="D1224" s="1" t="inlineStr">
        <is>
          <t>18mm</t>
        </is>
      </c>
      <c r="E1224" s="1" t="n">
        <v>20.75</v>
      </c>
      <c r="F1224" s="1" t="n">
        <v>0</v>
      </c>
      <c r="G1224" s="1" t="inlineStr">
        <is>
          <t>Unit</t>
        </is>
      </c>
      <c r="H1224" s="1" t="inlineStr">
        <is>
          <t>Spare Wheels and Parts</t>
        </is>
      </c>
      <c r="I1224" s="1" t="inlineStr">
        <is>
          <t>-</t>
        </is>
      </c>
      <c r="J1224" t="inlineStr">
        <is>
          <t>In Stock</t>
        </is>
      </c>
      <c r="K1224" t="inlineStr">
        <is>
          <t>In Stock</t>
        </is>
      </c>
      <c r="L1224" t="inlineStr">
        <is>
          <t>In Stock</t>
        </is>
      </c>
    </row>
    <row r="1225">
      <c r="A1225" s="1">
        <f>Hyperlink("https://www.wallsandfloors.co.uk/accessories-for-manual-tile-cutters-rubi-scoring-wheel-tx-tm-9172","Product")</f>
        <v/>
      </c>
      <c r="B1225" s="1" t="inlineStr">
        <is>
          <t>9172</t>
        </is>
      </c>
      <c r="C1225" s="1" t="inlineStr">
        <is>
          <t>Rubi Scoring Wheel (TX &amp; TM)</t>
        </is>
      </c>
      <c r="D1225" s="1" t="inlineStr">
        <is>
          <t>10mm</t>
        </is>
      </c>
      <c r="E1225" s="1" t="n">
        <v>15.46</v>
      </c>
      <c r="F1225" s="1" t="n">
        <v>0</v>
      </c>
      <c r="G1225" s="1" t="inlineStr">
        <is>
          <t>Unit</t>
        </is>
      </c>
      <c r="H1225" s="1" t="inlineStr">
        <is>
          <t>Spare Wheels and Parts</t>
        </is>
      </c>
      <c r="I1225" s="1" t="inlineStr">
        <is>
          <t>-</t>
        </is>
      </c>
      <c r="J1225" t="inlineStr"/>
      <c r="K1225" t="inlineStr">
        <is>
          <t>In Stock</t>
        </is>
      </c>
      <c r="L1225" t="inlineStr">
        <is>
          <t>In Stock</t>
        </is>
      </c>
    </row>
    <row r="1226">
      <c r="A1226" s="1">
        <f>Hyperlink("https://www.wallsandfloors.co.uk/accessories-for-manual-tile-cutters-rubi-scoring-wheel-tx-tm","Product")</f>
        <v/>
      </c>
      <c r="B1226" s="1" t="inlineStr">
        <is>
          <t>9171</t>
        </is>
      </c>
      <c r="C1226" s="1" t="inlineStr">
        <is>
          <t>Rubi Scoring Wheel (TX &amp; TM)</t>
        </is>
      </c>
      <c r="D1226" s="1" t="inlineStr">
        <is>
          <t>8mm</t>
        </is>
      </c>
      <c r="E1226" s="1" t="n">
        <v>14.95</v>
      </c>
      <c r="F1226" s="1" t="n">
        <v>0</v>
      </c>
      <c r="G1226" s="1" t="inlineStr">
        <is>
          <t>Unit</t>
        </is>
      </c>
      <c r="H1226" s="1" t="inlineStr">
        <is>
          <t>Spare Wheels and Parts</t>
        </is>
      </c>
      <c r="I1226" s="1" t="inlineStr">
        <is>
          <t>-</t>
        </is>
      </c>
      <c r="J1226" t="inlineStr">
        <is>
          <t>In Stock</t>
        </is>
      </c>
      <c r="K1226" t="inlineStr">
        <is>
          <t>In Stock</t>
        </is>
      </c>
      <c r="L1226" t="inlineStr">
        <is>
          <t>In Stock</t>
        </is>
      </c>
    </row>
    <row r="1227">
      <c r="A1227" s="1">
        <f>Hyperlink("https://www.wallsandfloors.co.uk/accessories-for-manual-tile-cutters-maintenance-kit","Product")</f>
        <v/>
      </c>
      <c r="B1227" s="1" t="inlineStr">
        <is>
          <t>9682</t>
        </is>
      </c>
      <c r="C1227" s="1" t="inlineStr">
        <is>
          <t>Maintenance Kit</t>
        </is>
      </c>
      <c r="D1227" s="1" t="inlineStr">
        <is>
          <t>1 Size</t>
        </is>
      </c>
      <c r="E1227" s="1" t="n">
        <v>10.8</v>
      </c>
      <c r="F1227" s="1" t="n">
        <v>0</v>
      </c>
      <c r="G1227" s="1" t="inlineStr">
        <is>
          <t>Unit</t>
        </is>
      </c>
      <c r="H1227" s="1" t="inlineStr">
        <is>
          <t>-</t>
        </is>
      </c>
      <c r="I1227" s="1" t="inlineStr">
        <is>
          <t>-</t>
        </is>
      </c>
      <c r="J1227" t="inlineStr"/>
      <c r="K1227" t="inlineStr">
        <is>
          <t>In Stock</t>
        </is>
      </c>
      <c r="L1227" t="inlineStr">
        <is>
          <t>In Stock</t>
        </is>
      </c>
    </row>
    <row r="1228">
      <c r="A1228" s="1">
        <f>Hyperlink("https://www.wallsandfloors.co.uk/accessories-for-manual-tile-cutters-8mm-scoring-wheel-ts-tr-tf-and-star","Product")</f>
        <v/>
      </c>
      <c r="B1228" s="1" t="inlineStr">
        <is>
          <t>9166</t>
        </is>
      </c>
      <c r="C1228" s="1" t="inlineStr">
        <is>
          <t>8mm Scoring Wheel (TS, TR TF and STAR)</t>
        </is>
      </c>
      <c r="D1228" s="1" t="inlineStr">
        <is>
          <t>8mm</t>
        </is>
      </c>
      <c r="E1228" s="1" t="n">
        <v>11.95</v>
      </c>
      <c r="F1228" s="1" t="n">
        <v>0</v>
      </c>
      <c r="G1228" s="1" t="inlineStr">
        <is>
          <t>Unit</t>
        </is>
      </c>
      <c r="H1228" s="1" t="inlineStr">
        <is>
          <t>-</t>
        </is>
      </c>
      <c r="I1228" s="1" t="inlineStr">
        <is>
          <t>-</t>
        </is>
      </c>
      <c r="J1228" t="inlineStr">
        <is>
          <t>In Stock</t>
        </is>
      </c>
      <c r="K1228" t="inlineStr"/>
      <c r="L1228" t="inlineStr">
        <is>
          <t>In Stock</t>
        </is>
      </c>
    </row>
    <row r="1229">
      <c r="A1229" s="1">
        <f>Hyperlink("https://www.wallsandfloors.co.uk/accessories-for-manual-tile-cutters-6mm-scoring-wheel-ts-tr-tf-and-star","Product")</f>
        <v/>
      </c>
      <c r="B1229" s="1" t="inlineStr">
        <is>
          <t>9076</t>
        </is>
      </c>
      <c r="C1229" s="1" t="inlineStr">
        <is>
          <t>6mm Scoring Wheel (TS, TR TF and STAR)</t>
        </is>
      </c>
      <c r="D1229" s="1" t="inlineStr">
        <is>
          <t>6mm</t>
        </is>
      </c>
      <c r="E1229" s="1" t="n">
        <v>9.949999999999999</v>
      </c>
      <c r="F1229" s="1" t="n">
        <v>0</v>
      </c>
      <c r="G1229" s="1" t="inlineStr">
        <is>
          <t>Unit</t>
        </is>
      </c>
      <c r="H1229" s="1" t="inlineStr">
        <is>
          <t>Spare Wheels and Parts</t>
        </is>
      </c>
      <c r="I1229" s="1" t="inlineStr">
        <is>
          <t>-</t>
        </is>
      </c>
      <c r="J1229" t="inlineStr">
        <is>
          <t>In Stock</t>
        </is>
      </c>
      <c r="K1229" t="inlineStr"/>
      <c r="L1229" t="inlineStr">
        <is>
          <t>In Stock</t>
        </is>
      </c>
    </row>
    <row r="1230">
      <c r="A1230" s="1">
        <f>Hyperlink("https://www.wallsandfloors.co.uk/accessories-for-manual-tile-cutters-18mm-scoring-wheel-ts-tr-and-tf","Product")</f>
        <v/>
      </c>
      <c r="B1230" s="1" t="inlineStr">
        <is>
          <t>9168</t>
        </is>
      </c>
      <c r="C1230" s="1" t="inlineStr">
        <is>
          <t>18mm Scoring Wheel (TS, TR and TF)</t>
        </is>
      </c>
      <c r="D1230" s="1" t="inlineStr">
        <is>
          <t>18mm</t>
        </is>
      </c>
      <c r="E1230" s="1" t="n">
        <v>17.95</v>
      </c>
      <c r="F1230" s="1" t="n">
        <v>0</v>
      </c>
      <c r="G1230" s="1" t="inlineStr">
        <is>
          <t>Unit</t>
        </is>
      </c>
      <c r="H1230" s="1" t="inlineStr">
        <is>
          <t>Spare Wheels and Parts</t>
        </is>
      </c>
      <c r="I1230" s="1" t="inlineStr">
        <is>
          <t>-</t>
        </is>
      </c>
      <c r="J1230" t="inlineStr"/>
      <c r="K1230" t="inlineStr"/>
      <c r="L1230" t="inlineStr">
        <is>
          <t>In Stock</t>
        </is>
      </c>
    </row>
    <row r="1231">
      <c r="A1231" s="1">
        <f>Hyperlink("https://www.wallsandfloors.co.uk/accessories-for-manual-tile-cutters-10mm-scoring-wheel-ts-tr-and-tf","Product")</f>
        <v/>
      </c>
      <c r="B1231" s="1" t="inlineStr">
        <is>
          <t>9167</t>
        </is>
      </c>
      <c r="C1231" s="1" t="inlineStr">
        <is>
          <t>10mm Scoring Wheel (TS, TR and TF)</t>
        </is>
      </c>
      <c r="D1231" s="1" t="inlineStr">
        <is>
          <t>10mm</t>
        </is>
      </c>
      <c r="E1231" s="1" t="n">
        <v>12.95</v>
      </c>
      <c r="F1231" s="1" t="n">
        <v>0</v>
      </c>
      <c r="G1231" s="1" t="inlineStr">
        <is>
          <t>Unit</t>
        </is>
      </c>
      <c r="H1231" s="1" t="inlineStr">
        <is>
          <t>Spare Wheels and Parts</t>
        </is>
      </c>
      <c r="I1231" s="1" t="inlineStr">
        <is>
          <t>-</t>
        </is>
      </c>
      <c r="J1231" t="inlineStr"/>
      <c r="K1231" t="inlineStr">
        <is>
          <t>In Stock</t>
        </is>
      </c>
      <c r="L1231" t="inlineStr">
        <is>
          <t>In Stock</t>
        </is>
      </c>
    </row>
    <row r="1232">
      <c r="A1232" s="1">
        <f>Hyperlink("https://www.wallsandfloors.co.uk/abrade-wood-effect-tiles-umber-sanded-wood-effect-tile","Product")</f>
        <v/>
      </c>
      <c r="B1232" s="1" t="inlineStr">
        <is>
          <t>14832</t>
        </is>
      </c>
      <c r="C1232" s="1" t="inlineStr">
        <is>
          <t>Abrade Umber Sanded Wood Effect Tiles</t>
        </is>
      </c>
      <c r="D1232" s="1" t="inlineStr">
        <is>
          <t>500x175x8mm</t>
        </is>
      </c>
      <c r="E1232" s="1" t="n">
        <v>13.95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Matt</t>
        </is>
      </c>
      <c r="J1232" t="inlineStr">
        <is>
          <t>In Stock</t>
        </is>
      </c>
      <c r="K1232" t="inlineStr">
        <is>
          <t>In Stock</t>
        </is>
      </c>
      <c r="L1232" t="inlineStr">
        <is>
          <t>In Stock</t>
        </is>
      </c>
    </row>
    <row r="1233">
      <c r="A1233" s="1">
        <f>Hyperlink("https://www.wallsandfloors.co.uk/abrade-wood-effect-tiles-argent-sanded-wood-effect-tiles","Product")</f>
        <v/>
      </c>
      <c r="B1233" s="1" t="inlineStr">
        <is>
          <t>14831</t>
        </is>
      </c>
      <c r="C1233" s="1" t="inlineStr">
        <is>
          <t>Abrade Argent Sanded Wood Effect Tiles</t>
        </is>
      </c>
      <c r="D1233" s="1" t="inlineStr">
        <is>
          <t>500x175x8mm</t>
        </is>
      </c>
      <c r="E1233" s="1" t="n">
        <v>13.95</v>
      </c>
      <c r="F1233" s="1" t="n">
        <v>0</v>
      </c>
      <c r="G1233" s="1" t="inlineStr">
        <is>
          <t>SQM</t>
        </is>
      </c>
      <c r="H1233" s="1" t="inlineStr">
        <is>
          <t>Ceramic</t>
        </is>
      </c>
      <c r="I1233" s="1" t="inlineStr">
        <is>
          <t>Matt</t>
        </is>
      </c>
      <c r="J1233" t="n">
        <v>407</v>
      </c>
      <c r="K1233" t="n">
        <v>407</v>
      </c>
      <c r="L1233" t="n">
        <v>407</v>
      </c>
    </row>
    <row r="1234">
      <c r="A1234" s="1">
        <f>Hyperlink("https://www.wallsandfloors.co.uk/abbiocco-sands-moon-grey-linear-wall-tiles","Product")</f>
        <v/>
      </c>
      <c r="B1234" s="1" t="inlineStr">
        <is>
          <t>34746</t>
        </is>
      </c>
      <c r="C1234" s="1" t="inlineStr">
        <is>
          <t>Moon Grey Linear Wall Tiles</t>
        </is>
      </c>
      <c r="D1234" s="1" t="inlineStr">
        <is>
          <t>400x250x7.5mm</t>
        </is>
      </c>
      <c r="E1234" s="1" t="n">
        <v>13.85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Matt</t>
        </is>
      </c>
      <c r="J1234" t="n">
        <v>31</v>
      </c>
      <c r="K1234" t="n">
        <v>31</v>
      </c>
      <c r="L1234" t="n">
        <v>31</v>
      </c>
    </row>
    <row r="1235">
      <c r="A1235" s="1">
        <f>Hyperlink("https://www.wallsandfloors.co.uk/abbiocco-sands-clay-grey-linear-wall-tiles","Product")</f>
        <v/>
      </c>
      <c r="B1235" s="1" t="inlineStr">
        <is>
          <t>34743</t>
        </is>
      </c>
      <c r="C1235" s="1" t="inlineStr">
        <is>
          <t>Clay Grey Linear Wall Tiles</t>
        </is>
      </c>
      <c r="D1235" s="1" t="inlineStr">
        <is>
          <t>400x250x7.5mm</t>
        </is>
      </c>
      <c r="E1235" s="1" t="n">
        <v>12.45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Matt</t>
        </is>
      </c>
      <c r="J1235" t="inlineStr"/>
      <c r="K1235" t="inlineStr"/>
      <c r="L1235" t="inlineStr">
        <is>
          <t>In Stock</t>
        </is>
      </c>
    </row>
    <row r="1236">
      <c r="A1236" s="1">
        <f>Hyperlink("https://www.wallsandfloors.co.uk/4-into-1-wall-floor-tile-grout-oxford-stone-41370","Product")</f>
        <v/>
      </c>
      <c r="B1236" s="1" t="inlineStr">
        <is>
          <t>37112</t>
        </is>
      </c>
      <c r="C1236" s="1" t="inlineStr">
        <is>
          <t>Norcros 4 into 1 Wall &amp; Floor Oxford Stone Tile Grout</t>
        </is>
      </c>
      <c r="D1236" s="1" t="inlineStr">
        <is>
          <t>5kg</t>
        </is>
      </c>
      <c r="E1236" s="1" t="n">
        <v>10.95</v>
      </c>
      <c r="F1236" s="1" t="n">
        <v>0</v>
      </c>
      <c r="G1236" s="1" t="inlineStr">
        <is>
          <t>Unit</t>
        </is>
      </c>
      <c r="H1236" s="1" t="inlineStr">
        <is>
          <t>Grout</t>
        </is>
      </c>
      <c r="I1236" s="1" t="inlineStr">
        <is>
          <t>-</t>
        </is>
      </c>
      <c r="J1236" t="inlineStr">
        <is>
          <t>In Stock</t>
        </is>
      </c>
      <c r="K1236" t="inlineStr">
        <is>
          <t>In Stock</t>
        </is>
      </c>
      <c r="L1236" t="inlineStr">
        <is>
          <t>In Stock</t>
        </is>
      </c>
    </row>
    <row r="1237">
      <c r="A1237" s="1">
        <f>Hyperlink("https://www.wallsandfloors.co.uk/4-into-1-wall-floor-tile-grout-blanched-almond-41359","Product")</f>
        <v/>
      </c>
      <c r="B1237" s="1" t="inlineStr">
        <is>
          <t>37100</t>
        </is>
      </c>
      <c r="C1237" s="1" t="inlineStr">
        <is>
          <t>Norcros 4 into 1 Wall &amp; Floor Blanched Almond Tile Grout</t>
        </is>
      </c>
      <c r="D1237" s="1" t="inlineStr">
        <is>
          <t>5kg</t>
        </is>
      </c>
      <c r="E1237" s="1" t="n">
        <v>10.95</v>
      </c>
      <c r="F1237" s="1" t="n">
        <v>0</v>
      </c>
      <c r="G1237" s="1" t="inlineStr">
        <is>
          <t>Unit</t>
        </is>
      </c>
      <c r="H1237" s="1" t="inlineStr">
        <is>
          <t>Grout</t>
        </is>
      </c>
      <c r="I1237" s="1" t="inlineStr">
        <is>
          <t>-</t>
        </is>
      </c>
      <c r="J1237" t="inlineStr">
        <is>
          <t>In Stock</t>
        </is>
      </c>
      <c r="K1237" t="inlineStr">
        <is>
          <t>In Stock</t>
        </is>
      </c>
      <c r="L1237" t="inlineStr">
        <is>
          <t>In Stock</t>
        </is>
      </c>
    </row>
    <row r="1238">
      <c r="A1238" s="1">
        <f>Hyperlink("https://www.wallsandfloors.co.uk/4-into-1-silicone-steel-grey","Product")</f>
        <v/>
      </c>
      <c r="B1238" s="1" t="inlineStr">
        <is>
          <t>33513</t>
        </is>
      </c>
      <c r="C1238" s="1" t="inlineStr">
        <is>
          <t>Norcros 4 into 1 Silicone Steel Grey</t>
        </is>
      </c>
      <c r="D1238" s="1" t="inlineStr">
        <is>
          <t>310ml</t>
        </is>
      </c>
      <c r="E1238" s="1" t="n">
        <v>6.95</v>
      </c>
      <c r="F1238" s="1" t="n">
        <v>0</v>
      </c>
      <c r="G1238" s="1" t="inlineStr">
        <is>
          <t>Unit</t>
        </is>
      </c>
      <c r="H1238" s="1" t="inlineStr">
        <is>
          <t>Silicone</t>
        </is>
      </c>
      <c r="I1238" s="1" t="inlineStr">
        <is>
          <t>-</t>
        </is>
      </c>
      <c r="J1238" t="inlineStr">
        <is>
          <t>In Stock</t>
        </is>
      </c>
      <c r="K1238" t="inlineStr"/>
      <c r="L1238" t="inlineStr">
        <is>
          <t>In Stock</t>
        </is>
      </c>
    </row>
    <row r="1239">
      <c r="A1239" s="1">
        <f>Hyperlink("https://www.wallsandfloors.co.uk/4-into-1-silicone-slate-grey-41193","Product")</f>
        <v/>
      </c>
      <c r="B1239" s="1" t="inlineStr">
        <is>
          <t>38010</t>
        </is>
      </c>
      <c r="C1239" s="1" t="inlineStr">
        <is>
          <t>Norcros 4 into 1 Silicone Slate Grey</t>
        </is>
      </c>
      <c r="D1239" s="1" t="inlineStr">
        <is>
          <t>310ml</t>
        </is>
      </c>
      <c r="E1239" s="1" t="n">
        <v>6.95</v>
      </c>
      <c r="F1239" s="1" t="n">
        <v>0</v>
      </c>
      <c r="G1239" s="1" t="inlineStr">
        <is>
          <t>Unit</t>
        </is>
      </c>
      <c r="H1239" s="1" t="inlineStr">
        <is>
          <t>Silicone</t>
        </is>
      </c>
      <c r="I1239" s="1" t="inlineStr">
        <is>
          <t>-</t>
        </is>
      </c>
      <c r="J1239" t="inlineStr">
        <is>
          <t>In Stock</t>
        </is>
      </c>
      <c r="K1239" t="inlineStr">
        <is>
          <t>In Stock</t>
        </is>
      </c>
      <c r="L1239" t="inlineStr">
        <is>
          <t>In Stock</t>
        </is>
      </c>
    </row>
    <row r="1240">
      <c r="A1240" s="1">
        <f>Hyperlink("https://www.wallsandfloors.co.uk/4-into-1-silicone-midnight-coal","Product")</f>
        <v/>
      </c>
      <c r="B1240" s="1" t="inlineStr">
        <is>
          <t>38008</t>
        </is>
      </c>
      <c r="C1240" s="1" t="inlineStr">
        <is>
          <t>Norcros 4 into 1 Silicone Midnight Coal</t>
        </is>
      </c>
      <c r="D1240" s="1" t="inlineStr">
        <is>
          <t>310ml</t>
        </is>
      </c>
      <c r="E1240" s="1" t="n">
        <v>6.95</v>
      </c>
      <c r="F1240" s="1" t="n">
        <v>0</v>
      </c>
      <c r="G1240" s="1" t="inlineStr">
        <is>
          <t>Unit</t>
        </is>
      </c>
      <c r="H1240" s="1" t="inlineStr">
        <is>
          <t>Silicone</t>
        </is>
      </c>
      <c r="I1240" s="1" t="inlineStr">
        <is>
          <t>-</t>
        </is>
      </c>
      <c r="J1240" t="inlineStr">
        <is>
          <t>In Stock</t>
        </is>
      </c>
      <c r="K1240" t="inlineStr">
        <is>
          <t>In Stock</t>
        </is>
      </c>
      <c r="L1240" t="inlineStr">
        <is>
          <t>In Stock</t>
        </is>
      </c>
    </row>
    <row r="1241">
      <c r="A1241" s="1">
        <f>Hyperlink("https://www.wallsandfloors.co.uk/4-into-1-silicone-golden-jasmine","Product")</f>
        <v/>
      </c>
      <c r="B1241" s="1" t="inlineStr">
        <is>
          <t>33514</t>
        </is>
      </c>
      <c r="C1241" s="1" t="inlineStr">
        <is>
          <t>Norcros 4 into 1 Silicone Golden Jasmine</t>
        </is>
      </c>
      <c r="D1241" s="1" t="inlineStr">
        <is>
          <t>310ml</t>
        </is>
      </c>
      <c r="E1241" s="1" t="n">
        <v>6.95</v>
      </c>
      <c r="F1241" s="1" t="n">
        <v>0</v>
      </c>
      <c r="G1241" s="1" t="inlineStr">
        <is>
          <t>Unit</t>
        </is>
      </c>
      <c r="H1241" s="1" t="inlineStr">
        <is>
          <t>Silicone</t>
        </is>
      </c>
      <c r="I1241" s="1" t="inlineStr">
        <is>
          <t>-</t>
        </is>
      </c>
      <c r="J1241" t="inlineStr">
        <is>
          <t>In Stock</t>
        </is>
      </c>
      <c r="K1241" t="inlineStr"/>
      <c r="L1241" t="inlineStr">
        <is>
          <t>In Stock</t>
        </is>
      </c>
    </row>
    <row r="1242">
      <c r="A1242" s="1">
        <f>Hyperlink("https://www.wallsandfloors.co.uk/4-into-1-silicone-cornish-clear","Product")</f>
        <v/>
      </c>
      <c r="B1242" s="1" t="inlineStr">
        <is>
          <t>38009</t>
        </is>
      </c>
      <c r="C1242" s="1" t="inlineStr">
        <is>
          <t>Norcros 4 into 1 Silicone Clear</t>
        </is>
      </c>
      <c r="D1242" s="1" t="inlineStr">
        <is>
          <t>310ml</t>
        </is>
      </c>
      <c r="E1242" s="1" t="n">
        <v>6.95</v>
      </c>
      <c r="F1242" s="1" t="n">
        <v>0</v>
      </c>
      <c r="G1242" s="1" t="inlineStr">
        <is>
          <t>Unit</t>
        </is>
      </c>
      <c r="H1242" s="1" t="inlineStr">
        <is>
          <t>Silicone</t>
        </is>
      </c>
      <c r="I1242" s="1" t="inlineStr">
        <is>
          <t>-</t>
        </is>
      </c>
      <c r="J1242" t="inlineStr">
        <is>
          <t>In Stock</t>
        </is>
      </c>
      <c r="K1242" t="inlineStr">
        <is>
          <t>In Stock</t>
        </is>
      </c>
      <c r="L1242" t="inlineStr">
        <is>
          <t>In Stock</t>
        </is>
      </c>
    </row>
    <row r="1243">
      <c r="A1243" s="1">
        <f>Hyperlink("https://www.wallsandfloors.co.uk/4-in-1-silicone-arctic-white","Product")</f>
        <v/>
      </c>
      <c r="B1243" s="1" t="inlineStr">
        <is>
          <t>38012</t>
        </is>
      </c>
      <c r="C1243" s="1" t="inlineStr">
        <is>
          <t>Norcros 4 in 1 Silicone Arctic White</t>
        </is>
      </c>
      <c r="D1243" s="1" t="inlineStr">
        <is>
          <t>310ml</t>
        </is>
      </c>
      <c r="E1243" s="1" t="n">
        <v>6.95</v>
      </c>
      <c r="F1243" s="1" t="n">
        <v>0</v>
      </c>
      <c r="G1243" s="1" t="inlineStr">
        <is>
          <t>Unit</t>
        </is>
      </c>
      <c r="H1243" s="1" t="inlineStr">
        <is>
          <t>Silicone</t>
        </is>
      </c>
      <c r="I1243" s="1" t="inlineStr">
        <is>
          <t>-</t>
        </is>
      </c>
      <c r="J1243" t="inlineStr">
        <is>
          <t>In Stock</t>
        </is>
      </c>
      <c r="K1243" t="inlineStr">
        <is>
          <t>In Stock</t>
        </is>
      </c>
      <c r="L1243" t="inlineStr">
        <is>
          <t>In Stock</t>
        </is>
      </c>
    </row>
    <row r="1244">
      <c r="A1244" s="1">
        <f>Hyperlink("https://www.wallsandfloors.co.uk/achilles-snow-tiles","Product")</f>
        <v/>
      </c>
      <c r="B1244" s="1" t="inlineStr">
        <is>
          <t>41394</t>
        </is>
      </c>
      <c r="C1244" s="1" t="inlineStr">
        <is>
          <t>Achilles Snow Fish Scale Tiles</t>
        </is>
      </c>
      <c r="D1244" s="1" t="inlineStr">
        <is>
          <t>307x307x10mm</t>
        </is>
      </c>
      <c r="E1244" s="1" t="n">
        <v>39.95</v>
      </c>
      <c r="F1244" s="1" t="n">
        <v>0</v>
      </c>
      <c r="G1244" s="1" t="inlineStr">
        <is>
          <t>SQM</t>
        </is>
      </c>
      <c r="H1244" s="1" t="inlineStr">
        <is>
          <t>Porcelain</t>
        </is>
      </c>
      <c r="I1244" s="1" t="inlineStr">
        <is>
          <t>Gloss</t>
        </is>
      </c>
      <c r="J1244" t="inlineStr">
        <is>
          <t>In Stock</t>
        </is>
      </c>
      <c r="K1244" t="inlineStr"/>
      <c r="L1244" t="inlineStr">
        <is>
          <t>In Stock</t>
        </is>
      </c>
    </row>
    <row r="1245">
      <c r="A1245" s="1">
        <f>Hyperlink("https://www.wallsandfloors.co.uk/aragon-autumn-brown-quarry-tiles-r-e-20x20-tiles","Product")</f>
        <v/>
      </c>
      <c r="B1245" s="1" t="inlineStr">
        <is>
          <t>13723</t>
        </is>
      </c>
      <c r="C1245" s="1" t="inlineStr">
        <is>
          <t>Aragon Autumn Brown R.E Quarry Tiles</t>
        </is>
      </c>
      <c r="D1245" s="1" t="inlineStr">
        <is>
          <t>200x200x12mm</t>
        </is>
      </c>
      <c r="E1245" s="1" t="n">
        <v>4.95</v>
      </c>
      <c r="F1245" s="1" t="n">
        <v>0</v>
      </c>
      <c r="G1245" s="1" t="inlineStr">
        <is>
          <t>Tile</t>
        </is>
      </c>
      <c r="H1245" s="1" t="inlineStr">
        <is>
          <t>Clay</t>
        </is>
      </c>
      <c r="I1245" s="1" t="inlineStr">
        <is>
          <t>Matt</t>
        </is>
      </c>
      <c r="J1245" t="inlineStr"/>
      <c r="K1245" t="inlineStr">
        <is>
          <t>Out of Stock</t>
        </is>
      </c>
      <c r="L1245" t="inlineStr">
        <is>
          <t>Out of Stock</t>
        </is>
      </c>
    </row>
    <row r="1246">
      <c r="A1246" s="1">
        <f>Hyperlink("https://www.wallsandfloors.co.uk/achilles-storm-tiles","Product")</f>
        <v/>
      </c>
      <c r="B1246" s="1" t="inlineStr">
        <is>
          <t>41716</t>
        </is>
      </c>
      <c r="C1246" s="1" t="inlineStr">
        <is>
          <t>Achilles Storm Fish Scale Tiles</t>
        </is>
      </c>
      <c r="D1246" s="1" t="inlineStr">
        <is>
          <t>307x307x10mm</t>
        </is>
      </c>
      <c r="E1246" s="1" t="n">
        <v>39.95</v>
      </c>
      <c r="F1246" s="1" t="n">
        <v>0</v>
      </c>
      <c r="G1246" s="1" t="inlineStr">
        <is>
          <t>SQM</t>
        </is>
      </c>
      <c r="H1246" s="1" t="inlineStr">
        <is>
          <t>Porcelain</t>
        </is>
      </c>
      <c r="I1246" s="1" t="inlineStr">
        <is>
          <t>Gloss</t>
        </is>
      </c>
      <c r="J1246" t="inlineStr">
        <is>
          <t>In Stock</t>
        </is>
      </c>
      <c r="K1246" t="inlineStr">
        <is>
          <t>In Stock</t>
        </is>
      </c>
      <c r="L1246" t="inlineStr">
        <is>
          <t>In Stock</t>
        </is>
      </c>
    </row>
    <row r="1247">
      <c r="A1247" s="1">
        <f>Hyperlink("https://www.wallsandfloors.co.uk/ador-white-carrara-marble-tiles","Product")</f>
        <v/>
      </c>
      <c r="B1247" s="1" t="inlineStr">
        <is>
          <t>43234</t>
        </is>
      </c>
      <c r="C1247" s="1" t="inlineStr">
        <is>
          <t>Ador White Carrara Marble Tiles</t>
        </is>
      </c>
      <c r="D1247" s="1" t="inlineStr">
        <is>
          <t>593x98x10mm</t>
        </is>
      </c>
      <c r="E1247" s="1" t="n">
        <v>34.95</v>
      </c>
      <c r="F1247" s="1" t="n">
        <v>0</v>
      </c>
      <c r="G1247" s="1" t="inlineStr">
        <is>
          <t>SQM</t>
        </is>
      </c>
      <c r="H1247" s="1" t="inlineStr">
        <is>
          <t>Porcelain</t>
        </is>
      </c>
      <c r="I1247" s="1" t="inlineStr">
        <is>
          <t>-</t>
        </is>
      </c>
      <c r="J1247" t="inlineStr"/>
      <c r="K1247" t="n">
        <v>559</v>
      </c>
      <c r="L1247" t="n">
        <v>559</v>
      </c>
    </row>
    <row r="1248">
      <c r="A1248" s="1">
        <f>Hyperlink("https://www.wallsandfloors.co.uk/anthracite-squares-70mm-tiles","Product")</f>
        <v/>
      </c>
      <c r="B1248" s="1" t="inlineStr">
        <is>
          <t>990051</t>
        </is>
      </c>
      <c r="C1248" s="1" t="inlineStr">
        <is>
          <t>Anthracite Squares 70mm Tiles</t>
        </is>
      </c>
      <c r="D1248" s="1" t="inlineStr">
        <is>
          <t>70x70x9-10mm</t>
        </is>
      </c>
      <c r="E1248" s="1" t="n">
        <v>1.3</v>
      </c>
      <c r="F1248" s="1" t="n">
        <v>0</v>
      </c>
      <c r="G1248" s="1" t="inlineStr">
        <is>
          <t>SQM</t>
        </is>
      </c>
      <c r="H1248" s="1" t="inlineStr">
        <is>
          <t>Porcelain</t>
        </is>
      </c>
      <c r="I1248" s="1" t="inlineStr">
        <is>
          <t>Matt</t>
        </is>
      </c>
      <c r="J1248" t="inlineStr"/>
      <c r="K1248" t="n">
        <v>333</v>
      </c>
      <c r="L1248" t="n">
        <v>333</v>
      </c>
    </row>
    <row r="1249">
      <c r="A1249" s="1">
        <f>Hyperlink("https://www.wallsandfloors.co.uk/anthracite-squares-50mm-tiles","Product")</f>
        <v/>
      </c>
      <c r="B1249" s="1" t="inlineStr">
        <is>
          <t>990076</t>
        </is>
      </c>
      <c r="C1249" s="1" t="inlineStr">
        <is>
          <t>Anthracite Squares 50mm Tiles</t>
        </is>
      </c>
      <c r="D1249" s="1" t="inlineStr">
        <is>
          <t>50x50x9-10mm</t>
        </is>
      </c>
      <c r="E1249" s="1" t="n">
        <v>0.67</v>
      </c>
      <c r="F1249" s="1" t="n">
        <v>0</v>
      </c>
      <c r="G1249" s="1" t="inlineStr">
        <is>
          <t>SQM</t>
        </is>
      </c>
      <c r="H1249" s="1" t="inlineStr">
        <is>
          <t>Porcelain</t>
        </is>
      </c>
      <c r="I1249" s="1" t="inlineStr">
        <is>
          <t>Matt</t>
        </is>
      </c>
      <c r="J1249" t="n">
        <v>921</v>
      </c>
      <c r="K1249" t="n">
        <v>921</v>
      </c>
      <c r="L1249" t="n">
        <v>921</v>
      </c>
    </row>
    <row r="1250">
      <c r="A1250" s="1">
        <f>Hyperlink("https://www.wallsandfloors.co.uk/andra-antiqued-steel-tiles","Product")</f>
        <v/>
      </c>
      <c r="B1250" s="1" t="inlineStr">
        <is>
          <t>36968</t>
        </is>
      </c>
      <c r="C1250" s="1" t="inlineStr">
        <is>
          <t>Andra Antiqued Steel Limestone Tiles</t>
        </is>
      </c>
      <c r="D1250" s="1" t="inlineStr">
        <is>
          <t>600x400x15mm</t>
        </is>
      </c>
      <c r="E1250" s="1" t="n">
        <v>44.95</v>
      </c>
      <c r="F1250" s="1" t="n">
        <v>0</v>
      </c>
      <c r="G1250" s="1" t="inlineStr">
        <is>
          <t>SQM</t>
        </is>
      </c>
      <c r="H1250" s="1" t="inlineStr">
        <is>
          <t>Limestone</t>
        </is>
      </c>
      <c r="I1250" s="1" t="inlineStr">
        <is>
          <t>Satin</t>
        </is>
      </c>
      <c r="J1250" t="n">
        <v>186</v>
      </c>
      <c r="K1250" t="n">
        <v>186</v>
      </c>
      <c r="L1250" t="n">
        <v>186</v>
      </c>
    </row>
    <row r="1251">
      <c r="A1251" s="1">
        <f>Hyperlink("https://www.wallsandfloors.co.uk/andra-antiqued-sand-tiles","Product")</f>
        <v/>
      </c>
      <c r="B1251" s="1" t="inlineStr">
        <is>
          <t>36969</t>
        </is>
      </c>
      <c r="C1251" s="1" t="inlineStr">
        <is>
          <t>Andra Antiqued Sand Tiles</t>
        </is>
      </c>
      <c r="D1251" s="1" t="inlineStr">
        <is>
          <t>600x400x15mm</t>
        </is>
      </c>
      <c r="E1251" s="1" t="n">
        <v>40.95</v>
      </c>
      <c r="F1251" s="1" t="n">
        <v>0</v>
      </c>
      <c r="G1251" s="1" t="inlineStr">
        <is>
          <t>SQM</t>
        </is>
      </c>
      <c r="H1251" s="1" t="inlineStr">
        <is>
          <t>Limestone</t>
        </is>
      </c>
      <c r="I1251" s="1" t="inlineStr">
        <is>
          <t>Matt</t>
        </is>
      </c>
      <c r="J1251" t="n">
        <v>259</v>
      </c>
      <c r="K1251" t="n">
        <v>259</v>
      </c>
      <c r="L1251" t="n">
        <v>259</v>
      </c>
    </row>
    <row r="1252">
      <c r="A1252" s="1">
        <f>Hyperlink("https://www.wallsandfloors.co.uk/andonized-metallic-tiles-titanium-sheen-60x20-tiles","Product")</f>
        <v/>
      </c>
      <c r="B1252" s="1" t="inlineStr">
        <is>
          <t>15452</t>
        </is>
      </c>
      <c r="C1252" s="1" t="inlineStr">
        <is>
          <t>Andonized Titanium Sheen Tiles</t>
        </is>
      </c>
      <c r="D1252" s="1" t="inlineStr">
        <is>
          <t>600x200x9mm</t>
        </is>
      </c>
      <c r="E1252" s="1" t="n">
        <v>21.5</v>
      </c>
      <c r="F1252" s="1" t="n">
        <v>0</v>
      </c>
      <c r="G1252" s="1" t="inlineStr">
        <is>
          <t>SQM</t>
        </is>
      </c>
      <c r="H1252" s="1" t="inlineStr">
        <is>
          <t>Ceramic</t>
        </is>
      </c>
      <c r="I1252" s="1" t="inlineStr">
        <is>
          <t>Satin</t>
        </is>
      </c>
      <c r="J1252" t="n">
        <v>130</v>
      </c>
      <c r="K1252" t="inlineStr"/>
      <c r="L1252" t="n">
        <v>130</v>
      </c>
    </row>
    <row r="1253">
      <c r="A1253" s="1">
        <f>Hyperlink("https://www.wallsandfloors.co.uk/andalucia-tiles-rojo-terracotta-tiles-8901","Product")</f>
        <v/>
      </c>
      <c r="B1253" s="1" t="inlineStr">
        <is>
          <t>8901</t>
        </is>
      </c>
      <c r="C1253" s="1" t="inlineStr">
        <is>
          <t>Andaclucia Rojo Terracotta Tiles</t>
        </is>
      </c>
      <c r="D1253" s="1" t="inlineStr">
        <is>
          <t>300x300x14mm</t>
        </is>
      </c>
      <c r="E1253" s="1" t="n">
        <v>40.95</v>
      </c>
      <c r="F1253" s="1" t="n">
        <v>0</v>
      </c>
      <c r="G1253" s="1" t="inlineStr">
        <is>
          <t>SQM</t>
        </is>
      </c>
      <c r="H1253" s="1" t="inlineStr">
        <is>
          <t>Terracotta</t>
        </is>
      </c>
      <c r="I1253" s="1" t="inlineStr">
        <is>
          <t>Matt</t>
        </is>
      </c>
      <c r="J1253" t="inlineStr">
        <is>
          <t>Out of Stock</t>
        </is>
      </c>
      <c r="K1253" t="inlineStr">
        <is>
          <t>Out of Stock</t>
        </is>
      </c>
      <c r="L1253" t="inlineStr">
        <is>
          <t>Out of Stock</t>
        </is>
      </c>
    </row>
    <row r="1254">
      <c r="A1254" s="1">
        <f>Hyperlink("https://www.wallsandfloors.co.uk/andalucia-tiles-rojo-terracotta-tiles","Product")</f>
        <v/>
      </c>
      <c r="B1254" s="1" t="inlineStr">
        <is>
          <t>8900</t>
        </is>
      </c>
      <c r="C1254" s="1" t="inlineStr">
        <is>
          <t>Andalucia Rojo Terracotta Tiles</t>
        </is>
      </c>
      <c r="D1254" s="1" t="inlineStr">
        <is>
          <t>200x200x14mm</t>
        </is>
      </c>
      <c r="E1254" s="1" t="n">
        <v>50.95</v>
      </c>
      <c r="F1254" s="1" t="n">
        <v>0</v>
      </c>
      <c r="G1254" s="1" t="inlineStr">
        <is>
          <t>SQM</t>
        </is>
      </c>
      <c r="H1254" s="1" t="inlineStr">
        <is>
          <t>Terracotta</t>
        </is>
      </c>
      <c r="I1254" s="1" t="inlineStr">
        <is>
          <t>Matt</t>
        </is>
      </c>
      <c r="J1254" t="n">
        <v>106</v>
      </c>
      <c r="K1254" t="inlineStr"/>
      <c r="L1254" t="n">
        <v>106</v>
      </c>
    </row>
    <row r="1255">
      <c r="A1255" s="1">
        <f>Hyperlink("https://www.wallsandfloors.co.uk/anchor-mix-tiles","Product")</f>
        <v/>
      </c>
      <c r="B1255" s="1" t="inlineStr">
        <is>
          <t>44211</t>
        </is>
      </c>
      <c r="C1255" s="1" t="inlineStr">
        <is>
          <t>Anchor Mix Tin Style Tiles</t>
        </is>
      </c>
      <c r="D1255" s="1" t="inlineStr">
        <is>
          <t>330x330x9mm</t>
        </is>
      </c>
      <c r="E1255" s="1" t="n">
        <v>34.95</v>
      </c>
      <c r="F1255" s="1" t="n">
        <v>0</v>
      </c>
      <c r="G1255" s="1" t="inlineStr">
        <is>
          <t>SQM</t>
        </is>
      </c>
      <c r="H1255" s="1" t="inlineStr">
        <is>
          <t>Porcelain</t>
        </is>
      </c>
      <c r="I1255" s="1" t="inlineStr">
        <is>
          <t>Matt</t>
        </is>
      </c>
      <c r="J1255" t="n">
        <v>59</v>
      </c>
      <c r="K1255" t="inlineStr"/>
      <c r="L1255" t="n">
        <v>59</v>
      </c>
    </row>
    <row r="1256">
      <c r="A1256" s="1">
        <f>Hyperlink("https://www.wallsandfloors.co.uk/anchor-lis-tiles","Product")</f>
        <v/>
      </c>
      <c r="B1256" s="1" t="inlineStr">
        <is>
          <t>44210</t>
        </is>
      </c>
      <c r="C1256" s="1" t="inlineStr">
        <is>
          <t>Anchor Lis Tin Style Tiles</t>
        </is>
      </c>
      <c r="D1256" s="1" t="inlineStr">
        <is>
          <t>330x330x9mm</t>
        </is>
      </c>
      <c r="E1256" s="1" t="n">
        <v>34.95</v>
      </c>
      <c r="F1256" s="1" t="n">
        <v>0</v>
      </c>
      <c r="G1256" s="1" t="inlineStr">
        <is>
          <t>SQM</t>
        </is>
      </c>
      <c r="H1256" s="1" t="inlineStr">
        <is>
          <t>Porcelain</t>
        </is>
      </c>
      <c r="I1256" s="1" t="inlineStr">
        <is>
          <t>Matt</t>
        </is>
      </c>
      <c r="J1256" t="n">
        <v>104</v>
      </c>
      <c r="K1256" t="inlineStr"/>
      <c r="L1256" t="n">
        <v>104</v>
      </c>
    </row>
    <row r="1257">
      <c r="A1257" s="1">
        <f>Hyperlink("https://www.wallsandfloors.co.uk/amarillo-brillo-8361","Product")</f>
        <v/>
      </c>
      <c r="B1257" s="1" t="inlineStr">
        <is>
          <t>8361</t>
        </is>
      </c>
      <c r="C1257" s="1" t="inlineStr">
        <is>
          <t>Rhian Amarillo Yellow Gloss Tiles</t>
        </is>
      </c>
      <c r="D1257" s="1" t="inlineStr">
        <is>
          <t>300x100x7mm</t>
        </is>
      </c>
      <c r="E1257" s="1" t="n">
        <v>29.95</v>
      </c>
      <c r="F1257" s="1" t="n">
        <v>0</v>
      </c>
      <c r="G1257" s="1" t="inlineStr">
        <is>
          <t>SQM</t>
        </is>
      </c>
      <c r="H1257" s="1" t="inlineStr">
        <is>
          <t>Ceramic</t>
        </is>
      </c>
      <c r="I1257" s="1" t="inlineStr">
        <is>
          <t>Gloss</t>
        </is>
      </c>
      <c r="J1257" t="inlineStr">
        <is>
          <t>In Stock</t>
        </is>
      </c>
      <c r="K1257" t="inlineStr">
        <is>
          <t>In Stock</t>
        </is>
      </c>
      <c r="L1257" t="inlineStr">
        <is>
          <t>In Stock</t>
        </is>
      </c>
    </row>
    <row r="1258">
      <c r="A1258" s="1">
        <f>Hyperlink("https://www.wallsandfloors.co.uk/aluminium-straight-edge-trim-12mm-brushed-brass-trim","Product")</f>
        <v/>
      </c>
      <c r="B1258" s="1" t="inlineStr">
        <is>
          <t>40095</t>
        </is>
      </c>
      <c r="C1258" s="1" t="inlineStr">
        <is>
          <t>12mm Aluminium Straight Edge Brushed Brass Tile Trim</t>
        </is>
      </c>
      <c r="D1258" s="1" t="inlineStr">
        <is>
          <t>2.5m Length x 12mm Depth</t>
        </is>
      </c>
      <c r="E1258" s="1" t="n">
        <v>11.95</v>
      </c>
      <c r="F1258" s="1" t="n">
        <v>0</v>
      </c>
      <c r="G1258" s="1" t="inlineStr">
        <is>
          <t>Unit</t>
        </is>
      </c>
      <c r="H1258" s="1" t="inlineStr">
        <is>
          <t>Accessories</t>
        </is>
      </c>
      <c r="I1258" s="1" t="inlineStr">
        <is>
          <t>-</t>
        </is>
      </c>
      <c r="J1258" t="inlineStr">
        <is>
          <t>In Stock</t>
        </is>
      </c>
      <c r="K1258" t="inlineStr"/>
      <c r="L1258" t="inlineStr">
        <is>
          <t>In Stock</t>
        </is>
      </c>
    </row>
    <row r="1259">
      <c r="A1259" s="1">
        <f>Hyperlink("https://www.wallsandfloors.co.uk/aluminium-straight-edge-trim-10mm-brushed-copper-trim-46102","Product")</f>
        <v/>
      </c>
      <c r="B1259" s="1" t="inlineStr">
        <is>
          <t>39725</t>
        </is>
      </c>
      <c r="C1259" s="1" t="inlineStr">
        <is>
          <t>10mm Aluminium Straight Edge Brushed Copper Tile Trim</t>
        </is>
      </c>
      <c r="D1259" s="1" t="inlineStr">
        <is>
          <t>2.5m Length x 10mm Depth</t>
        </is>
      </c>
      <c r="E1259" s="1" t="n">
        <v>11.95</v>
      </c>
      <c r="F1259" s="1" t="n">
        <v>0</v>
      </c>
      <c r="G1259" s="1" t="inlineStr"/>
      <c r="H1259" s="1" t="inlineStr">
        <is>
          <t>Accessories</t>
        </is>
      </c>
      <c r="I1259" s="1" t="inlineStr">
        <is>
          <t>-</t>
        </is>
      </c>
      <c r="J1259" t="inlineStr">
        <is>
          <t>In Stock</t>
        </is>
      </c>
      <c r="K1259" t="inlineStr">
        <is>
          <t>In Stock</t>
        </is>
      </c>
      <c r="L1259" t="inlineStr">
        <is>
          <t>In Stock</t>
        </is>
      </c>
    </row>
    <row r="1260">
      <c r="A1260" s="1">
        <f>Hyperlink("https://www.wallsandfloors.co.uk/aluminium-round-edge-trims-bright-silver-08mm-46740","Product")</f>
        <v/>
      </c>
      <c r="B1260" s="1" t="inlineStr">
        <is>
          <t>9570</t>
        </is>
      </c>
      <c r="C1260" s="1" t="inlineStr">
        <is>
          <t>Bright Silver (08mm) Trim</t>
        </is>
      </c>
      <c r="D1260" s="1" t="inlineStr">
        <is>
          <t>2.5m Length x 8mm Depth</t>
        </is>
      </c>
      <c r="E1260" s="1" t="n">
        <v>10.95</v>
      </c>
      <c r="F1260" s="1" t="n">
        <v>0</v>
      </c>
      <c r="G1260" s="1" t="inlineStr">
        <is>
          <t>Unit</t>
        </is>
      </c>
      <c r="H1260" s="1" t="inlineStr">
        <is>
          <t>Metal</t>
        </is>
      </c>
      <c r="I1260" s="1" t="inlineStr">
        <is>
          <t>-</t>
        </is>
      </c>
      <c r="J1260" t="inlineStr">
        <is>
          <t>In Stock</t>
        </is>
      </c>
      <c r="K1260" t="inlineStr">
        <is>
          <t>In Stock</t>
        </is>
      </c>
      <c r="L1260" t="inlineStr">
        <is>
          <t>In Stock</t>
        </is>
      </c>
    </row>
    <row r="1261">
      <c r="A1261" s="1">
        <f>Hyperlink("https://www.wallsandfloors.co.uk/alpine-white-whites-tiles-alpine-white-tiles","Product")</f>
        <v/>
      </c>
      <c r="B1261" s="1" t="inlineStr">
        <is>
          <t>7419</t>
        </is>
      </c>
      <c r="C1261" s="1" t="inlineStr">
        <is>
          <t>Alpine White Wall Tiles</t>
        </is>
      </c>
      <c r="D1261" s="1" t="inlineStr">
        <is>
          <t>300x200x9mm</t>
        </is>
      </c>
      <c r="E1261" s="1" t="n">
        <v>28.45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Gloss</t>
        </is>
      </c>
      <c r="J1261" t="n">
        <v>68</v>
      </c>
      <c r="K1261" t="n">
        <v>68</v>
      </c>
      <c r="L1261" t="n">
        <v>68</v>
      </c>
    </row>
    <row r="1262">
      <c r="A1262" s="1">
        <f>Hyperlink("https://www.wallsandfloors.co.uk/almond-stone-tiles-almond-stone-mosaic-wall-tiles","Product")</f>
        <v/>
      </c>
      <c r="B1262" s="1" t="inlineStr">
        <is>
          <t>14659</t>
        </is>
      </c>
      <c r="C1262" s="1" t="inlineStr">
        <is>
          <t>Almond Stone Mosaic Wall Tiles</t>
        </is>
      </c>
      <c r="D1262" s="1" t="inlineStr">
        <is>
          <t>550x333x8.8mm</t>
        </is>
      </c>
      <c r="E1262" s="1" t="n">
        <v>14.95</v>
      </c>
      <c r="F1262" s="1" t="n">
        <v>0</v>
      </c>
      <c r="G1262" s="1" t="inlineStr">
        <is>
          <t>SQM</t>
        </is>
      </c>
      <c r="H1262" s="1" t="inlineStr">
        <is>
          <t>Ceramic</t>
        </is>
      </c>
      <c r="I1262" s="1" t="inlineStr">
        <is>
          <t>Gloss</t>
        </is>
      </c>
      <c r="J1262" t="inlineStr">
        <is>
          <t>In Stock</t>
        </is>
      </c>
      <c r="K1262" t="inlineStr">
        <is>
          <t>In Stock</t>
        </is>
      </c>
      <c r="L1262" t="inlineStr">
        <is>
          <t>In Stock</t>
        </is>
      </c>
    </row>
    <row r="1263">
      <c r="A1263" s="1">
        <f>Hyperlink("https://www.wallsandfloors.co.uk/allegory-hexagon-tiles-white-novel-hexagon-tiles","Product")</f>
        <v/>
      </c>
      <c r="B1263" s="1" t="inlineStr">
        <is>
          <t>14406</t>
        </is>
      </c>
      <c r="C1263" s="1" t="inlineStr">
        <is>
          <t>White Novel Hexagon Tiles</t>
        </is>
      </c>
      <c r="D1263" s="1" t="inlineStr">
        <is>
          <t>200x175x8mm</t>
        </is>
      </c>
      <c r="E1263" s="1" t="n">
        <v>50.95</v>
      </c>
      <c r="F1263" s="1" t="n">
        <v>0</v>
      </c>
      <c r="G1263" s="1" t="inlineStr">
        <is>
          <t>SQM</t>
        </is>
      </c>
      <c r="H1263" s="1" t="inlineStr">
        <is>
          <t>Porcelain</t>
        </is>
      </c>
      <c r="I1263" s="1" t="inlineStr">
        <is>
          <t>Matt</t>
        </is>
      </c>
      <c r="J1263" t="n">
        <v>67</v>
      </c>
      <c r="K1263" t="n">
        <v>67</v>
      </c>
      <c r="L1263" t="n">
        <v>67</v>
      </c>
    </row>
    <row r="1264">
      <c r="A1264" s="1">
        <f>Hyperlink("https://www.wallsandfloors.co.uk/allegory-hexagon-tiles-grey-tale-hexagon-tiles","Product")</f>
        <v/>
      </c>
      <c r="B1264" s="1" t="inlineStr">
        <is>
          <t>14407</t>
        </is>
      </c>
      <c r="C1264" s="1" t="inlineStr">
        <is>
          <t>Grey Tale Hexagon Tiles</t>
        </is>
      </c>
      <c r="D1264" s="1" t="inlineStr">
        <is>
          <t>200x175x8mm</t>
        </is>
      </c>
      <c r="E1264" s="1" t="n">
        <v>50.95</v>
      </c>
      <c r="F1264" s="1" t="n">
        <v>0</v>
      </c>
      <c r="G1264" s="1" t="inlineStr">
        <is>
          <t>SQM</t>
        </is>
      </c>
      <c r="H1264" s="1" t="inlineStr">
        <is>
          <t>Porcelain</t>
        </is>
      </c>
      <c r="I1264" s="1" t="inlineStr">
        <is>
          <t>Matt</t>
        </is>
      </c>
      <c r="J1264" t="inlineStr">
        <is>
          <t>In Stock</t>
        </is>
      </c>
      <c r="K1264" t="inlineStr">
        <is>
          <t>In Stock</t>
        </is>
      </c>
      <c r="L1264" t="inlineStr">
        <is>
          <t>In Stock</t>
        </is>
      </c>
    </row>
    <row r="1265">
      <c r="A1265" s="1">
        <f>Hyperlink("https://www.wallsandfloors.co.uk/allegory-hexagon-tiles-black-saga-hexagon-tiles","Product")</f>
        <v/>
      </c>
      <c r="B1265" s="1" t="inlineStr">
        <is>
          <t>14408</t>
        </is>
      </c>
      <c r="C1265" s="1" t="inlineStr">
        <is>
          <t>Black Saga Hexagon Tiles</t>
        </is>
      </c>
      <c r="D1265" s="1" t="inlineStr">
        <is>
          <t>200x175x8mm</t>
        </is>
      </c>
      <c r="E1265" s="1" t="n">
        <v>50.95</v>
      </c>
      <c r="F1265" s="1" t="n">
        <v>0</v>
      </c>
      <c r="G1265" s="1" t="inlineStr">
        <is>
          <t>SQM</t>
        </is>
      </c>
      <c r="H1265" s="1" t="inlineStr">
        <is>
          <t>Porcelain</t>
        </is>
      </c>
      <c r="I1265" s="1" t="inlineStr">
        <is>
          <t>Matt</t>
        </is>
      </c>
      <c r="J1265" t="n">
        <v>270</v>
      </c>
      <c r="K1265" t="n">
        <v>270</v>
      </c>
      <c r="L1265" t="n">
        <v>270</v>
      </c>
    </row>
    <row r="1266">
      <c r="A1266" s="1">
        <f>Hyperlink("https://www.wallsandfloors.co.uk/aleutian-tiles-mountain-white-matt-60x60-tiles","Product")</f>
        <v/>
      </c>
      <c r="B1266" s="1" t="inlineStr">
        <is>
          <t>34995</t>
        </is>
      </c>
      <c r="C1266" s="1" t="inlineStr">
        <is>
          <t>Aleutian Mountain White Matt Tiles</t>
        </is>
      </c>
      <c r="D1266" s="1" t="inlineStr">
        <is>
          <t>600x600x10mm</t>
        </is>
      </c>
      <c r="E1266" s="1" t="n">
        <v>17.95</v>
      </c>
      <c r="F1266" s="1" t="n">
        <v>0</v>
      </c>
      <c r="G1266" s="1" t="inlineStr">
        <is>
          <t>SQM</t>
        </is>
      </c>
      <c r="H1266" s="1" t="inlineStr">
        <is>
          <t>Porcelain</t>
        </is>
      </c>
      <c r="I1266" s="1" t="inlineStr">
        <is>
          <t>Matt</t>
        </is>
      </c>
      <c r="J1266" t="inlineStr">
        <is>
          <t>In Stock</t>
        </is>
      </c>
      <c r="K1266" t="inlineStr">
        <is>
          <t>In Stock</t>
        </is>
      </c>
      <c r="L1266" t="inlineStr">
        <is>
          <t>In Stock</t>
        </is>
      </c>
    </row>
    <row r="1267">
      <c r="A1267" s="1">
        <f>Hyperlink("https://www.wallsandfloors.co.uk/aleutian-tiles-mountain-white-matt-60x30-tiles","Product")</f>
        <v/>
      </c>
      <c r="B1267" s="1" t="inlineStr">
        <is>
          <t>34994</t>
        </is>
      </c>
      <c r="C1267" s="1" t="inlineStr">
        <is>
          <t>Aleutian Mountain White Matt Tiles</t>
        </is>
      </c>
      <c r="D1267" s="1" t="inlineStr">
        <is>
          <t>600x300x10mm</t>
        </is>
      </c>
      <c r="E1267" s="1" t="n">
        <v>17.95</v>
      </c>
      <c r="F1267" s="1" t="n">
        <v>0</v>
      </c>
      <c r="G1267" s="1" t="inlineStr">
        <is>
          <t>SQM</t>
        </is>
      </c>
      <c r="H1267" s="1" t="inlineStr">
        <is>
          <t>Porcelain</t>
        </is>
      </c>
      <c r="I1267" s="1" t="inlineStr">
        <is>
          <t>Matt</t>
        </is>
      </c>
      <c r="J1267" t="inlineStr">
        <is>
          <t>Out of Stock</t>
        </is>
      </c>
      <c r="K1267" t="inlineStr">
        <is>
          <t>Out of Stock</t>
        </is>
      </c>
      <c r="L1267" t="inlineStr">
        <is>
          <t>Out of Stock</t>
        </is>
      </c>
    </row>
    <row r="1268">
      <c r="A1268" s="1">
        <f>Hyperlink("https://www.wallsandfloors.co.uk/aleutian-tiles-mountain-white-gloss-tiles","Product")</f>
        <v/>
      </c>
      <c r="B1268" s="1" t="inlineStr">
        <is>
          <t>15249</t>
        </is>
      </c>
      <c r="C1268" s="1" t="inlineStr">
        <is>
          <t>Aleutian Mountain White Gloss Tiles</t>
        </is>
      </c>
      <c r="D1268" s="1" t="inlineStr">
        <is>
          <t>600x600x10mm</t>
        </is>
      </c>
      <c r="E1268" s="1" t="n">
        <v>17.95</v>
      </c>
      <c r="F1268" s="1" t="n">
        <v>0</v>
      </c>
      <c r="G1268" s="1" t="inlineStr">
        <is>
          <t>SQM</t>
        </is>
      </c>
      <c r="H1268" s="1" t="inlineStr">
        <is>
          <t>Porcelain</t>
        </is>
      </c>
      <c r="I1268" s="1" t="inlineStr">
        <is>
          <t>Gloss</t>
        </is>
      </c>
      <c r="J1268" t="n">
        <v>1003</v>
      </c>
      <c r="K1268" t="n">
        <v>1003</v>
      </c>
      <c r="L1268" t="n">
        <v>1003</v>
      </c>
    </row>
    <row r="1269">
      <c r="A1269" s="1">
        <f>Hyperlink("https://www.wallsandfloors.co.uk/aleutian-tiles-mountain-white-gloss-75x75-tiles","Product")</f>
        <v/>
      </c>
      <c r="B1269" s="1" t="inlineStr">
        <is>
          <t>37204</t>
        </is>
      </c>
      <c r="C1269" s="1" t="inlineStr">
        <is>
          <t>Aleutian Mountain White Gloss Tiles</t>
        </is>
      </c>
      <c r="D1269" s="1" t="inlineStr">
        <is>
          <t>750x750x11mm</t>
        </is>
      </c>
      <c r="E1269" s="1" t="n">
        <v>17.95</v>
      </c>
      <c r="F1269" s="1" t="n">
        <v>0</v>
      </c>
      <c r="G1269" s="1" t="inlineStr">
        <is>
          <t>SQM</t>
        </is>
      </c>
      <c r="H1269" s="1" t="inlineStr">
        <is>
          <t>Porcelain</t>
        </is>
      </c>
      <c r="I1269" s="1" t="inlineStr">
        <is>
          <t>Gloss</t>
        </is>
      </c>
      <c r="J1269" t="inlineStr"/>
      <c r="K1269" t="n">
        <v>395</v>
      </c>
      <c r="L1269" t="n">
        <v>395</v>
      </c>
    </row>
    <row r="1270">
      <c r="A1270" s="1">
        <f>Hyperlink("https://www.wallsandfloors.co.uk/alabaster-white-limestone-effect-marble-mosaic-tiles","Product")</f>
        <v/>
      </c>
      <c r="B1270" s="1" t="inlineStr">
        <is>
          <t>41515</t>
        </is>
      </c>
      <c r="C1270" s="1" t="inlineStr">
        <is>
          <t>Nantlle Valley Alabaster White Limestone Effect Marble Mosaic Tiles</t>
        </is>
      </c>
      <c r="D1270" s="1" t="inlineStr">
        <is>
          <t>300x300x10.3mm</t>
        </is>
      </c>
      <c r="E1270" s="1" t="n">
        <v>9.949999999999999</v>
      </c>
      <c r="F1270" s="1" t="n">
        <v>0</v>
      </c>
      <c r="G1270" s="1" t="inlineStr">
        <is>
          <t>Sheet</t>
        </is>
      </c>
      <c r="H1270" s="1" t="inlineStr">
        <is>
          <t>Porcelain</t>
        </is>
      </c>
      <c r="I1270" s="1" t="inlineStr">
        <is>
          <t>Matt</t>
        </is>
      </c>
      <c r="J1270" t="inlineStr">
        <is>
          <t>In Stock</t>
        </is>
      </c>
      <c r="K1270" t="inlineStr">
        <is>
          <t>In Stock</t>
        </is>
      </c>
      <c r="L1270" t="inlineStr">
        <is>
          <t>In Stock</t>
        </is>
      </c>
    </row>
    <row r="1271">
      <c r="A1271" s="1">
        <f>Hyperlink("https://www.wallsandfloors.co.uk/achilles-teal-mix-tiles","Product")</f>
        <v/>
      </c>
      <c r="B1271" s="1" t="inlineStr">
        <is>
          <t>42627</t>
        </is>
      </c>
      <c r="C1271" s="1" t="inlineStr">
        <is>
          <t>Achilles Teal Mix Fish Scale Tiles</t>
        </is>
      </c>
      <c r="D1271" s="1" t="inlineStr">
        <is>
          <t>307x307x10mm</t>
        </is>
      </c>
      <c r="E1271" s="1" t="n">
        <v>39.95</v>
      </c>
      <c r="F1271" s="1" t="n">
        <v>0</v>
      </c>
      <c r="G1271" s="1" t="inlineStr">
        <is>
          <t>SQM</t>
        </is>
      </c>
      <c r="H1271" s="1" t="inlineStr">
        <is>
          <t>Porcelain</t>
        </is>
      </c>
      <c r="I1271" s="1" t="inlineStr">
        <is>
          <t>Matt</t>
        </is>
      </c>
      <c r="J1271" t="n">
        <v>173</v>
      </c>
      <c r="K1271" t="inlineStr"/>
      <c r="L1271" t="n">
        <v>173</v>
      </c>
    </row>
    <row r="1272">
      <c r="A1272" s="1">
        <f>Hyperlink("https://www.wallsandfloors.co.uk/aragon-autumn-brown-quarry-tiles-r-e-x-15x15-tiles","Product")</f>
        <v/>
      </c>
      <c r="B1272" s="1" t="inlineStr">
        <is>
          <t>11527</t>
        </is>
      </c>
      <c r="C1272" s="1" t="inlineStr">
        <is>
          <t>Aragon Autumn Brown R.E.X Quarry Tiles</t>
        </is>
      </c>
      <c r="D1272" s="1" t="inlineStr">
        <is>
          <t>150x150x12mm</t>
        </is>
      </c>
      <c r="E1272" s="1" t="n">
        <v>9.949999999999999</v>
      </c>
      <c r="F1272" s="1" t="n">
        <v>0</v>
      </c>
      <c r="G1272" s="1" t="inlineStr">
        <is>
          <t>Tile</t>
        </is>
      </c>
      <c r="H1272" s="1" t="inlineStr">
        <is>
          <t>Clay</t>
        </is>
      </c>
      <c r="I1272" s="1" t="inlineStr">
        <is>
          <t>Matt</t>
        </is>
      </c>
      <c r="J1272" t="inlineStr"/>
      <c r="K1272" t="inlineStr">
        <is>
          <t>Out of Stock</t>
        </is>
      </c>
      <c r="L1272" t="inlineStr">
        <is>
          <t>Out of Stock</t>
        </is>
      </c>
    </row>
    <row r="1273">
      <c r="A1273" s="1">
        <f>Hyperlink("https://www.wallsandfloors.co.uk/aragon-autumn-brown-quarry-tiles-r-e-x-20x20-tiles","Product")</f>
        <v/>
      </c>
      <c r="B1273" s="1" t="inlineStr">
        <is>
          <t>13724</t>
        </is>
      </c>
      <c r="C1273" s="1" t="inlineStr">
        <is>
          <t>Aragon Autumn Brown R.E.X Quarry Tiles</t>
        </is>
      </c>
      <c r="D1273" s="1" t="inlineStr">
        <is>
          <t>200x200x12mm</t>
        </is>
      </c>
      <c r="E1273" s="1" t="n">
        <v>10.95</v>
      </c>
      <c r="F1273" s="1" t="n">
        <v>0</v>
      </c>
      <c r="G1273" s="1" t="inlineStr">
        <is>
          <t>Tile</t>
        </is>
      </c>
      <c r="H1273" s="1" t="inlineStr">
        <is>
          <t>Clay</t>
        </is>
      </c>
      <c r="I1273" s="1" t="inlineStr">
        <is>
          <t>Matt</t>
        </is>
      </c>
      <c r="J1273" t="inlineStr">
        <is>
          <t>Out of Stock</t>
        </is>
      </c>
      <c r="K1273" t="inlineStr">
        <is>
          <t>Out of Stock</t>
        </is>
      </c>
      <c r="L1273" t="inlineStr">
        <is>
          <t>Out of Stock</t>
        </is>
      </c>
    </row>
    <row r="1274">
      <c r="A1274" s="1">
        <f>Hyperlink("https://www.wallsandfloors.co.uk/aragon-autumn-brown-quarry-tiles-skirting-200-quarry-tiles","Product")</f>
        <v/>
      </c>
      <c r="B1274" s="1" t="inlineStr">
        <is>
          <t>13725</t>
        </is>
      </c>
      <c r="C1274" s="1" t="inlineStr">
        <is>
          <t>Skirting 200 Quarry Tiles</t>
        </is>
      </c>
      <c r="D1274" s="1" t="inlineStr">
        <is>
          <t>115x200x12mm</t>
        </is>
      </c>
      <c r="E1274" s="1" t="n">
        <v>6.95</v>
      </c>
      <c r="F1274" s="1" t="n">
        <v>0</v>
      </c>
      <c r="G1274" s="1" t="inlineStr">
        <is>
          <t>SQM</t>
        </is>
      </c>
      <c r="H1274" s="1" t="inlineStr">
        <is>
          <t>Clay</t>
        </is>
      </c>
      <c r="I1274" s="1" t="inlineStr">
        <is>
          <t>Matt</t>
        </is>
      </c>
      <c r="J1274" t="n">
        <v>100</v>
      </c>
      <c r="K1274" t="n">
        <v>100</v>
      </c>
      <c r="L1274" t="n">
        <v>100</v>
      </c>
    </row>
    <row r="1275">
      <c r="A1275" s="1">
        <f>Hyperlink("https://www.wallsandfloors.co.uk/bijou-swimming-pool-mosaic-tiles-rainforest-mix-tiles","Product")</f>
        <v/>
      </c>
      <c r="B1275" s="1" t="inlineStr">
        <is>
          <t>15448</t>
        </is>
      </c>
      <c r="C1275" s="1" t="inlineStr">
        <is>
          <t>Bijou Square Rainforest Mix Mosaic Tiles</t>
        </is>
      </c>
      <c r="D1275" s="1" t="inlineStr">
        <is>
          <t>305x305x5.2mm</t>
        </is>
      </c>
      <c r="E1275" s="1" t="n">
        <v>2.74</v>
      </c>
      <c r="F1275" s="1" t="n">
        <v>0</v>
      </c>
      <c r="G1275" s="1" t="inlineStr">
        <is>
          <t>Sheet</t>
        </is>
      </c>
      <c r="H1275" s="1" t="inlineStr">
        <is>
          <t>Porcelain</t>
        </is>
      </c>
      <c r="I1275" s="1" t="inlineStr">
        <is>
          <t>Gloss</t>
        </is>
      </c>
      <c r="J1275" t="n">
        <v>40</v>
      </c>
      <c r="K1275" t="n">
        <v>40</v>
      </c>
      <c r="L1275" t="n">
        <v>40</v>
      </c>
    </row>
    <row r="1276">
      <c r="A1276" s="1">
        <f>Hyperlink("https://www.wallsandfloors.co.uk/bijou-square-mosaic-tiles-matt-white-square-large-tiles","Product")</f>
        <v/>
      </c>
      <c r="B1276" s="1" t="inlineStr">
        <is>
          <t>14781</t>
        </is>
      </c>
      <c r="C1276" s="1" t="inlineStr">
        <is>
          <t>Bijou Square Matt White Large Mosaic Tiles</t>
        </is>
      </c>
      <c r="D1276" s="1" t="inlineStr">
        <is>
          <t>316x316x5.2mm</t>
        </is>
      </c>
      <c r="E1276" s="1" t="n">
        <v>1.89</v>
      </c>
      <c r="F1276" s="1" t="n">
        <v>0</v>
      </c>
      <c r="G1276" s="1" t="inlineStr">
        <is>
          <t>Sheet</t>
        </is>
      </c>
      <c r="H1276" s="1" t="inlineStr">
        <is>
          <t>Porcelain</t>
        </is>
      </c>
      <c r="I1276" s="1" t="inlineStr">
        <is>
          <t>Matt</t>
        </is>
      </c>
      <c r="J1276" t="n">
        <v>213</v>
      </c>
      <c r="K1276" t="n">
        <v>213</v>
      </c>
      <c r="L1276" t="n">
        <v>213</v>
      </c>
    </row>
    <row r="1277">
      <c r="A1277" s="1">
        <f>Hyperlink("https://www.wallsandfloors.co.uk/bijou-square-mosaic-tiles-matt-black-square-large-tiles","Product")</f>
        <v/>
      </c>
      <c r="B1277" s="1" t="inlineStr">
        <is>
          <t>14783</t>
        </is>
      </c>
      <c r="C1277" s="1" t="inlineStr">
        <is>
          <t>Bijou Square Matt Black Large Mosaic Tiles</t>
        </is>
      </c>
      <c r="D1277" s="1" t="inlineStr">
        <is>
          <t>316x316x5.2mm</t>
        </is>
      </c>
      <c r="E1277" s="1" t="n">
        <v>2.15</v>
      </c>
      <c r="F1277" s="1" t="n">
        <v>0</v>
      </c>
      <c r="G1277" s="1" t="inlineStr">
        <is>
          <t>Sheet</t>
        </is>
      </c>
      <c r="H1277" s="1" t="inlineStr">
        <is>
          <t>Porcelain</t>
        </is>
      </c>
      <c r="I1277" s="1" t="inlineStr">
        <is>
          <t>Matt</t>
        </is>
      </c>
      <c r="J1277" t="n">
        <v>107</v>
      </c>
      <c r="K1277" t="n">
        <v>107</v>
      </c>
      <c r="L1277" t="n">
        <v>107</v>
      </c>
    </row>
    <row r="1278">
      <c r="A1278" s="1">
        <f>Hyperlink("https://www.wallsandfloors.co.uk/bijou-square-mosaic-tiles-gloss-black-square-large-tiles","Product")</f>
        <v/>
      </c>
      <c r="B1278" s="1" t="inlineStr">
        <is>
          <t>14782</t>
        </is>
      </c>
      <c r="C1278" s="1" t="inlineStr">
        <is>
          <t>Bijou Square Gloss Black Large Mosaic Tiles</t>
        </is>
      </c>
      <c r="D1278" s="1" t="inlineStr">
        <is>
          <t>316x316x6.5mm</t>
        </is>
      </c>
      <c r="E1278" s="1" t="n">
        <v>2.15</v>
      </c>
      <c r="F1278" s="1" t="n">
        <v>0</v>
      </c>
      <c r="G1278" s="1" t="inlineStr"/>
      <c r="H1278" s="1" t="inlineStr">
        <is>
          <t>Porcelain</t>
        </is>
      </c>
      <c r="I1278" s="1" t="inlineStr">
        <is>
          <t>Gloss</t>
        </is>
      </c>
      <c r="J1278" t="n">
        <v>72</v>
      </c>
      <c r="K1278" t="inlineStr"/>
      <c r="L1278" t="n">
        <v>72</v>
      </c>
    </row>
    <row r="1279">
      <c r="A1279" s="1">
        <f>Hyperlink("https://www.wallsandfloors.co.uk/bijou-mosaic-chequer-hexagon-white-black-gloss-96085","Product")</f>
        <v/>
      </c>
      <c r="B1279" s="1" t="inlineStr">
        <is>
          <t>27155</t>
        </is>
      </c>
      <c r="C1279" s="1" t="inlineStr">
        <is>
          <t>Bijou Gloss Chequer Hexagon Mosaic Tiles</t>
        </is>
      </c>
      <c r="D1279" s="1" t="inlineStr">
        <is>
          <t>335x292x4mm</t>
        </is>
      </c>
      <c r="E1279" s="1" t="n">
        <v>2.12</v>
      </c>
      <c r="F1279" s="1" t="n">
        <v>0</v>
      </c>
      <c r="G1279" s="1" t="inlineStr"/>
      <c r="H1279" s="1" t="inlineStr">
        <is>
          <t>Porcelain</t>
        </is>
      </c>
      <c r="I1279" s="1" t="inlineStr">
        <is>
          <t>Gloss</t>
        </is>
      </c>
      <c r="J1279" t="n">
        <v>6</v>
      </c>
      <c r="K1279" t="n">
        <v>6</v>
      </c>
      <c r="L1279" t="n">
        <v>6</v>
      </c>
    </row>
    <row r="1280">
      <c r="A1280" s="1">
        <f>Hyperlink("https://www.wallsandfloors.co.uk/bijou-herringbone-mosaic-white-matt-herringbone-mosaic-tiles","Product")</f>
        <v/>
      </c>
      <c r="B1280" s="1" t="inlineStr">
        <is>
          <t>15450</t>
        </is>
      </c>
      <c r="C1280" s="1" t="inlineStr">
        <is>
          <t>Pixel White Herringbone Matt 22x73 Mosaic Tiles</t>
        </is>
      </c>
      <c r="D1280" s="1" t="inlineStr">
        <is>
          <t>316x277x6mm</t>
        </is>
      </c>
      <c r="E1280" s="1" t="n">
        <v>4.95</v>
      </c>
      <c r="F1280" s="1" t="n">
        <v>0</v>
      </c>
      <c r="G1280" s="1" t="inlineStr">
        <is>
          <t>Sheet</t>
        </is>
      </c>
      <c r="H1280" s="1" t="inlineStr">
        <is>
          <t>Porcelain</t>
        </is>
      </c>
      <c r="I1280" s="1" t="inlineStr">
        <is>
          <t>Matt</t>
        </is>
      </c>
      <c r="J1280" t="n">
        <v>236</v>
      </c>
      <c r="K1280" t="n">
        <v>236</v>
      </c>
      <c r="L1280" t="n">
        <v>236</v>
      </c>
    </row>
    <row r="1281">
      <c r="A1281" s="1">
        <f>Hyperlink("https://www.wallsandfloors.co.uk/bijou-herringbone-mosaic-white-gloss-herringbone-mosaic-tiles","Product")</f>
        <v/>
      </c>
      <c r="B1281" s="1" t="inlineStr">
        <is>
          <t>44484</t>
        </is>
      </c>
      <c r="C1281" s="1" t="inlineStr">
        <is>
          <t>Pixel White Herringbone Gloss 22x73 Mosaic Tiles</t>
        </is>
      </c>
      <c r="D1281" s="1" t="inlineStr">
        <is>
          <t>316x277x6mm</t>
        </is>
      </c>
      <c r="E1281" s="1" t="n">
        <v>4.95</v>
      </c>
      <c r="F1281" s="1" t="n">
        <v>0</v>
      </c>
      <c r="G1281" s="1" t="inlineStr">
        <is>
          <t>Sheet</t>
        </is>
      </c>
      <c r="H1281" s="1" t="inlineStr">
        <is>
          <t>Porcelain</t>
        </is>
      </c>
      <c r="I1281" s="1" t="inlineStr">
        <is>
          <t>Gloss</t>
        </is>
      </c>
      <c r="J1281" t="n">
        <v>383</v>
      </c>
      <c r="K1281" t="n">
        <v>383</v>
      </c>
      <c r="L1281" t="n">
        <v>383</v>
      </c>
    </row>
    <row r="1282">
      <c r="A1282" s="1">
        <f>Hyperlink("https://www.wallsandfloors.co.uk/bijou-checkered-mosaic-tiles-black-and-white-chequer-gloss-mosaic-tiles","Product")</f>
        <v/>
      </c>
      <c r="B1282" s="1" t="inlineStr">
        <is>
          <t>14897</t>
        </is>
      </c>
      <c r="C1282" s="1" t="inlineStr">
        <is>
          <t>Black and White Chequer Gloss Mosaic Tiles</t>
        </is>
      </c>
      <c r="D1282" s="1" t="inlineStr">
        <is>
          <t>312x312x5.2mm</t>
        </is>
      </c>
      <c r="E1282" s="1" t="n">
        <v>2.49</v>
      </c>
      <c r="F1282" s="1" t="n">
        <v>0</v>
      </c>
      <c r="G1282" s="1" t="inlineStr">
        <is>
          <t>Sheet</t>
        </is>
      </c>
      <c r="H1282" s="1" t="inlineStr">
        <is>
          <t>Porcelain</t>
        </is>
      </c>
      <c r="I1282" s="1" t="inlineStr">
        <is>
          <t>Gloss</t>
        </is>
      </c>
      <c r="J1282" t="n">
        <v>40</v>
      </c>
      <c r="K1282" t="n">
        <v>40</v>
      </c>
      <c r="L1282" t="n">
        <v>40</v>
      </c>
    </row>
    <row r="1283">
      <c r="A1283" s="1">
        <f>Hyperlink("https://www.wallsandfloors.co.uk/bijou-brick-mosaic-tiles-matt-grey-brick-bond-mosaic-tiles","Product")</f>
        <v/>
      </c>
      <c r="B1283" s="1" t="inlineStr">
        <is>
          <t>15045</t>
        </is>
      </c>
      <c r="C1283" s="1" t="inlineStr">
        <is>
          <t>Bijou Brick Matt Grey Brickbond Mosaic Tiles</t>
        </is>
      </c>
      <c r="D1283" s="1" t="inlineStr">
        <is>
          <t>300x295x5.2mm</t>
        </is>
      </c>
      <c r="E1283" s="1" t="n">
        <v>1.92</v>
      </c>
      <c r="F1283" s="1" t="n">
        <v>0</v>
      </c>
      <c r="G1283" s="1" t="inlineStr">
        <is>
          <t>Sheet</t>
        </is>
      </c>
      <c r="H1283" s="1" t="inlineStr">
        <is>
          <t>Porcelain</t>
        </is>
      </c>
      <c r="I1283" s="1" t="inlineStr">
        <is>
          <t>Matt</t>
        </is>
      </c>
      <c r="J1283" t="n">
        <v>3</v>
      </c>
      <c r="K1283" t="n">
        <v>3</v>
      </c>
      <c r="L1283" t="n">
        <v>3</v>
      </c>
    </row>
    <row r="1284">
      <c r="A1284" s="1">
        <f>Hyperlink("https://www.wallsandfloors.co.uk/bijou-brick-mosaic-tiles-gloss-white-brick-mosaic-tiles","Product")</f>
        <v/>
      </c>
      <c r="B1284" s="1" t="inlineStr">
        <is>
          <t>15012</t>
        </is>
      </c>
      <c r="C1284" s="1" t="inlineStr">
        <is>
          <t>Bijou Brick Gloss White Mosaic Tiles</t>
        </is>
      </c>
      <c r="D1284" s="1" t="inlineStr">
        <is>
          <t>300x295x5.2mm</t>
        </is>
      </c>
      <c r="E1284" s="1" t="n">
        <v>1.7</v>
      </c>
      <c r="F1284" s="1" t="n">
        <v>0</v>
      </c>
      <c r="G1284" s="1" t="inlineStr">
        <is>
          <t>Sheet</t>
        </is>
      </c>
      <c r="H1284" s="1" t="inlineStr">
        <is>
          <t>Porcelain</t>
        </is>
      </c>
      <c r="I1284" s="1" t="inlineStr">
        <is>
          <t>Gloss</t>
        </is>
      </c>
      <c r="J1284" t="n">
        <v>41</v>
      </c>
      <c r="K1284" t="n">
        <v>41</v>
      </c>
      <c r="L1284" t="n">
        <v>41</v>
      </c>
    </row>
    <row r="1285">
      <c r="A1285" s="1">
        <f>Hyperlink("https://www.wallsandfloors.co.uk/bevelled-white-tiles-alba-blanco-bevelled-white-wall-tiles","Product")</f>
        <v/>
      </c>
      <c r="B1285" s="1" t="inlineStr">
        <is>
          <t>2920</t>
        </is>
      </c>
      <c r="C1285" s="1" t="inlineStr">
        <is>
          <t>Alba Blanco Bevelled White Wall Tiles</t>
        </is>
      </c>
      <c r="D1285" s="1" t="inlineStr">
        <is>
          <t>400x250x8mm</t>
        </is>
      </c>
      <c r="E1285" s="1" t="n">
        <v>12.95</v>
      </c>
      <c r="F1285" s="1" t="n">
        <v>0</v>
      </c>
      <c r="G1285" s="1" t="inlineStr">
        <is>
          <t>SQM</t>
        </is>
      </c>
      <c r="H1285" s="1" t="inlineStr">
        <is>
          <t>Ceramic</t>
        </is>
      </c>
      <c r="I1285" s="1" t="inlineStr">
        <is>
          <t>Gloss</t>
        </is>
      </c>
      <c r="J1285" t="inlineStr">
        <is>
          <t>In Stock</t>
        </is>
      </c>
      <c r="K1285" t="inlineStr">
        <is>
          <t>In Stock</t>
        </is>
      </c>
      <c r="L1285" t="inlineStr">
        <is>
          <t>In Stock</t>
        </is>
      </c>
    </row>
    <row r="1286">
      <c r="A1286" s="1">
        <f>Hyperlink("https://www.wallsandfloors.co.uk/beige-500x250-wall-tiles","Product")</f>
        <v/>
      </c>
      <c r="B1286" s="1" t="inlineStr">
        <is>
          <t>13746</t>
        </is>
      </c>
      <c r="C1286" s="1" t="inlineStr">
        <is>
          <t>Athena Beige Wall Tiles</t>
        </is>
      </c>
      <c r="D1286" s="1" t="inlineStr">
        <is>
          <t>500x250x8mm</t>
        </is>
      </c>
      <c r="E1286" s="1" t="n">
        <v>13.95</v>
      </c>
      <c r="F1286" s="1" t="n">
        <v>0</v>
      </c>
      <c r="G1286" s="1" t="inlineStr">
        <is>
          <t>SQM</t>
        </is>
      </c>
      <c r="H1286" s="1" t="inlineStr">
        <is>
          <t>Ceramic</t>
        </is>
      </c>
      <c r="I1286" s="1" t="inlineStr">
        <is>
          <t>Gloss</t>
        </is>
      </c>
      <c r="J1286" t="n">
        <v>117</v>
      </c>
      <c r="K1286" t="n">
        <v>117</v>
      </c>
      <c r="L1286" t="n">
        <v>117</v>
      </c>
    </row>
    <row r="1287">
      <c r="A1287" s="1">
        <f>Hyperlink("https://www.wallsandfloors.co.uk/baycliff-tiles-mineral-slate-effect-tiles","Product")</f>
        <v/>
      </c>
      <c r="B1287" s="1" t="inlineStr">
        <is>
          <t>14596</t>
        </is>
      </c>
      <c r="C1287" s="1" t="inlineStr">
        <is>
          <t>Mineral Slate Effect Tiles</t>
        </is>
      </c>
      <c r="D1287" s="1" t="inlineStr">
        <is>
          <t>360x275x9mm</t>
        </is>
      </c>
      <c r="E1287" s="1" t="n">
        <v>24.95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Matt</t>
        </is>
      </c>
      <c r="J1287" t="inlineStr">
        <is>
          <t>In Stock</t>
        </is>
      </c>
      <c r="K1287" t="inlineStr"/>
      <c r="L1287" t="inlineStr">
        <is>
          <t>In Stock</t>
        </is>
      </c>
    </row>
    <row r="1288">
      <c r="A1288" s="1">
        <f>Hyperlink("https://www.wallsandfloors.co.uk/baycliff-tiles-bramble-slate-effect-tiles","Product")</f>
        <v/>
      </c>
      <c r="B1288" s="1" t="inlineStr">
        <is>
          <t>14595</t>
        </is>
      </c>
      <c r="C1288" s="1" t="inlineStr">
        <is>
          <t>Bramble Slate Effect Tiles</t>
        </is>
      </c>
      <c r="D1288" s="1" t="inlineStr">
        <is>
          <t>360x275x9mm</t>
        </is>
      </c>
      <c r="E1288" s="1" t="n">
        <v>24.95</v>
      </c>
      <c r="F1288" s="1" t="n">
        <v>0</v>
      </c>
      <c r="G1288" s="1" t="inlineStr">
        <is>
          <t>SQM</t>
        </is>
      </c>
      <c r="H1288" s="1" t="inlineStr">
        <is>
          <t>Ceramic</t>
        </is>
      </c>
      <c r="I1288" s="1" t="inlineStr">
        <is>
          <t>Matt</t>
        </is>
      </c>
      <c r="J1288" t="inlineStr">
        <is>
          <t>In Stock</t>
        </is>
      </c>
      <c r="K1288" t="inlineStr">
        <is>
          <t>In Stock</t>
        </is>
      </c>
      <c r="L1288" t="inlineStr">
        <is>
          <t>In Stock</t>
        </is>
      </c>
    </row>
    <row r="1289">
      <c r="A1289" s="1">
        <f>Hyperlink("https://www.wallsandfloors.co.uk/basic-60-with-lateral-stop-and-45-square-manual-cutter","Product")</f>
        <v/>
      </c>
      <c r="B1289" s="1" t="inlineStr">
        <is>
          <t>40396</t>
        </is>
      </c>
      <c r="C1289" s="1" t="inlineStr">
        <is>
          <t>BASIC-60 Manual Cutter with Lateral Stop &amp; 45º Square</t>
        </is>
      </c>
      <c r="D1289" s="1" t="n">
        <v>1</v>
      </c>
      <c r="E1289" s="1" t="n">
        <v>37.25</v>
      </c>
      <c r="F1289" s="1" t="n">
        <v>0</v>
      </c>
      <c r="G1289" s="1" t="inlineStr">
        <is>
          <t>Unit</t>
        </is>
      </c>
      <c r="H1289" s="1" t="inlineStr">
        <is>
          <t>Accessories</t>
        </is>
      </c>
      <c r="I1289" s="1" t="inlineStr">
        <is>
          <t>-</t>
        </is>
      </c>
      <c r="J1289" t="inlineStr">
        <is>
          <t>In Stock</t>
        </is>
      </c>
      <c r="K1289" t="inlineStr">
        <is>
          <t>In Stock</t>
        </is>
      </c>
      <c r="L1289" t="inlineStr">
        <is>
          <t>In Stock</t>
        </is>
      </c>
    </row>
    <row r="1290">
      <c r="A1290" s="1">
        <f>Hyperlink("https://www.wallsandfloors.co.uk/barolo-summer-blue-tiles","Product")</f>
        <v/>
      </c>
      <c r="B1290" s="1" t="inlineStr">
        <is>
          <t>39068</t>
        </is>
      </c>
      <c r="C1290" s="1" t="inlineStr">
        <is>
          <t>Barolo Summer Blue Tiles</t>
        </is>
      </c>
      <c r="D1290" s="1" t="inlineStr">
        <is>
          <t>330x330x9.5mm</t>
        </is>
      </c>
      <c r="E1290" s="1" t="n">
        <v>27.95</v>
      </c>
      <c r="F1290" s="1" t="n">
        <v>0</v>
      </c>
      <c r="G1290" s="1" t="inlineStr">
        <is>
          <t>SQM</t>
        </is>
      </c>
      <c r="H1290" s="1" t="inlineStr">
        <is>
          <t>Ceramic</t>
        </is>
      </c>
      <c r="I1290" s="1" t="inlineStr">
        <is>
          <t>Matt</t>
        </is>
      </c>
      <c r="J1290" t="inlineStr">
        <is>
          <t>Out of Stock</t>
        </is>
      </c>
      <c r="K1290" t="inlineStr"/>
      <c r="L1290" t="inlineStr">
        <is>
          <t>Out of Stock</t>
        </is>
      </c>
    </row>
    <row r="1291">
      <c r="A1291" s="1">
        <f>Hyperlink("https://www.wallsandfloors.co.uk/barolo-antique-white-tiles","Product")</f>
        <v/>
      </c>
      <c r="B1291" s="1" t="inlineStr">
        <is>
          <t>39069</t>
        </is>
      </c>
      <c r="C1291" s="1" t="inlineStr">
        <is>
          <t>Barolo Antique White Tiles</t>
        </is>
      </c>
      <c r="D1291" s="1" t="inlineStr">
        <is>
          <t>330x330x9.5mm</t>
        </is>
      </c>
      <c r="E1291" s="1" t="n">
        <v>27.95</v>
      </c>
      <c r="F1291" s="1" t="n">
        <v>0</v>
      </c>
      <c r="G1291" s="1" t="inlineStr">
        <is>
          <t>SQM</t>
        </is>
      </c>
      <c r="H1291" s="1" t="inlineStr">
        <is>
          <t>Ceramic</t>
        </is>
      </c>
      <c r="I1291" s="1" t="inlineStr">
        <is>
          <t>Matt</t>
        </is>
      </c>
      <c r="J1291" t="inlineStr"/>
      <c r="K1291" t="inlineStr">
        <is>
          <t>In Stock</t>
        </is>
      </c>
      <c r="L1291" t="inlineStr">
        <is>
          <t>In Stock</t>
        </is>
      </c>
    </row>
    <row r="1292">
      <c r="A1292" s="1">
        <f>Hyperlink("https://www.wallsandfloors.co.uk/barolo-amber-tiles","Product")</f>
        <v/>
      </c>
      <c r="B1292" s="1" t="inlineStr">
        <is>
          <t>39070</t>
        </is>
      </c>
      <c r="C1292" s="1" t="inlineStr">
        <is>
          <t>Barolo Amber Tiles</t>
        </is>
      </c>
      <c r="D1292" s="1" t="inlineStr">
        <is>
          <t>330x330x9.5mm</t>
        </is>
      </c>
      <c r="E1292" s="1" t="n">
        <v>27.95</v>
      </c>
      <c r="F1292" s="1" t="n">
        <v>0</v>
      </c>
      <c r="G1292" s="1" t="inlineStr">
        <is>
          <t>SQM</t>
        </is>
      </c>
      <c r="H1292" s="1" t="inlineStr">
        <is>
          <t>Ceramic</t>
        </is>
      </c>
      <c r="I1292" s="1" t="inlineStr">
        <is>
          <t>Matt</t>
        </is>
      </c>
      <c r="J1292" t="inlineStr"/>
      <c r="K1292" t="inlineStr">
        <is>
          <t>In Stock</t>
        </is>
      </c>
      <c r="L1292" t="inlineStr">
        <is>
          <t>In Stock</t>
        </is>
      </c>
    </row>
    <row r="1293">
      <c r="A1293" s="1">
        <f>Hyperlink("https://www.wallsandfloors.co.uk/bally-octagon-mosaic-tiles-green-octagon-mosaic-tiles-29206","Product")</f>
        <v/>
      </c>
      <c r="B1293" s="1" t="inlineStr">
        <is>
          <t>14204</t>
        </is>
      </c>
      <c r="C1293" s="1" t="inlineStr">
        <is>
          <t>Bally Green Octagon Mosaic Tiles</t>
        </is>
      </c>
      <c r="D1293" s="1" t="inlineStr">
        <is>
          <t>292x292x4mm</t>
        </is>
      </c>
      <c r="E1293" s="1" t="n">
        <v>1.9</v>
      </c>
      <c r="F1293" s="1" t="n">
        <v>0</v>
      </c>
      <c r="G1293" s="1" t="inlineStr">
        <is>
          <t>Sheet</t>
        </is>
      </c>
      <c r="H1293" s="1" t="inlineStr">
        <is>
          <t>Porcelain</t>
        </is>
      </c>
      <c r="I1293" s="1" t="inlineStr">
        <is>
          <t>Gloss</t>
        </is>
      </c>
      <c r="J1293" t="n">
        <v>111</v>
      </c>
      <c r="K1293" t="n">
        <v>111</v>
      </c>
      <c r="L1293" t="n">
        <v>111</v>
      </c>
    </row>
    <row r="1294">
      <c r="A1294" s="1">
        <f>Hyperlink("https://www.wallsandfloors.co.uk/bal-wall-tile-grout-micromax2-manilla-wall-and-floor-grout","Product")</f>
        <v/>
      </c>
      <c r="B1294" s="1" t="inlineStr">
        <is>
          <t>10782</t>
        </is>
      </c>
      <c r="C1294" s="1" t="inlineStr">
        <is>
          <t>Micromax2 Manilla Wall and Floor Grout</t>
        </is>
      </c>
      <c r="D1294" s="1" t="inlineStr">
        <is>
          <t>2.5 Kg</t>
        </is>
      </c>
      <c r="E1294" s="1" t="n">
        <v>14.95</v>
      </c>
      <c r="F1294" s="1" t="n">
        <v>0</v>
      </c>
      <c r="G1294" s="1" t="inlineStr">
        <is>
          <t>Units</t>
        </is>
      </c>
      <c r="H1294" s="1" t="inlineStr">
        <is>
          <t>Grout</t>
        </is>
      </c>
      <c r="I1294" s="1" t="inlineStr">
        <is>
          <t>-</t>
        </is>
      </c>
      <c r="J1294" t="n">
        <v>9</v>
      </c>
      <c r="K1294" t="n">
        <v>9</v>
      </c>
      <c r="L1294" t="n">
        <v>9</v>
      </c>
    </row>
    <row r="1295">
      <c r="A1295" s="1">
        <f>Hyperlink("https://www.wallsandfloors.co.uk/bal-tile-tools-prep-maintenance-wp1-tape-9256","Product")</f>
        <v/>
      </c>
      <c r="B1295" s="1" t="inlineStr">
        <is>
          <t>9256</t>
        </is>
      </c>
      <c r="C1295" s="1" t="inlineStr">
        <is>
          <t>WP1 Tape</t>
        </is>
      </c>
      <c r="D1295" s="1" t="inlineStr">
        <is>
          <t>5m</t>
        </is>
      </c>
      <c r="E1295" s="1" t="n">
        <v>21.95</v>
      </c>
      <c r="F1295" s="1" t="n">
        <v>0</v>
      </c>
      <c r="G1295" s="1" t="inlineStr">
        <is>
          <t>Units</t>
        </is>
      </c>
      <c r="H1295" s="1" t="inlineStr">
        <is>
          <t>Preparation Products</t>
        </is>
      </c>
      <c r="I1295" s="1" t="inlineStr">
        <is>
          <t>-</t>
        </is>
      </c>
      <c r="J1295" t="n">
        <v>7</v>
      </c>
      <c r="K1295" t="n">
        <v>7</v>
      </c>
      <c r="L1295" t="n">
        <v>7</v>
      </c>
    </row>
    <row r="1296">
      <c r="A1296" s="1">
        <f>Hyperlink("https://www.wallsandfloors.co.uk/bal-tile-tools-prep-maintenance-protective-sealer","Product")</f>
        <v/>
      </c>
      <c r="B1296" s="1" t="inlineStr">
        <is>
          <t>9207</t>
        </is>
      </c>
      <c r="C1296" s="1" t="inlineStr">
        <is>
          <t>Protective Sealer</t>
        </is>
      </c>
      <c r="D1296" s="1" t="inlineStr">
        <is>
          <t>2.5 Ltr</t>
        </is>
      </c>
      <c r="E1296" s="1" t="n">
        <v>25.95</v>
      </c>
      <c r="F1296" s="1" t="n">
        <v>0</v>
      </c>
      <c r="G1296" s="1" t="inlineStr">
        <is>
          <t>Units</t>
        </is>
      </c>
      <c r="H1296" s="1" t="inlineStr">
        <is>
          <t>Preparation Products</t>
        </is>
      </c>
      <c r="I1296" s="1" t="inlineStr">
        <is>
          <t>-</t>
        </is>
      </c>
      <c r="J1296" t="n">
        <v>5</v>
      </c>
      <c r="K1296" t="inlineStr"/>
      <c r="L1296" t="n">
        <v>5</v>
      </c>
    </row>
    <row r="1297">
      <c r="A1297" s="1">
        <f>Hyperlink("https://www.wallsandfloors.co.uk/bal-tile-tools-prep-maintenance-micromax-manilla-wall-and-floor-sealant","Product")</f>
        <v/>
      </c>
      <c r="B1297" s="1" t="inlineStr">
        <is>
          <t>10795</t>
        </is>
      </c>
      <c r="C1297" s="1" t="inlineStr">
        <is>
          <t>Micromax Manilla Wall and Floor Sealant</t>
        </is>
      </c>
      <c r="D1297" s="1" t="inlineStr">
        <is>
          <t>310ml</t>
        </is>
      </c>
      <c r="E1297" s="1" t="n">
        <v>5.95</v>
      </c>
      <c r="F1297" s="1" t="n">
        <v>0</v>
      </c>
      <c r="G1297" s="1" t="inlineStr">
        <is>
          <t>Units</t>
        </is>
      </c>
      <c r="H1297" s="1" t="inlineStr">
        <is>
          <t>Sealers and Protectors</t>
        </is>
      </c>
      <c r="I1297" s="1" t="inlineStr">
        <is>
          <t>-</t>
        </is>
      </c>
      <c r="J1297" t="n">
        <v>21</v>
      </c>
      <c r="K1297" t="n">
        <v>21</v>
      </c>
      <c r="L1297" t="n">
        <v>21</v>
      </c>
    </row>
    <row r="1298">
      <c r="A1298" s="1">
        <f>Hyperlink("https://www.wallsandfloors.co.uk/black-gloss-small-andprg6-538","Product")</f>
        <v/>
      </c>
      <c r="B1298" s="1" t="inlineStr">
        <is>
          <t>538</t>
        </is>
      </c>
      <c r="C1298" s="1" t="inlineStr">
        <is>
          <t>Prismatics Gloss PRG6 Black Wall Tiles</t>
        </is>
      </c>
      <c r="D1298" s="1" t="inlineStr">
        <is>
          <t>100x100x6.5mm</t>
        </is>
      </c>
      <c r="E1298" s="1" t="n">
        <v>54.95</v>
      </c>
      <c r="F1298" s="1" t="n">
        <v>0</v>
      </c>
      <c r="G1298" s="1" t="inlineStr">
        <is>
          <t>SQM</t>
        </is>
      </c>
      <c r="H1298" s="1" t="inlineStr">
        <is>
          <t>Ceramic</t>
        </is>
      </c>
      <c r="I1298" s="1" t="inlineStr">
        <is>
          <t>Gloss</t>
        </is>
      </c>
      <c r="J1298" t="inlineStr"/>
      <c r="K1298" t="inlineStr"/>
      <c r="L1298" t="inlineStr">
        <is>
          <t>In Stock</t>
        </is>
      </c>
    </row>
    <row r="1299">
      <c r="A1299" s="1">
        <f>Hyperlink("https://www.wallsandfloors.co.uk/bal-floor-tile-adhesive-powders-single-part-flexible-grey-tile-adhesive","Product")</f>
        <v/>
      </c>
      <c r="B1299" s="1" t="inlineStr">
        <is>
          <t>9013</t>
        </is>
      </c>
      <c r="C1299" s="1" t="inlineStr">
        <is>
          <t>Single Part Flexible Grey Tile Adhesive</t>
        </is>
      </c>
      <c r="D1299" s="1" t="inlineStr">
        <is>
          <t>20 Kg</t>
        </is>
      </c>
      <c r="E1299" s="1" t="n">
        <v>41.95</v>
      </c>
      <c r="F1299" s="1" t="n">
        <v>0</v>
      </c>
      <c r="G1299" s="1" t="inlineStr">
        <is>
          <t>Units</t>
        </is>
      </c>
      <c r="H1299" s="1" t="inlineStr">
        <is>
          <t>Adhesive</t>
        </is>
      </c>
      <c r="I1299" s="1" t="inlineStr">
        <is>
          <t>-</t>
        </is>
      </c>
      <c r="J1299" t="n">
        <v>2</v>
      </c>
      <c r="K1299" t="n">
        <v>2</v>
      </c>
      <c r="L1299" t="n">
        <v>2</v>
      </c>
    </row>
    <row r="1300">
      <c r="A1300" s="1">
        <f>Hyperlink("https://www.wallsandfloors.co.uk/black-octagon-100mm-tiles","Product")</f>
        <v/>
      </c>
      <c r="B1300" s="1" t="inlineStr">
        <is>
          <t>990296</t>
        </is>
      </c>
      <c r="C1300" s="1" t="inlineStr">
        <is>
          <t>Black Octagon 100mm Tiles</t>
        </is>
      </c>
      <c r="D1300" s="1" t="inlineStr">
        <is>
          <t>100x100x9-10mm</t>
        </is>
      </c>
      <c r="E1300" s="1" t="n">
        <v>2.63</v>
      </c>
      <c r="F1300" s="1" t="n">
        <v>0</v>
      </c>
      <c r="G1300" s="1" t="inlineStr">
        <is>
          <t>SQM</t>
        </is>
      </c>
      <c r="H1300" s="1" t="inlineStr">
        <is>
          <t>Porcelain</t>
        </is>
      </c>
      <c r="I1300" s="1" t="inlineStr">
        <is>
          <t>Matt</t>
        </is>
      </c>
      <c r="J1300" t="n">
        <v>1195</v>
      </c>
      <c r="K1300" t="n">
        <v>1195</v>
      </c>
      <c r="L1300" t="n">
        <v>1195</v>
      </c>
    </row>
    <row r="1301">
      <c r="A1301" s="1">
        <f>Hyperlink("https://www.wallsandfloors.co.uk/black-slate-effect-30x60-tiles","Product")</f>
        <v/>
      </c>
      <c r="B1301" s="1" t="inlineStr">
        <is>
          <t>14695</t>
        </is>
      </c>
      <c r="C1301" s="1" t="inlineStr">
        <is>
          <t>Valley Black Slate Effect Tiles</t>
        </is>
      </c>
      <c r="D1301" s="1" t="inlineStr">
        <is>
          <t>600x300x8mm</t>
        </is>
      </c>
      <c r="E1301" s="1" t="n">
        <v>13.95</v>
      </c>
      <c r="F1301" s="1" t="n">
        <v>0</v>
      </c>
      <c r="G1301" s="1" t="inlineStr">
        <is>
          <t>SQM</t>
        </is>
      </c>
      <c r="H1301" s="1" t="inlineStr">
        <is>
          <t>Porcelain</t>
        </is>
      </c>
      <c r="I1301" s="1" t="inlineStr">
        <is>
          <t>Matt</t>
        </is>
      </c>
      <c r="J1301" t="inlineStr">
        <is>
          <t>Out of Stock</t>
        </is>
      </c>
      <c r="K1301" t="inlineStr">
        <is>
          <t>Out of Stock</t>
        </is>
      </c>
      <c r="L1301" t="inlineStr">
        <is>
          <t>Out of Stock</t>
        </is>
      </c>
    </row>
    <row r="1302">
      <c r="A1302" s="1">
        <f>Hyperlink("https://www.wallsandfloors.co.uk/boccino-crema-wall-floor-tiles","Product")</f>
        <v/>
      </c>
      <c r="B1302" s="1" t="inlineStr">
        <is>
          <t>44480</t>
        </is>
      </c>
      <c r="C1302" s="1" t="inlineStr">
        <is>
          <t>Boccino Crema Wall &amp; Floor Tiles</t>
        </is>
      </c>
      <c r="D1302" s="1" t="inlineStr">
        <is>
          <t>600x300x8.8mm</t>
        </is>
      </c>
      <c r="E1302" s="1" t="n">
        <v>14.95</v>
      </c>
      <c r="F1302" s="1" t="n">
        <v>0</v>
      </c>
      <c r="G1302" s="1" t="inlineStr">
        <is>
          <t>SQM</t>
        </is>
      </c>
      <c r="H1302" s="1" t="inlineStr">
        <is>
          <t>Porcelain</t>
        </is>
      </c>
      <c r="I1302" s="1" t="inlineStr">
        <is>
          <t>Matt</t>
        </is>
      </c>
      <c r="J1302" t="n">
        <v>487</v>
      </c>
      <c r="K1302" t="n">
        <v>487</v>
      </c>
      <c r="L1302" t="n">
        <v>487</v>
      </c>
    </row>
    <row r="1303">
      <c r="A1303" s="1">
        <f>Hyperlink("https://www.wallsandfloors.co.uk/blue-triangle-50x50x70mm-tiles","Product")</f>
        <v/>
      </c>
      <c r="B1303" s="1" t="inlineStr">
        <is>
          <t>990163</t>
        </is>
      </c>
      <c r="C1303" s="1" t="inlineStr">
        <is>
          <t>Blue Triangle Tiles</t>
        </is>
      </c>
      <c r="D1303" s="1" t="inlineStr">
        <is>
          <t>50x50x70mm</t>
        </is>
      </c>
      <c r="E1303" s="1" t="n">
        <v>2.03</v>
      </c>
      <c r="F1303" s="1" t="n">
        <v>0</v>
      </c>
      <c r="G1303" s="1" t="inlineStr">
        <is>
          <t>SQM</t>
        </is>
      </c>
      <c r="H1303" s="1" t="inlineStr">
        <is>
          <t>Porcelain</t>
        </is>
      </c>
      <c r="I1303" s="1" t="inlineStr">
        <is>
          <t>Matt</t>
        </is>
      </c>
      <c r="J1303" t="n">
        <v>495</v>
      </c>
      <c r="K1303" t="n">
        <v>495</v>
      </c>
      <c r="L1303" t="n">
        <v>495</v>
      </c>
    </row>
    <row r="1304">
      <c r="A1304" s="1">
        <f>Hyperlink("https://www.wallsandfloors.co.uk/blue-triangle-35x35x50mm-tiles","Product")</f>
        <v/>
      </c>
      <c r="B1304" s="1" t="inlineStr">
        <is>
          <t>990139</t>
        </is>
      </c>
      <c r="C1304" s="1" t="inlineStr">
        <is>
          <t>Blue Triangle 35x35x50mm Tiles</t>
        </is>
      </c>
      <c r="D1304" s="1" t="inlineStr">
        <is>
          <t>35x35x50mm</t>
        </is>
      </c>
      <c r="E1304" s="1" t="n">
        <v>1.76</v>
      </c>
      <c r="F1304" s="1" t="n">
        <v>0</v>
      </c>
      <c r="G1304" s="1" t="inlineStr">
        <is>
          <t>SQM</t>
        </is>
      </c>
      <c r="H1304" s="1" t="inlineStr">
        <is>
          <t>Porcelain</t>
        </is>
      </c>
      <c r="I1304" s="1" t="inlineStr">
        <is>
          <t>Matt</t>
        </is>
      </c>
      <c r="J1304" t="n">
        <v>1354</v>
      </c>
      <c r="K1304" t="n">
        <v>1354</v>
      </c>
      <c r="L1304" t="n">
        <v>1354</v>
      </c>
    </row>
    <row r="1305">
      <c r="A1305" s="1">
        <f>Hyperlink("https://www.wallsandfloors.co.uk/blue-triangle-100x100x140mm-tiles","Product")</f>
        <v/>
      </c>
      <c r="B1305" s="1" t="inlineStr">
        <is>
          <t>990213</t>
        </is>
      </c>
      <c r="C1305" s="1" t="inlineStr">
        <is>
          <t>Blue Triangle Tiles</t>
        </is>
      </c>
      <c r="D1305" s="1" t="inlineStr">
        <is>
          <t>100x100x140mm</t>
        </is>
      </c>
      <c r="E1305" s="1" t="n">
        <v>4.46</v>
      </c>
      <c r="F1305" s="1" t="n">
        <v>0</v>
      </c>
      <c r="G1305" s="1" t="inlineStr">
        <is>
          <t>SQM</t>
        </is>
      </c>
      <c r="H1305" s="1" t="inlineStr">
        <is>
          <t>Porcelain</t>
        </is>
      </c>
      <c r="I1305" s="1" t="inlineStr">
        <is>
          <t>Matt</t>
        </is>
      </c>
      <c r="J1305" t="inlineStr"/>
      <c r="K1305" t="n">
        <v>62</v>
      </c>
      <c r="L1305" t="n">
        <v>62</v>
      </c>
    </row>
    <row r="1306">
      <c r="A1306" s="1">
        <f>Hyperlink("https://www.wallsandfloors.co.uk/blue-strip-150x50mm-tiles","Product")</f>
        <v/>
      </c>
      <c r="B1306" s="1" t="inlineStr">
        <is>
          <t>990263</t>
        </is>
      </c>
      <c r="C1306" s="1" t="inlineStr">
        <is>
          <t>Blue Strip Tiles</t>
        </is>
      </c>
      <c r="D1306" s="1" t="inlineStr">
        <is>
          <t>150x50x9-10mm</t>
        </is>
      </c>
      <c r="E1306" s="1" t="n">
        <v>3.2</v>
      </c>
      <c r="F1306" s="1" t="n">
        <v>0</v>
      </c>
      <c r="G1306" s="1" t="inlineStr">
        <is>
          <t>SQM</t>
        </is>
      </c>
      <c r="H1306" s="1" t="inlineStr">
        <is>
          <t>Porcelain</t>
        </is>
      </c>
      <c r="I1306" s="1" t="inlineStr">
        <is>
          <t>Matt</t>
        </is>
      </c>
      <c r="J1306" t="n">
        <v>28</v>
      </c>
      <c r="K1306" t="n">
        <v>28</v>
      </c>
      <c r="L1306" t="n">
        <v>28</v>
      </c>
    </row>
    <row r="1307">
      <c r="A1307" s="1">
        <f>Hyperlink("https://www.wallsandfloors.co.uk/blue-squares-70mm-tiles","Product")</f>
        <v/>
      </c>
      <c r="B1307" s="1" t="inlineStr">
        <is>
          <t>990053</t>
        </is>
      </c>
      <c r="C1307" s="1" t="inlineStr">
        <is>
          <t>Blue Squares 70mm Tiles</t>
        </is>
      </c>
      <c r="D1307" s="1" t="inlineStr">
        <is>
          <t>70x70x9-10mm</t>
        </is>
      </c>
      <c r="E1307" s="1" t="n">
        <v>1.3</v>
      </c>
      <c r="F1307" s="1" t="n">
        <v>0</v>
      </c>
      <c r="G1307" s="1" t="inlineStr">
        <is>
          <t>SQM</t>
        </is>
      </c>
      <c r="H1307" s="1" t="inlineStr">
        <is>
          <t>Porcelain</t>
        </is>
      </c>
      <c r="I1307" s="1" t="inlineStr">
        <is>
          <t>Matt</t>
        </is>
      </c>
      <c r="J1307" t="n">
        <v>398</v>
      </c>
      <c r="K1307" t="n">
        <v>398</v>
      </c>
      <c r="L1307" t="n">
        <v>398</v>
      </c>
    </row>
    <row r="1308">
      <c r="A1308" s="1">
        <f>Hyperlink("https://www.wallsandfloors.co.uk/blue-squares-50mm-tiles","Product")</f>
        <v/>
      </c>
      <c r="B1308" s="1" t="inlineStr">
        <is>
          <t>990078</t>
        </is>
      </c>
      <c r="C1308" s="1" t="inlineStr">
        <is>
          <t>Blue Squares 50mm Tiles</t>
        </is>
      </c>
      <c r="D1308" s="1" t="inlineStr">
        <is>
          <t>50x50x9-10mm</t>
        </is>
      </c>
      <c r="E1308" s="1" t="n">
        <v>1.3</v>
      </c>
      <c r="F1308" s="1" t="n">
        <v>0</v>
      </c>
      <c r="G1308" s="1" t="inlineStr">
        <is>
          <t>SQM</t>
        </is>
      </c>
      <c r="H1308" s="1" t="inlineStr">
        <is>
          <t>Porcelain</t>
        </is>
      </c>
      <c r="I1308" s="1" t="inlineStr">
        <is>
          <t>Matt</t>
        </is>
      </c>
      <c r="J1308" t="n">
        <v>2622</v>
      </c>
      <c r="K1308" t="n">
        <v>2622</v>
      </c>
      <c r="L1308" t="n">
        <v>2622</v>
      </c>
    </row>
    <row r="1309">
      <c r="A1309" s="1">
        <f>Hyperlink("https://www.wallsandfloors.co.uk/blue-squares-35mm-tiles","Product")</f>
        <v/>
      </c>
      <c r="B1309" s="1" t="inlineStr">
        <is>
          <t>990103</t>
        </is>
      </c>
      <c r="C1309" s="1" t="inlineStr">
        <is>
          <t>Blue Squares 35mm Tiles</t>
        </is>
      </c>
      <c r="D1309" s="1" t="inlineStr">
        <is>
          <t>35x35x9-10mm</t>
        </is>
      </c>
      <c r="E1309" s="1" t="n">
        <v>0.52</v>
      </c>
      <c r="F1309" s="1" t="n">
        <v>0</v>
      </c>
      <c r="G1309" s="1" t="inlineStr">
        <is>
          <t>SQM</t>
        </is>
      </c>
      <c r="H1309" s="1" t="inlineStr">
        <is>
          <t>Porcelain</t>
        </is>
      </c>
      <c r="I1309" s="1" t="inlineStr">
        <is>
          <t>Matt</t>
        </is>
      </c>
      <c r="J1309" t="n">
        <v>537</v>
      </c>
      <c r="K1309" t="n">
        <v>537</v>
      </c>
      <c r="L1309" t="n">
        <v>537</v>
      </c>
    </row>
    <row r="1310">
      <c r="A1310" s="1">
        <f>Hyperlink("https://www.wallsandfloors.co.uk/blue-square-natural-tiles","Product")</f>
        <v/>
      </c>
      <c r="B1310" s="1" t="inlineStr">
        <is>
          <t>44016</t>
        </is>
      </c>
      <c r="C1310" s="1" t="inlineStr">
        <is>
          <t>Ritz Blue Square Natural Geometric Pattern Tiles</t>
        </is>
      </c>
      <c r="D1310" s="1" t="inlineStr">
        <is>
          <t>200x200x8.5mm</t>
        </is>
      </c>
      <c r="E1310" s="1" t="n">
        <v>40.95</v>
      </c>
      <c r="F1310" s="1" t="n">
        <v>0</v>
      </c>
      <c r="G1310" s="1" t="inlineStr">
        <is>
          <t>SQM</t>
        </is>
      </c>
      <c r="H1310" s="1" t="inlineStr">
        <is>
          <t>Porcelain</t>
        </is>
      </c>
      <c r="I1310" s="1" t="inlineStr">
        <is>
          <t>Matt</t>
        </is>
      </c>
      <c r="J1310" t="inlineStr">
        <is>
          <t>In Stock</t>
        </is>
      </c>
      <c r="K1310" t="inlineStr">
        <is>
          <t>In Stock</t>
        </is>
      </c>
      <c r="L1310" t="inlineStr">
        <is>
          <t>In Stock</t>
        </is>
      </c>
    </row>
    <row r="1311">
      <c r="A1311" s="1">
        <f>Hyperlink("https://www.wallsandfloors.co.uk/blue-octagon-150mm-tiles","Product")</f>
        <v/>
      </c>
      <c r="B1311" s="1" t="inlineStr">
        <is>
          <t>990127</t>
        </is>
      </c>
      <c r="C1311" s="1" t="inlineStr">
        <is>
          <t>Blue Octagon Tiles</t>
        </is>
      </c>
      <c r="D1311" s="1" t="inlineStr">
        <is>
          <t>150x150x9-10mm</t>
        </is>
      </c>
      <c r="E1311" s="1" t="n">
        <v>2.66</v>
      </c>
      <c r="F1311" s="1" t="n">
        <v>0</v>
      </c>
      <c r="G1311" s="1" t="inlineStr">
        <is>
          <t>SQM</t>
        </is>
      </c>
      <c r="H1311" s="1" t="inlineStr">
        <is>
          <t>Porcelain</t>
        </is>
      </c>
      <c r="I1311" s="1" t="inlineStr">
        <is>
          <t>Matt</t>
        </is>
      </c>
      <c r="J1311" t="inlineStr"/>
      <c r="K1311" t="n">
        <v>422</v>
      </c>
      <c r="L1311" t="n">
        <v>422</v>
      </c>
    </row>
    <row r="1312">
      <c r="A1312" s="1">
        <f>Hyperlink("https://www.wallsandfloors.co.uk/bliss-linear-opal-gloss-decor-tiles","Product")</f>
        <v/>
      </c>
      <c r="B1312" s="1" t="inlineStr">
        <is>
          <t>38440</t>
        </is>
      </c>
      <c r="C1312" s="1" t="inlineStr">
        <is>
          <t>Bliss Linear Opal Gloss Decor Tiles</t>
        </is>
      </c>
      <c r="D1312" s="1" t="inlineStr">
        <is>
          <t>900x300x10.4mm</t>
        </is>
      </c>
      <c r="E1312" s="1" t="n">
        <v>29.95</v>
      </c>
      <c r="F1312" s="1" t="n">
        <v>0</v>
      </c>
      <c r="G1312" s="1" t="inlineStr"/>
      <c r="H1312" s="1" t="inlineStr">
        <is>
          <t>Ceramic</t>
        </is>
      </c>
      <c r="I1312" s="1" t="inlineStr">
        <is>
          <t>Gloss</t>
        </is>
      </c>
      <c r="J1312" t="inlineStr">
        <is>
          <t>In Stock</t>
        </is>
      </c>
      <c r="K1312" t="inlineStr">
        <is>
          <t>In Stock</t>
        </is>
      </c>
      <c r="L1312" t="inlineStr">
        <is>
          <t>In Stock</t>
        </is>
      </c>
    </row>
    <row r="1313">
      <c r="A1313" s="1">
        <f>Hyperlink("https://www.wallsandfloors.co.uk/blengdale-natural-wood-effect-tiles","Product")</f>
        <v/>
      </c>
      <c r="B1313" s="1" t="inlineStr">
        <is>
          <t>41844</t>
        </is>
      </c>
      <c r="C1313" s="1" t="inlineStr">
        <is>
          <t>Blengdale Natural Wood Effect Tiles</t>
        </is>
      </c>
      <c r="D1313" s="1" t="inlineStr">
        <is>
          <t>1195x225x8.7mm</t>
        </is>
      </c>
      <c r="E1313" s="1" t="n">
        <v>27.95</v>
      </c>
      <c r="F1313" s="1" t="n">
        <v>0</v>
      </c>
      <c r="G1313" s="1" t="inlineStr"/>
      <c r="H1313" s="1" t="inlineStr">
        <is>
          <t>Porcelain</t>
        </is>
      </c>
      <c r="I1313" s="1" t="inlineStr">
        <is>
          <t>Matt</t>
        </is>
      </c>
      <c r="J1313" t="inlineStr">
        <is>
          <t>Out of Stock</t>
        </is>
      </c>
      <c r="K1313" t="inlineStr">
        <is>
          <t>Out of Stock</t>
        </is>
      </c>
      <c r="L1313" t="inlineStr">
        <is>
          <t>Out of Stock</t>
        </is>
      </c>
    </row>
    <row r="1314">
      <c r="A1314" s="1">
        <f>Hyperlink("https://www.wallsandfloors.co.uk/blengdale-haya-wood-effect-tiles","Product")</f>
        <v/>
      </c>
      <c r="B1314" s="1" t="inlineStr">
        <is>
          <t>41843</t>
        </is>
      </c>
      <c r="C1314" s="1" t="inlineStr">
        <is>
          <t>Blengdale Haya Wood Effect Tiles</t>
        </is>
      </c>
      <c r="D1314" s="1" t="inlineStr">
        <is>
          <t>1195x225x8.7mm</t>
        </is>
      </c>
      <c r="E1314" s="1" t="n">
        <v>27.95</v>
      </c>
      <c r="F1314" s="1" t="n">
        <v>0</v>
      </c>
      <c r="G1314" s="1" t="inlineStr">
        <is>
          <t>SQM</t>
        </is>
      </c>
      <c r="H1314" s="1" t="inlineStr">
        <is>
          <t>Porcelain</t>
        </is>
      </c>
      <c r="I1314" s="1" t="inlineStr">
        <is>
          <t>Matt</t>
        </is>
      </c>
      <c r="J1314" t="n">
        <v>168</v>
      </c>
      <c r="K1314" t="n">
        <v>168</v>
      </c>
      <c r="L1314" t="n">
        <v>168</v>
      </c>
    </row>
    <row r="1315">
      <c r="A1315" s="1">
        <f>Hyperlink("https://www.wallsandfloors.co.uk/blengdale-gris-wood-effect-tiles","Product")</f>
        <v/>
      </c>
      <c r="B1315" s="1" t="inlineStr">
        <is>
          <t>41842</t>
        </is>
      </c>
      <c r="C1315" s="1" t="inlineStr">
        <is>
          <t>Blengdale Gris Wood Effect Tiles</t>
        </is>
      </c>
      <c r="D1315" s="1" t="inlineStr">
        <is>
          <t>1195x225x8.7mm</t>
        </is>
      </c>
      <c r="E1315" s="1" t="n">
        <v>27.95</v>
      </c>
      <c r="F1315" s="1" t="n">
        <v>0</v>
      </c>
      <c r="G1315" s="1" t="inlineStr">
        <is>
          <t>SQM</t>
        </is>
      </c>
      <c r="H1315" s="1" t="inlineStr">
        <is>
          <t>Porcelain</t>
        </is>
      </c>
      <c r="I1315" s="1" t="inlineStr">
        <is>
          <t>Matt</t>
        </is>
      </c>
      <c r="J1315" t="n">
        <v>310</v>
      </c>
      <c r="K1315" t="n">
        <v>310</v>
      </c>
      <c r="L1315" t="n">
        <v>310</v>
      </c>
    </row>
    <row r="1316">
      <c r="A1316" s="1">
        <f>Hyperlink("https://www.wallsandfloors.co.uk/blengdale-cerezo-wood-effect-tiles-53117","Product")</f>
        <v/>
      </c>
      <c r="B1316" s="1" t="inlineStr">
        <is>
          <t>41841</t>
        </is>
      </c>
      <c r="C1316" s="1" t="inlineStr">
        <is>
          <t>Blengdale Cerezo Wood Effect Tiles</t>
        </is>
      </c>
      <c r="D1316" s="1" t="inlineStr">
        <is>
          <t>1195x225x8.7mm</t>
        </is>
      </c>
      <c r="E1316" s="1" t="n">
        <v>27.95</v>
      </c>
      <c r="F1316" s="1" t="n">
        <v>0</v>
      </c>
      <c r="G1316" s="1" t="inlineStr">
        <is>
          <t>SQM</t>
        </is>
      </c>
      <c r="H1316" s="1" t="inlineStr">
        <is>
          <t>Porcelain</t>
        </is>
      </c>
      <c r="I1316" s="1" t="inlineStr">
        <is>
          <t>Matt</t>
        </is>
      </c>
      <c r="J1316" t="inlineStr"/>
      <c r="K1316" t="inlineStr"/>
      <c r="L1316" t="n">
        <v>378</v>
      </c>
    </row>
    <row r="1317">
      <c r="A1317" s="1">
        <f>Hyperlink("https://www.wallsandfloors.co.uk/blengdale-arce-wood-effect-tiles","Product")</f>
        <v/>
      </c>
      <c r="B1317" s="1" t="inlineStr">
        <is>
          <t>41840</t>
        </is>
      </c>
      <c r="C1317" s="1" t="inlineStr">
        <is>
          <t>Blengdale Arce Wood Effect Tiles</t>
        </is>
      </c>
      <c r="D1317" s="1" t="inlineStr">
        <is>
          <t>225x1195x8.7mm</t>
        </is>
      </c>
      <c r="E1317" s="1" t="n">
        <v>27.95</v>
      </c>
      <c r="F1317" s="1" t="n">
        <v>0</v>
      </c>
      <c r="G1317" s="1" t="inlineStr">
        <is>
          <t>SQM</t>
        </is>
      </c>
      <c r="H1317" s="1" t="inlineStr">
        <is>
          <t>Porcelain</t>
        </is>
      </c>
      <c r="I1317" s="1" t="inlineStr">
        <is>
          <t>Matt</t>
        </is>
      </c>
      <c r="J1317" t="inlineStr">
        <is>
          <t>Out of Stock</t>
        </is>
      </c>
      <c r="K1317" t="inlineStr"/>
      <c r="L1317" t="inlineStr">
        <is>
          <t>Out of Stock</t>
        </is>
      </c>
    </row>
    <row r="1318">
      <c r="A1318" s="1">
        <f>Hyperlink("https://www.wallsandfloors.co.uk/blackheath-matt-black-metro-tiles-150x75","Product")</f>
        <v/>
      </c>
      <c r="B1318" s="1" t="inlineStr">
        <is>
          <t>11244</t>
        </is>
      </c>
      <c r="C1318" s="1" t="inlineStr">
        <is>
          <t>Blackheath Matt Black Mini Metro Tiles</t>
        </is>
      </c>
      <c r="D1318" s="1" t="inlineStr">
        <is>
          <t>150x75x7mm</t>
        </is>
      </c>
      <c r="E1318" s="1" t="n">
        <v>25.95</v>
      </c>
      <c r="F1318" s="1" t="n">
        <v>0</v>
      </c>
      <c r="G1318" s="1" t="inlineStr">
        <is>
          <t>SQM</t>
        </is>
      </c>
      <c r="H1318" s="1" t="inlineStr">
        <is>
          <t>Ceramic</t>
        </is>
      </c>
      <c r="I1318" s="1" t="inlineStr">
        <is>
          <t>Matt</t>
        </is>
      </c>
      <c r="J1318" t="inlineStr">
        <is>
          <t>In Stock</t>
        </is>
      </c>
      <c r="K1318" t="inlineStr">
        <is>
          <t>In Stock</t>
        </is>
      </c>
      <c r="L1318" t="inlineStr">
        <is>
          <t>In Stock</t>
        </is>
      </c>
    </row>
    <row r="1319">
      <c r="A1319" s="1">
        <f>Hyperlink("https://www.wallsandfloors.co.uk/black-triangle-70x70x100mm-tiles","Product")</f>
        <v/>
      </c>
      <c r="B1319" s="1" t="inlineStr">
        <is>
          <t>990187</t>
        </is>
      </c>
      <c r="C1319" s="1" t="inlineStr">
        <is>
          <t>Black Triangle 70x70x100mm Tiles</t>
        </is>
      </c>
      <c r="D1319" s="1" t="inlineStr">
        <is>
          <t>70x70x100mm</t>
        </is>
      </c>
      <c r="E1319" s="1" t="n">
        <v>1.63</v>
      </c>
      <c r="F1319" s="1" t="n">
        <v>0</v>
      </c>
      <c r="G1319" s="1" t="inlineStr">
        <is>
          <t>SQM</t>
        </is>
      </c>
      <c r="H1319" s="1" t="inlineStr">
        <is>
          <t>Porcelain</t>
        </is>
      </c>
      <c r="I1319" s="1" t="inlineStr">
        <is>
          <t>Matt</t>
        </is>
      </c>
      <c r="J1319" t="n">
        <v>181</v>
      </c>
      <c r="K1319" t="n">
        <v>181</v>
      </c>
      <c r="L1319" t="n">
        <v>181</v>
      </c>
    </row>
    <row r="1320">
      <c r="A1320" s="1">
        <f>Hyperlink("https://www.wallsandfloors.co.uk/black-triangle-35x35x50mm-tiles","Product")</f>
        <v/>
      </c>
      <c r="B1320" s="1" t="inlineStr">
        <is>
          <t>990138</t>
        </is>
      </c>
      <c r="C1320" s="1" t="inlineStr">
        <is>
          <t>Black Triangle 35x35x50mm Tiles</t>
        </is>
      </c>
      <c r="D1320" s="1" t="inlineStr">
        <is>
          <t>35x35x50mm</t>
        </is>
      </c>
      <c r="E1320" s="1" t="n">
        <v>1.13</v>
      </c>
      <c r="F1320" s="1" t="n">
        <v>0</v>
      </c>
      <c r="G1320" s="1" t="inlineStr">
        <is>
          <t>SQM</t>
        </is>
      </c>
      <c r="H1320" s="1" t="inlineStr">
        <is>
          <t>Porcelain</t>
        </is>
      </c>
      <c r="I1320" s="1" t="inlineStr">
        <is>
          <t>Matt</t>
        </is>
      </c>
      <c r="J1320" t="n">
        <v>294</v>
      </c>
      <c r="K1320" t="n">
        <v>294</v>
      </c>
      <c r="L1320" t="n">
        <v>294</v>
      </c>
    </row>
    <row r="1321">
      <c r="A1321" s="1">
        <f>Hyperlink("https://www.wallsandfloors.co.uk/black-triangle-100x100x140mm-tiles","Product")</f>
        <v/>
      </c>
      <c r="B1321" s="1" t="inlineStr">
        <is>
          <t>990212</t>
        </is>
      </c>
      <c r="C1321" s="1" t="inlineStr">
        <is>
          <t>Black Triangle Tiles</t>
        </is>
      </c>
      <c r="D1321" s="1" t="inlineStr">
        <is>
          <t>100x100x140mm</t>
        </is>
      </c>
      <c r="E1321" s="1" t="n">
        <v>3.38</v>
      </c>
      <c r="F1321" s="1" t="n">
        <v>0</v>
      </c>
      <c r="G1321" s="1" t="inlineStr">
        <is>
          <t>SQM</t>
        </is>
      </c>
      <c r="H1321" s="1" t="inlineStr">
        <is>
          <t>Porcelain</t>
        </is>
      </c>
      <c r="I1321" s="1" t="inlineStr">
        <is>
          <t>Matt</t>
        </is>
      </c>
      <c r="J1321" t="inlineStr"/>
      <c r="K1321" t="n">
        <v>170</v>
      </c>
      <c r="L1321" t="n">
        <v>170</v>
      </c>
    </row>
    <row r="1322">
      <c r="A1322" s="1">
        <f>Hyperlink("https://www.wallsandfloors.co.uk/black-tiles-black-tiles","Product")</f>
        <v/>
      </c>
      <c r="B1322" s="1" t="inlineStr">
        <is>
          <t>12606</t>
        </is>
      </c>
      <c r="C1322" s="1" t="inlineStr">
        <is>
          <t>Metalico Black Linear Tiles</t>
        </is>
      </c>
      <c r="D1322" s="1" t="inlineStr">
        <is>
          <t>600x300x8.5mm</t>
        </is>
      </c>
      <c r="E1322" s="1" t="n">
        <v>20.95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115</v>
      </c>
      <c r="K1322" t="n">
        <v>115</v>
      </c>
      <c r="L1322" t="n">
        <v>115</v>
      </c>
    </row>
    <row r="1323">
      <c r="A1323" s="1">
        <f>Hyperlink("https://www.wallsandfloors.co.uk/black-squares-70mm-tiles","Product")</f>
        <v/>
      </c>
      <c r="B1323" s="1" t="inlineStr">
        <is>
          <t>990052</t>
        </is>
      </c>
      <c r="C1323" s="1" t="inlineStr">
        <is>
          <t>Black Squares 70mm Tiles</t>
        </is>
      </c>
      <c r="D1323" s="1" t="inlineStr">
        <is>
          <t>70x70x9-10mm</t>
        </is>
      </c>
      <c r="E1323" s="1" t="n">
        <v>1.5</v>
      </c>
      <c r="F1323" s="1" t="n">
        <v>0</v>
      </c>
      <c r="G1323" s="1" t="inlineStr">
        <is>
          <t>Tile</t>
        </is>
      </c>
      <c r="H1323" s="1" t="inlineStr">
        <is>
          <t>Porcelain</t>
        </is>
      </c>
      <c r="I1323" s="1" t="inlineStr">
        <is>
          <t>Matt</t>
        </is>
      </c>
      <c r="J1323" t="inlineStr"/>
      <c r="K1323" t="inlineStr">
        <is>
          <t>In Stock</t>
        </is>
      </c>
      <c r="L1323" t="inlineStr">
        <is>
          <t>In Stock</t>
        </is>
      </c>
    </row>
    <row r="1324">
      <c r="A1324" s="1">
        <f>Hyperlink("https://www.wallsandfloors.co.uk/black-squares-35mm-tiles","Product")</f>
        <v/>
      </c>
      <c r="B1324" s="1" t="inlineStr">
        <is>
          <t>990102</t>
        </is>
      </c>
      <c r="C1324" s="1" t="inlineStr">
        <is>
          <t>Black Squares 35mm Tiles</t>
        </is>
      </c>
      <c r="D1324" s="1" t="inlineStr">
        <is>
          <t>35x35x9-10mm</t>
        </is>
      </c>
      <c r="E1324" s="1" t="n">
        <v>2.95</v>
      </c>
      <c r="F1324" s="1" t="n">
        <v>0</v>
      </c>
      <c r="G1324" s="1" t="inlineStr">
        <is>
          <t>Tile</t>
        </is>
      </c>
      <c r="H1324" s="1" t="inlineStr">
        <is>
          <t>Porcelain</t>
        </is>
      </c>
      <c r="I1324" s="1" t="inlineStr">
        <is>
          <t>Matt</t>
        </is>
      </c>
      <c r="J1324" t="inlineStr">
        <is>
          <t>In Stock</t>
        </is>
      </c>
      <c r="K1324" t="inlineStr">
        <is>
          <t>In Stock</t>
        </is>
      </c>
      <c r="L1324" t="inlineStr">
        <is>
          <t>In Stock</t>
        </is>
      </c>
    </row>
    <row r="1325">
      <c r="A1325" s="1">
        <f>Hyperlink("https://www.wallsandfloors.co.uk/black-octagon-150mm-tiles","Product")</f>
        <v/>
      </c>
      <c r="B1325" s="1" t="inlineStr">
        <is>
          <t>990126</t>
        </is>
      </c>
      <c r="C1325" s="1" t="inlineStr">
        <is>
          <t>Black Octagon Tiles</t>
        </is>
      </c>
      <c r="D1325" s="1" t="inlineStr">
        <is>
          <t>150x150x9-10mm</t>
        </is>
      </c>
      <c r="E1325" s="1" t="n">
        <v>2.95</v>
      </c>
      <c r="F1325" s="1" t="n">
        <v>0</v>
      </c>
      <c r="G1325" s="1" t="inlineStr">
        <is>
          <t>Tile</t>
        </is>
      </c>
      <c r="H1325" s="1" t="inlineStr">
        <is>
          <t>Porcelain</t>
        </is>
      </c>
      <c r="I1325" s="1" t="inlineStr">
        <is>
          <t>Matt</t>
        </is>
      </c>
      <c r="J1325" t="inlineStr">
        <is>
          <t>In Stock</t>
        </is>
      </c>
      <c r="K1325" t="inlineStr">
        <is>
          <t>In Stock</t>
        </is>
      </c>
      <c r="L1325" t="inlineStr">
        <is>
          <t>In Stock</t>
        </is>
      </c>
    </row>
    <row r="1326">
      <c r="A1326" s="1">
        <f>Hyperlink("https://www.wallsandfloors.co.uk/easy-gres-drill-bit-7-32-6-mm-set","Product")</f>
        <v/>
      </c>
      <c r="B1326" s="1" t="inlineStr">
        <is>
          <t>40410</t>
        </is>
      </c>
      <c r="C1326" s="1" t="inlineStr">
        <is>
          <t>EASYGRES Drill Bit 6mm Kit</t>
        </is>
      </c>
      <c r="D1326" s="1" t="inlineStr">
        <is>
          <t>6mm</t>
        </is>
      </c>
      <c r="E1326" s="1" t="n">
        <v>11.45</v>
      </c>
      <c r="F1326" s="1" t="n">
        <v>0</v>
      </c>
      <c r="G1326" s="1" t="inlineStr">
        <is>
          <t>Unit</t>
        </is>
      </c>
      <c r="H1326" s="1" t="inlineStr">
        <is>
          <t>Accessories</t>
        </is>
      </c>
      <c r="I1326" s="1" t="inlineStr">
        <is>
          <t>-</t>
        </is>
      </c>
      <c r="J1326" t="inlineStr"/>
      <c r="K1326" t="inlineStr"/>
      <c r="L1326" t="inlineStr">
        <is>
          <t>In Stock</t>
        </is>
      </c>
    </row>
    <row r="1327">
      <c r="A1327" s="1">
        <f>Hyperlink("https://www.wallsandfloors.co.uk/bal-floor-tile-adhesive-powders-single-part-fastflex-grey-tile-adhesive","Product")</f>
        <v/>
      </c>
      <c r="B1327" s="1" t="inlineStr">
        <is>
          <t>9832</t>
        </is>
      </c>
      <c r="C1327" s="1" t="inlineStr">
        <is>
          <t>Single Part Fastflex Grey Tile Adhesive</t>
        </is>
      </c>
      <c r="D1327" s="1" t="inlineStr">
        <is>
          <t>12.5 Kg</t>
        </is>
      </c>
      <c r="E1327" s="1" t="n">
        <v>72.95</v>
      </c>
      <c r="F1327" s="1" t="n">
        <v>0</v>
      </c>
      <c r="G1327" s="1" t="inlineStr">
        <is>
          <t>Units</t>
        </is>
      </c>
      <c r="H1327" s="1" t="inlineStr">
        <is>
          <t>Adhesive</t>
        </is>
      </c>
      <c r="I1327" s="1" t="inlineStr">
        <is>
          <t>-</t>
        </is>
      </c>
      <c r="J1327" t="n">
        <v>7</v>
      </c>
      <c r="K1327" t="n">
        <v>7</v>
      </c>
      <c r="L1327" t="n">
        <v>7</v>
      </c>
    </row>
    <row r="1328">
      <c r="A1328" s="1">
        <f>Hyperlink("https://www.wallsandfloors.co.uk/azulejo-tiles-azulejo-monotone-pattern-tiles","Product")</f>
        <v/>
      </c>
      <c r="B1328" s="1" t="inlineStr">
        <is>
          <t>12379</t>
        </is>
      </c>
      <c r="C1328" s="1" t="inlineStr">
        <is>
          <t>Azulejo Monotone Pattern Tiles</t>
        </is>
      </c>
      <c r="D1328" s="1" t="inlineStr">
        <is>
          <t>442x442x10mm</t>
        </is>
      </c>
      <c r="E1328" s="1" t="n">
        <v>30.95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inlineStr">
        <is>
          <t>In Stock</t>
        </is>
      </c>
      <c r="K1328" t="inlineStr">
        <is>
          <t>In Stock</t>
        </is>
      </c>
      <c r="L1328" t="inlineStr">
        <is>
          <t>In Stock</t>
        </is>
      </c>
    </row>
    <row r="1329">
      <c r="A1329" s="1">
        <f>Hyperlink("https://www.wallsandfloors.co.uk/aragon-terracotta-red-quarry-tiles-skirting-quarry-150-tiles","Product")</f>
        <v/>
      </c>
      <c r="B1329" s="1" t="inlineStr">
        <is>
          <t>11517</t>
        </is>
      </c>
      <c r="C1329" s="1" t="inlineStr">
        <is>
          <t>Aragon Red Quarry Skirting Tiles</t>
        </is>
      </c>
      <c r="D1329" s="1" t="inlineStr">
        <is>
          <t>115x150x12mm</t>
        </is>
      </c>
      <c r="E1329" s="1" t="n">
        <v>5.95</v>
      </c>
      <c r="F1329" s="1" t="n">
        <v>0</v>
      </c>
      <c r="G1329" s="1" t="inlineStr">
        <is>
          <t>Tile</t>
        </is>
      </c>
      <c r="H1329" s="1" t="inlineStr">
        <is>
          <t>Clay</t>
        </is>
      </c>
      <c r="I1329" s="1" t="inlineStr">
        <is>
          <t>Matt</t>
        </is>
      </c>
      <c r="J1329" t="inlineStr">
        <is>
          <t>In Stock</t>
        </is>
      </c>
      <c r="K1329" t="inlineStr">
        <is>
          <t>In Stock</t>
        </is>
      </c>
      <c r="L1329" t="inlineStr">
        <is>
          <t>In Stock</t>
        </is>
      </c>
    </row>
    <row r="1330">
      <c r="A1330" s="1">
        <f>Hyperlink("https://www.wallsandfloors.co.uk/aragon-terracotta-red-quarry-tiles-r-e-x-20x20-tiles","Product")</f>
        <v/>
      </c>
      <c r="B1330" s="1" t="inlineStr">
        <is>
          <t>13718</t>
        </is>
      </c>
      <c r="C1330" s="1" t="inlineStr">
        <is>
          <t>Aragon R.E.X Red Quarry Tiles</t>
        </is>
      </c>
      <c r="D1330" s="1" t="inlineStr">
        <is>
          <t>200x200x12mm</t>
        </is>
      </c>
      <c r="E1330" s="1" t="n">
        <v>9.949999999999999</v>
      </c>
      <c r="F1330" s="1" t="n">
        <v>0</v>
      </c>
      <c r="G1330" s="1" t="inlineStr">
        <is>
          <t>Tile</t>
        </is>
      </c>
      <c r="H1330" s="1" t="inlineStr">
        <is>
          <t>Clay</t>
        </is>
      </c>
      <c r="I1330" s="1" t="inlineStr">
        <is>
          <t>Matt</t>
        </is>
      </c>
      <c r="J1330" t="inlineStr">
        <is>
          <t>In Stock</t>
        </is>
      </c>
      <c r="K1330" t="inlineStr">
        <is>
          <t>In Stock</t>
        </is>
      </c>
      <c r="L1330" t="inlineStr">
        <is>
          <t>In Stock</t>
        </is>
      </c>
    </row>
    <row r="1331">
      <c r="A1331" s="1">
        <f>Hyperlink("https://www.wallsandfloors.co.uk/aragon-terracotta-red-quarry-tiles-r-e-x-15x15-tiles","Product")</f>
        <v/>
      </c>
      <c r="B1331" s="1" t="inlineStr">
        <is>
          <t>11516</t>
        </is>
      </c>
      <c r="C1331" s="1" t="inlineStr">
        <is>
          <t>Aragon Terracotta Red Quarry R.E.X Tiles</t>
        </is>
      </c>
      <c r="D1331" s="1" t="inlineStr">
        <is>
          <t>150x150x12mm</t>
        </is>
      </c>
      <c r="E1331" s="1" t="n">
        <v>9.949999999999999</v>
      </c>
      <c r="F1331" s="1" t="n">
        <v>0</v>
      </c>
      <c r="G1331" s="1" t="inlineStr">
        <is>
          <t>Tile</t>
        </is>
      </c>
      <c r="H1331" s="1" t="inlineStr">
        <is>
          <t>Clay</t>
        </is>
      </c>
      <c r="I1331" s="1" t="inlineStr">
        <is>
          <t>Matt</t>
        </is>
      </c>
      <c r="J1331" t="inlineStr">
        <is>
          <t>In Stock</t>
        </is>
      </c>
      <c r="K1331" t="inlineStr">
        <is>
          <t>In Stock</t>
        </is>
      </c>
      <c r="L1331" t="inlineStr">
        <is>
          <t>In Stock</t>
        </is>
      </c>
    </row>
    <row r="1332">
      <c r="A1332" s="1">
        <f>Hyperlink("https://www.wallsandfloors.co.uk/aragon-terracotta-red-quarry-tiles-r-e-20x20-tiles","Product")</f>
        <v/>
      </c>
      <c r="B1332" s="1" t="inlineStr">
        <is>
          <t>13717</t>
        </is>
      </c>
      <c r="C1332" s="1" t="inlineStr">
        <is>
          <t>Aragon R.E Red Quarry Tiles</t>
        </is>
      </c>
      <c r="D1332" s="1" t="inlineStr">
        <is>
          <t>200x200x12mm</t>
        </is>
      </c>
      <c r="E1332" s="1" t="n">
        <v>4.75</v>
      </c>
      <c r="F1332" s="1" t="n">
        <v>0</v>
      </c>
      <c r="G1332" s="1" t="inlineStr">
        <is>
          <t>Tile</t>
        </is>
      </c>
      <c r="H1332" s="1" t="inlineStr">
        <is>
          <t>Clay</t>
        </is>
      </c>
      <c r="I1332" s="1" t="inlineStr">
        <is>
          <t>Matt</t>
        </is>
      </c>
      <c r="J1332" t="inlineStr">
        <is>
          <t>In Stock</t>
        </is>
      </c>
      <c r="K1332" t="inlineStr">
        <is>
          <t>In Stock</t>
        </is>
      </c>
      <c r="L1332" t="inlineStr">
        <is>
          <t>In Stock</t>
        </is>
      </c>
    </row>
    <row r="1333">
      <c r="A1333" s="1">
        <f>Hyperlink("https://www.wallsandfloors.co.uk/aragon-terracotta-red-quarry-tiles-r-e-15x15-tiles","Product")</f>
        <v/>
      </c>
      <c r="B1333" s="1" t="inlineStr">
        <is>
          <t>11513</t>
        </is>
      </c>
      <c r="C1333" s="1" t="inlineStr">
        <is>
          <t>Aragon Terracotta R.E Red Quarry Tile</t>
        </is>
      </c>
      <c r="D1333" s="1" t="inlineStr">
        <is>
          <t>150x150x12mm</t>
        </is>
      </c>
      <c r="E1333" s="1" t="n">
        <v>3.95</v>
      </c>
      <c r="F1333" s="1" t="n">
        <v>0</v>
      </c>
      <c r="G1333" s="1" t="inlineStr">
        <is>
          <t>Tile</t>
        </is>
      </c>
      <c r="H1333" s="1" t="inlineStr">
        <is>
          <t>Clay</t>
        </is>
      </c>
      <c r="I1333" s="1" t="inlineStr">
        <is>
          <t>Matt</t>
        </is>
      </c>
      <c r="J1333" t="inlineStr">
        <is>
          <t>In Stock</t>
        </is>
      </c>
      <c r="K1333" t="inlineStr">
        <is>
          <t>In Stock</t>
        </is>
      </c>
      <c r="L1333" t="inlineStr">
        <is>
          <t>In Stock</t>
        </is>
      </c>
    </row>
    <row r="1334">
      <c r="A1334" s="1">
        <f>Hyperlink("https://www.wallsandfloors.co.uk/aragon-terracotta-red-quarry-tiles-internal-angle-quarry-tiles","Product")</f>
        <v/>
      </c>
      <c r="B1334" s="1" t="inlineStr">
        <is>
          <t>11512</t>
        </is>
      </c>
      <c r="C1334" s="1" t="inlineStr">
        <is>
          <t>Internal Angle Quarry Tiles</t>
        </is>
      </c>
      <c r="D1334" s="1" t="inlineStr">
        <is>
          <t>115x30x12mm</t>
        </is>
      </c>
      <c r="E1334" s="1" t="n">
        <v>9.949999999999999</v>
      </c>
      <c r="F1334" s="1" t="n">
        <v>0</v>
      </c>
      <c r="G1334" s="1" t="inlineStr">
        <is>
          <t>Tile</t>
        </is>
      </c>
      <c r="H1334" s="1" t="inlineStr">
        <is>
          <t>Clay</t>
        </is>
      </c>
      <c r="I1334" s="1" t="inlineStr">
        <is>
          <t>Matt</t>
        </is>
      </c>
      <c r="J1334" t="inlineStr">
        <is>
          <t>In Stock</t>
        </is>
      </c>
      <c r="K1334" t="inlineStr"/>
      <c r="L1334" t="inlineStr">
        <is>
          <t>In Stock</t>
        </is>
      </c>
    </row>
    <row r="1335">
      <c r="A1335" s="1">
        <f>Hyperlink("https://www.wallsandfloors.co.uk/aragon-terracotta-red-quarry-tiles-flat-15x15-tiles","Product")</f>
        <v/>
      </c>
      <c r="B1335" s="1" t="inlineStr">
        <is>
          <t>11509</t>
        </is>
      </c>
      <c r="C1335" s="1" t="inlineStr">
        <is>
          <t>Aragon Flat Red Quarry Tiles</t>
        </is>
      </c>
      <c r="D1335" s="1" t="inlineStr">
        <is>
          <t>150x150x12mm</t>
        </is>
      </c>
      <c r="E1335" s="1" t="n">
        <v>39.95</v>
      </c>
      <c r="F1335" s="1" t="n">
        <v>0</v>
      </c>
      <c r="G1335" s="1" t="inlineStr">
        <is>
          <t>SQM</t>
        </is>
      </c>
      <c r="H1335" s="1" t="inlineStr">
        <is>
          <t>Clay</t>
        </is>
      </c>
      <c r="I1335" s="1" t="inlineStr">
        <is>
          <t>Matt</t>
        </is>
      </c>
      <c r="J1335" t="n">
        <v>166</v>
      </c>
      <c r="K1335" t="inlineStr"/>
      <c r="L1335" t="n">
        <v>166</v>
      </c>
    </row>
    <row r="1336">
      <c r="A1336" s="1">
        <f>Hyperlink("https://www.wallsandfloors.co.uk/aragon-terracotta-red-quarry-tiles-external-angle-quarry-tiles","Product")</f>
        <v/>
      </c>
      <c r="B1336" s="1" t="inlineStr">
        <is>
          <t>11511</t>
        </is>
      </c>
      <c r="C1336" s="1" t="inlineStr">
        <is>
          <t>External Angle Quarry Tiles</t>
        </is>
      </c>
      <c r="D1336" s="1" t="inlineStr">
        <is>
          <t>115x30x12mm</t>
        </is>
      </c>
      <c r="E1336" s="1" t="n">
        <v>9.949999999999999</v>
      </c>
      <c r="F1336" s="1" t="n">
        <v>0</v>
      </c>
      <c r="G1336" s="1" t="inlineStr">
        <is>
          <t>Tile</t>
        </is>
      </c>
      <c r="H1336" s="1" t="inlineStr">
        <is>
          <t>Clay</t>
        </is>
      </c>
      <c r="I1336" s="1" t="inlineStr">
        <is>
          <t>Matt</t>
        </is>
      </c>
      <c r="J1336" t="inlineStr">
        <is>
          <t>In Stock</t>
        </is>
      </c>
      <c r="K1336" t="inlineStr">
        <is>
          <t>In Stock</t>
        </is>
      </c>
      <c r="L1336" t="inlineStr">
        <is>
          <t>In Stock</t>
        </is>
      </c>
    </row>
    <row r="1337">
      <c r="A1337" s="1">
        <f>Hyperlink("https://www.wallsandfloors.co.uk/aragon-espresso-brown-quarry-tiles-skirting-quarry-200-tiles","Product")</f>
        <v/>
      </c>
      <c r="B1337" s="1" t="inlineStr">
        <is>
          <t>13722</t>
        </is>
      </c>
      <c r="C1337" s="1" t="inlineStr">
        <is>
          <t>Aragon Espresso Brown 200 Quarry Skirting Tiles</t>
        </is>
      </c>
      <c r="D1337" s="1" t="inlineStr">
        <is>
          <t>115x200x12mm</t>
        </is>
      </c>
      <c r="E1337" s="1" t="n">
        <v>8.449999999999999</v>
      </c>
      <c r="F1337" s="1" t="n">
        <v>0</v>
      </c>
      <c r="G1337" s="1" t="inlineStr">
        <is>
          <t>Tile</t>
        </is>
      </c>
      <c r="H1337" s="1" t="inlineStr">
        <is>
          <t>Clay</t>
        </is>
      </c>
      <c r="I1337" s="1" t="inlineStr">
        <is>
          <t>Matt</t>
        </is>
      </c>
      <c r="J1337" t="inlineStr">
        <is>
          <t>In Stock</t>
        </is>
      </c>
      <c r="K1337" t="inlineStr">
        <is>
          <t>In Stock</t>
        </is>
      </c>
      <c r="L1337" t="inlineStr">
        <is>
          <t>In Stock</t>
        </is>
      </c>
    </row>
    <row r="1338">
      <c r="A1338" s="1">
        <f>Hyperlink("https://www.wallsandfloors.co.uk/aragon-espresso-brown-quarry-tiles-skirting-quarry-150-tiles","Product")</f>
        <v/>
      </c>
      <c r="B1338" s="1" t="inlineStr">
        <is>
          <t>11416</t>
        </is>
      </c>
      <c r="C1338" s="1" t="inlineStr">
        <is>
          <t>Aragon Espresso Brown Quarry Skirting Tiles</t>
        </is>
      </c>
      <c r="D1338" s="1" t="inlineStr">
        <is>
          <t>150x115x12mm</t>
        </is>
      </c>
      <c r="E1338" s="1" t="n">
        <v>7.95</v>
      </c>
      <c r="F1338" s="1" t="n">
        <v>0</v>
      </c>
      <c r="G1338" s="1" t="inlineStr">
        <is>
          <t>Tile</t>
        </is>
      </c>
      <c r="H1338" s="1" t="inlineStr">
        <is>
          <t>Clay</t>
        </is>
      </c>
      <c r="I1338" s="1" t="inlineStr">
        <is>
          <t>Matt</t>
        </is>
      </c>
      <c r="J1338" t="inlineStr">
        <is>
          <t>In Stock</t>
        </is>
      </c>
      <c r="K1338" t="inlineStr">
        <is>
          <t>In Stock</t>
        </is>
      </c>
      <c r="L1338" t="inlineStr">
        <is>
          <t>In Stock</t>
        </is>
      </c>
    </row>
    <row r="1339">
      <c r="A1339" s="1">
        <f>Hyperlink("https://www.wallsandfloors.co.uk/aragon-espresso-brown-quarry-tiles-r-e-x-anti-slip-quarry-tiles","Product")</f>
        <v/>
      </c>
      <c r="B1339" s="1" t="inlineStr">
        <is>
          <t>11415</t>
        </is>
      </c>
      <c r="C1339" s="1" t="inlineStr">
        <is>
          <t>Aragon Espresso Brown R.E.X. Anti Slip Quarry Tiles</t>
        </is>
      </c>
      <c r="D1339" s="1" t="inlineStr">
        <is>
          <t>150x150x12mm</t>
        </is>
      </c>
      <c r="E1339" s="1" t="n">
        <v>12.95</v>
      </c>
      <c r="F1339" s="1" t="n">
        <v>0</v>
      </c>
      <c r="G1339" s="1" t="inlineStr"/>
      <c r="H1339" s="1" t="inlineStr">
        <is>
          <t>Clay</t>
        </is>
      </c>
      <c r="I1339" s="1" t="inlineStr">
        <is>
          <t>Matt</t>
        </is>
      </c>
      <c r="J1339" t="inlineStr">
        <is>
          <t>In Stock</t>
        </is>
      </c>
      <c r="K1339" t="inlineStr">
        <is>
          <t>In Stock</t>
        </is>
      </c>
      <c r="L1339" t="inlineStr">
        <is>
          <t>In Stock</t>
        </is>
      </c>
    </row>
    <row r="1340">
      <c r="A1340" s="1">
        <f>Hyperlink("https://www.wallsandfloors.co.uk/aragon-espresso-brown-quarry-tiles-r-e-x-20x20-tiles","Product")</f>
        <v/>
      </c>
      <c r="B1340" s="1" t="inlineStr">
        <is>
          <t>13721</t>
        </is>
      </c>
      <c r="C1340" s="1" t="inlineStr">
        <is>
          <t>Aragon Espresso Brown R.E.X Quarry Tiles</t>
        </is>
      </c>
      <c r="D1340" s="1" t="inlineStr">
        <is>
          <t>200x200x12mm</t>
        </is>
      </c>
      <c r="E1340" s="1" t="n">
        <v>10.95</v>
      </c>
      <c r="F1340" s="1" t="n">
        <v>0</v>
      </c>
      <c r="G1340" s="1" t="inlineStr">
        <is>
          <t>SQM</t>
        </is>
      </c>
      <c r="H1340" s="1" t="inlineStr">
        <is>
          <t>Clay</t>
        </is>
      </c>
      <c r="I1340" s="1" t="inlineStr">
        <is>
          <t>Matt</t>
        </is>
      </c>
      <c r="J1340" t="n">
        <v>82</v>
      </c>
      <c r="K1340" t="n">
        <v>82</v>
      </c>
      <c r="L1340" t="n">
        <v>82</v>
      </c>
    </row>
    <row r="1341">
      <c r="A1341" s="1">
        <f>Hyperlink("https://www.wallsandfloors.co.uk/aragon-espresso-brown-quarry-tiles-r-e-x-15x15-tiles","Product")</f>
        <v/>
      </c>
      <c r="B1341" s="1" t="inlineStr">
        <is>
          <t>11546</t>
        </is>
      </c>
      <c r="C1341" s="1" t="inlineStr">
        <is>
          <t>Aragon Espresso Brown R.E.X Quarry Tiles</t>
        </is>
      </c>
      <c r="D1341" s="1" t="inlineStr">
        <is>
          <t>150x150x12mm</t>
        </is>
      </c>
      <c r="E1341" s="1" t="n">
        <v>10.95</v>
      </c>
      <c r="F1341" s="1" t="n">
        <v>0</v>
      </c>
      <c r="G1341" s="1" t="inlineStr">
        <is>
          <t>Tile</t>
        </is>
      </c>
      <c r="H1341" s="1" t="inlineStr">
        <is>
          <t>Clay</t>
        </is>
      </c>
      <c r="I1341" s="1" t="inlineStr">
        <is>
          <t>Matt</t>
        </is>
      </c>
      <c r="J1341" t="inlineStr">
        <is>
          <t>In Stock</t>
        </is>
      </c>
      <c r="K1341" t="inlineStr"/>
      <c r="L1341" t="inlineStr">
        <is>
          <t>In Stock</t>
        </is>
      </c>
    </row>
    <row r="1342">
      <c r="A1342" s="1">
        <f>Hyperlink("https://www.wallsandfloors.co.uk/aragon-espresso-brown-quarry-tiles-r-e-anti-slip-quarry-tiles","Product")</f>
        <v/>
      </c>
      <c r="B1342" s="1" t="inlineStr">
        <is>
          <t>11414</t>
        </is>
      </c>
      <c r="C1342" s="1" t="inlineStr">
        <is>
          <t>Aragon Espresso Brown R.E Anti Slip Quarry Tiles</t>
        </is>
      </c>
      <c r="D1342" s="1" t="inlineStr">
        <is>
          <t>150x150x12mm</t>
        </is>
      </c>
      <c r="E1342" s="1" t="n">
        <v>5.95</v>
      </c>
      <c r="F1342" s="1" t="n">
        <v>0</v>
      </c>
      <c r="G1342" s="1" t="inlineStr">
        <is>
          <t>Tile</t>
        </is>
      </c>
      <c r="H1342" s="1" t="inlineStr">
        <is>
          <t>Clay</t>
        </is>
      </c>
      <c r="I1342" s="1" t="inlineStr">
        <is>
          <t>Matt</t>
        </is>
      </c>
      <c r="J1342" t="inlineStr"/>
      <c r="K1342" t="inlineStr">
        <is>
          <t>In Stock</t>
        </is>
      </c>
      <c r="L1342" t="inlineStr">
        <is>
          <t>In Stock</t>
        </is>
      </c>
    </row>
    <row r="1343">
      <c r="A1343" s="1">
        <f>Hyperlink("https://www.wallsandfloors.co.uk/aragon-espresso-brown-quarry-tiles-r-e-20x20-tiles","Product")</f>
        <v/>
      </c>
      <c r="B1343" s="1" t="inlineStr">
        <is>
          <t>13720</t>
        </is>
      </c>
      <c r="C1343" s="1" t="inlineStr">
        <is>
          <t>Aragon Espresso Brown R.E Quarry Tiles</t>
        </is>
      </c>
      <c r="D1343" s="1" t="inlineStr">
        <is>
          <t>200x200x12mm</t>
        </is>
      </c>
      <c r="E1343" s="1" t="n">
        <v>5.95</v>
      </c>
      <c r="F1343" s="1" t="n">
        <v>0</v>
      </c>
      <c r="G1343" s="1" t="inlineStr"/>
      <c r="H1343" s="1" t="inlineStr">
        <is>
          <t>Clay</t>
        </is>
      </c>
      <c r="I1343" s="1" t="inlineStr">
        <is>
          <t>Matt</t>
        </is>
      </c>
      <c r="J1343" t="inlineStr">
        <is>
          <t>In Stock</t>
        </is>
      </c>
      <c r="K1343" t="inlineStr">
        <is>
          <t>In Stock</t>
        </is>
      </c>
      <c r="L1343" t="inlineStr">
        <is>
          <t>In Stock</t>
        </is>
      </c>
    </row>
    <row r="1344">
      <c r="A1344" s="1">
        <f>Hyperlink("https://www.wallsandfloors.co.uk/aragon-espresso-brown-quarry-tiles-r-e-15x15-tiles","Product")</f>
        <v/>
      </c>
      <c r="B1344" s="1" t="inlineStr">
        <is>
          <t>11545</t>
        </is>
      </c>
      <c r="C1344" s="1" t="inlineStr">
        <is>
          <t>Aragon Espresso Brown R.E Quarry Tiles</t>
        </is>
      </c>
      <c r="D1344" s="1" t="inlineStr">
        <is>
          <t>150x150x12mm</t>
        </is>
      </c>
      <c r="E1344" s="1" t="n">
        <v>5.45</v>
      </c>
      <c r="F1344" s="1" t="n">
        <v>0</v>
      </c>
      <c r="G1344" s="1" t="inlineStr">
        <is>
          <t>Tile</t>
        </is>
      </c>
      <c r="H1344" s="1" t="inlineStr">
        <is>
          <t>Clay</t>
        </is>
      </c>
      <c r="I1344" s="1" t="inlineStr">
        <is>
          <t>Matt</t>
        </is>
      </c>
      <c r="J1344" t="inlineStr">
        <is>
          <t>In Stock</t>
        </is>
      </c>
      <c r="K1344" t="inlineStr">
        <is>
          <t>In Stock</t>
        </is>
      </c>
      <c r="L1344" t="inlineStr">
        <is>
          <t>In Stock</t>
        </is>
      </c>
    </row>
    <row r="1345">
      <c r="A1345" s="1">
        <f>Hyperlink("https://www.wallsandfloors.co.uk/aragon-espresso-brown-quarry-tiles-internal-angle-quarry-tiles","Product")</f>
        <v/>
      </c>
      <c r="B1345" s="1" t="inlineStr">
        <is>
          <t>11417</t>
        </is>
      </c>
      <c r="C1345" s="1" t="inlineStr">
        <is>
          <t>Aragon Espresso Brown Internal Angle Quarry Tiles</t>
        </is>
      </c>
      <c r="D1345" s="1" t="inlineStr">
        <is>
          <t>115x30x12mm</t>
        </is>
      </c>
      <c r="E1345" s="1" t="n">
        <v>9.949999999999999</v>
      </c>
      <c r="F1345" s="1" t="n">
        <v>0</v>
      </c>
      <c r="G1345" s="1" t="inlineStr">
        <is>
          <t>Tile</t>
        </is>
      </c>
      <c r="H1345" s="1" t="inlineStr">
        <is>
          <t>Clay</t>
        </is>
      </c>
      <c r="I1345" s="1" t="inlineStr">
        <is>
          <t>Matt</t>
        </is>
      </c>
      <c r="J1345" t="inlineStr"/>
      <c r="K1345" t="inlineStr">
        <is>
          <t>In Stock</t>
        </is>
      </c>
      <c r="L1345" t="inlineStr">
        <is>
          <t>In Stock</t>
        </is>
      </c>
    </row>
    <row r="1346">
      <c r="A1346" s="1">
        <f>Hyperlink("https://www.wallsandfloors.co.uk/aragon-espresso-brown-quarry-tiles-flat-20x20-tiles","Product")</f>
        <v/>
      </c>
      <c r="B1346" s="1" t="inlineStr">
        <is>
          <t>11611</t>
        </is>
      </c>
      <c r="C1346" s="1" t="inlineStr">
        <is>
          <t>Aragon Espresso Brown Flat Quarry Tiles</t>
        </is>
      </c>
      <c r="D1346" s="1" t="inlineStr">
        <is>
          <t>200x200x13mm</t>
        </is>
      </c>
      <c r="E1346" s="1" t="n">
        <v>60.95</v>
      </c>
      <c r="F1346" s="1" t="n">
        <v>0</v>
      </c>
      <c r="G1346" s="1" t="inlineStr">
        <is>
          <t>SQM</t>
        </is>
      </c>
      <c r="H1346" s="1" t="inlineStr">
        <is>
          <t>Clay</t>
        </is>
      </c>
      <c r="I1346" s="1" t="inlineStr">
        <is>
          <t>Matt</t>
        </is>
      </c>
      <c r="J1346" t="inlineStr">
        <is>
          <t>In Stock</t>
        </is>
      </c>
      <c r="K1346" t="inlineStr">
        <is>
          <t>In Stock</t>
        </is>
      </c>
      <c r="L1346" t="inlineStr">
        <is>
          <t>In Stock</t>
        </is>
      </c>
    </row>
    <row r="1347">
      <c r="A1347" s="1">
        <f>Hyperlink("https://www.wallsandfloors.co.uk/aragon-espresso-brown-quarry-tiles-flat-15x15-tiles","Product")</f>
        <v/>
      </c>
      <c r="B1347" s="1" t="inlineStr">
        <is>
          <t>11544</t>
        </is>
      </c>
      <c r="C1347" s="1" t="inlineStr">
        <is>
          <t>Aragon Espresso Brown Flat Quarry Tiles</t>
        </is>
      </c>
      <c r="D1347" s="1" t="inlineStr">
        <is>
          <t>150x150x12mm</t>
        </is>
      </c>
      <c r="E1347" s="1" t="n">
        <v>50.95</v>
      </c>
      <c r="F1347" s="1" t="n">
        <v>0</v>
      </c>
      <c r="G1347" s="1" t="inlineStr">
        <is>
          <t>SQM</t>
        </is>
      </c>
      <c r="H1347" s="1" t="inlineStr">
        <is>
          <t>Clay</t>
        </is>
      </c>
      <c r="I1347" s="1" t="inlineStr">
        <is>
          <t>Matt</t>
        </is>
      </c>
      <c r="J1347" t="inlineStr"/>
      <c r="K1347" t="n">
        <v>107</v>
      </c>
      <c r="L1347" t="n">
        <v>107</v>
      </c>
    </row>
    <row r="1348">
      <c r="A1348" s="1">
        <f>Hyperlink("https://www.wallsandfloors.co.uk/aragon-espresso-brown-quarry-tiles-external-angle-quarry-tiles","Product")</f>
        <v/>
      </c>
      <c r="B1348" s="1" t="inlineStr">
        <is>
          <t>11418</t>
        </is>
      </c>
      <c r="C1348" s="1" t="inlineStr">
        <is>
          <t>Aragon Espresso Brown External Angle Quarry Tiles</t>
        </is>
      </c>
      <c r="D1348" s="1" t="inlineStr">
        <is>
          <t>115x30x12mm</t>
        </is>
      </c>
      <c r="E1348" s="1" t="n">
        <v>9.949999999999999</v>
      </c>
      <c r="F1348" s="1" t="n">
        <v>0</v>
      </c>
      <c r="G1348" s="1" t="inlineStr">
        <is>
          <t>Tile</t>
        </is>
      </c>
      <c r="H1348" s="1" t="inlineStr">
        <is>
          <t>Clay</t>
        </is>
      </c>
      <c r="I1348" s="1" t="inlineStr">
        <is>
          <t>Matt</t>
        </is>
      </c>
      <c r="J1348" t="inlineStr"/>
      <c r="K1348" t="inlineStr">
        <is>
          <t>In Stock</t>
        </is>
      </c>
      <c r="L1348" t="inlineStr">
        <is>
          <t>In Stock</t>
        </is>
      </c>
    </row>
    <row r="1349">
      <c r="A1349" s="1">
        <f>Hyperlink("https://www.wallsandfloors.co.uk/aragon-espresso-brown-quarry-tiles-anti-slip-quarry-tiles","Product")</f>
        <v/>
      </c>
      <c r="B1349" s="1" t="inlineStr">
        <is>
          <t>11413</t>
        </is>
      </c>
      <c r="C1349" s="1" t="inlineStr">
        <is>
          <t>Aragon Espresso Brown Anti Slip Quarry Tiles</t>
        </is>
      </c>
      <c r="D1349" s="1" t="inlineStr">
        <is>
          <t>150x150x12mm</t>
        </is>
      </c>
      <c r="E1349" s="1" t="n">
        <v>66.95</v>
      </c>
      <c r="F1349" s="1" t="n">
        <v>0</v>
      </c>
      <c r="G1349" s="1" t="inlineStr">
        <is>
          <t>SQM</t>
        </is>
      </c>
      <c r="H1349" s="1" t="inlineStr">
        <is>
          <t>Clay</t>
        </is>
      </c>
      <c r="I1349" s="1" t="inlineStr">
        <is>
          <t>Matt</t>
        </is>
      </c>
      <c r="J1349" t="n">
        <v>411</v>
      </c>
      <c r="K1349" t="inlineStr"/>
      <c r="L1349" t="n">
        <v>411</v>
      </c>
    </row>
    <row r="1350">
      <c r="A1350" s="1">
        <f>Hyperlink("https://www.wallsandfloors.co.uk/aragon-autumn-brown-quarry-tiles-steptread-quarry-150-tiles","Product")</f>
        <v/>
      </c>
      <c r="B1350" s="1" t="inlineStr">
        <is>
          <t>11534</t>
        </is>
      </c>
      <c r="C1350" s="1" t="inlineStr">
        <is>
          <t>Steptread Quarry 150 Tiles</t>
        </is>
      </c>
      <c r="D1350" s="1" t="inlineStr">
        <is>
          <t>150x150x12mm</t>
        </is>
      </c>
      <c r="E1350" s="1" t="n">
        <v>4.95</v>
      </c>
      <c r="F1350" s="1" t="n">
        <v>0</v>
      </c>
      <c r="G1350" s="1" t="inlineStr">
        <is>
          <t>SQM</t>
        </is>
      </c>
      <c r="H1350" s="1" t="inlineStr">
        <is>
          <t>Clay</t>
        </is>
      </c>
      <c r="I1350" s="1" t="inlineStr">
        <is>
          <t>Matt</t>
        </is>
      </c>
      <c r="J1350" t="inlineStr"/>
      <c r="K1350" t="n">
        <v>54</v>
      </c>
      <c r="L1350" t="n">
        <v>54</v>
      </c>
    </row>
    <row r="1351">
      <c r="A1351" s="1">
        <f>Hyperlink("https://www.wallsandfloors.co.uk/aragon-autumn-brown-quarry-tiles-skirting-quarry-150-tiles","Product")</f>
        <v/>
      </c>
      <c r="B1351" s="1" t="inlineStr">
        <is>
          <t>11533</t>
        </is>
      </c>
      <c r="C1351" s="1" t="inlineStr">
        <is>
          <t>Aragon Autumn Brown Skirting Quarry 150 Tiles</t>
        </is>
      </c>
      <c r="D1351" s="1" t="inlineStr">
        <is>
          <t>115x150x12mm</t>
        </is>
      </c>
      <c r="E1351" s="1" t="n">
        <v>5.95</v>
      </c>
      <c r="F1351" s="1" t="n">
        <v>0</v>
      </c>
      <c r="G1351" s="1" t="inlineStr">
        <is>
          <t>Tile</t>
        </is>
      </c>
      <c r="H1351" s="1" t="inlineStr">
        <is>
          <t>Clay</t>
        </is>
      </c>
      <c r="I1351" s="1" t="inlineStr">
        <is>
          <t>Matt</t>
        </is>
      </c>
      <c r="J1351" t="inlineStr">
        <is>
          <t>In Stock</t>
        </is>
      </c>
      <c r="K1351" t="inlineStr">
        <is>
          <t>In Stock</t>
        </is>
      </c>
      <c r="L1351" t="inlineStr">
        <is>
          <t>In Stock</t>
        </is>
      </c>
    </row>
    <row r="1352">
      <c r="A1352" s="1">
        <f>Hyperlink("https://www.wallsandfloors.co.uk/aragon-terracotta-red-quarry-tiles-skirting-quarry-200-tiles","Product")</f>
        <v/>
      </c>
      <c r="B1352" s="1" t="inlineStr">
        <is>
          <t>13719</t>
        </is>
      </c>
      <c r="C1352" s="1" t="inlineStr">
        <is>
          <t>Aragon Red Quarry 200mm Skirting Tiles</t>
        </is>
      </c>
      <c r="D1352" s="1" t="inlineStr">
        <is>
          <t>115x200x12mm</t>
        </is>
      </c>
      <c r="E1352" s="1" t="n">
        <v>6.45</v>
      </c>
      <c r="F1352" s="1" t="n">
        <v>0</v>
      </c>
      <c r="G1352" s="1" t="inlineStr">
        <is>
          <t>SQM</t>
        </is>
      </c>
      <c r="H1352" s="1" t="inlineStr">
        <is>
          <t>Clay</t>
        </is>
      </c>
      <c r="I1352" s="1" t="inlineStr">
        <is>
          <t>Matt</t>
        </is>
      </c>
      <c r="J1352" t="inlineStr"/>
      <c r="K1352" t="n">
        <v>162</v>
      </c>
      <c r="L1352" t="n">
        <v>162</v>
      </c>
    </row>
    <row r="1353">
      <c r="A1353" s="1">
        <f>Hyperlink("https://www.wallsandfloors.co.uk/baked-earth-terracotta-tiles-natural-rustic-terracotta-tiles","Product")</f>
        <v/>
      </c>
      <c r="B1353" s="1" t="inlineStr">
        <is>
          <t>12833</t>
        </is>
      </c>
      <c r="C1353" s="1" t="inlineStr">
        <is>
          <t>Natural Rustic Terracotta Tiles</t>
        </is>
      </c>
      <c r="D1353" s="1" t="inlineStr">
        <is>
          <t>295x295x20mm</t>
        </is>
      </c>
      <c r="E1353" s="1" t="n">
        <v>50.95</v>
      </c>
      <c r="F1353" s="1" t="n">
        <v>0</v>
      </c>
      <c r="G1353" s="1" t="inlineStr">
        <is>
          <t>SQM</t>
        </is>
      </c>
      <c r="H1353" s="1" t="inlineStr">
        <is>
          <t>Terracotta</t>
        </is>
      </c>
      <c r="I1353" s="1" t="inlineStr">
        <is>
          <t>Matt</t>
        </is>
      </c>
      <c r="J1353" t="inlineStr"/>
      <c r="K1353" t="inlineStr">
        <is>
          <t>Out of Stock</t>
        </is>
      </c>
      <c r="L1353" t="inlineStr">
        <is>
          <t>Out of Stock</t>
        </is>
      </c>
    </row>
    <row r="1354">
      <c r="A1354" s="1">
        <f>Hyperlink("https://www.wallsandfloors.co.uk/arcadia-chalk-luxury-vinyl-tiles","Product")</f>
        <v/>
      </c>
      <c r="B1354" s="1" t="inlineStr">
        <is>
          <t>41397</t>
        </is>
      </c>
      <c r="C1354" s="1" t="inlineStr">
        <is>
          <t>Arcadia Chalk Luxury Vinyl Tiles</t>
        </is>
      </c>
      <c r="D1354" s="1" t="inlineStr">
        <is>
          <t>1235x178x3mm</t>
        </is>
      </c>
      <c r="E1354" s="1" t="n">
        <v>26.95</v>
      </c>
      <c r="F1354" s="1" t="n">
        <v>0</v>
      </c>
      <c r="G1354" s="1" t="inlineStr">
        <is>
          <t>SQM</t>
        </is>
      </c>
      <c r="H1354" s="1" t="inlineStr">
        <is>
          <t>Vinyl</t>
        </is>
      </c>
      <c r="I1354" s="1" t="inlineStr">
        <is>
          <t>Matt</t>
        </is>
      </c>
      <c r="J1354" t="n">
        <v>341</v>
      </c>
      <c r="K1354" t="inlineStr"/>
      <c r="L1354" t="n">
        <v>341</v>
      </c>
    </row>
    <row r="1355">
      <c r="A1355" s="1">
        <f>Hyperlink("https://www.wallsandfloors.co.uk/arcadia-honey-luxury-vinyl-tiles","Product")</f>
        <v/>
      </c>
      <c r="B1355" s="1" t="inlineStr">
        <is>
          <t>41398</t>
        </is>
      </c>
      <c r="C1355" s="1" t="inlineStr">
        <is>
          <t>Arcadia Honey Luxury Vinyl Tiles</t>
        </is>
      </c>
      <c r="D1355" s="1" t="inlineStr">
        <is>
          <t>1235x178x3mm</t>
        </is>
      </c>
      <c r="E1355" s="1" t="n">
        <v>26.95</v>
      </c>
      <c r="F1355" s="1" t="n">
        <v>0</v>
      </c>
      <c r="G1355" s="1" t="inlineStr">
        <is>
          <t>SQM</t>
        </is>
      </c>
      <c r="H1355" s="1" t="inlineStr">
        <is>
          <t>Vinyl</t>
        </is>
      </c>
      <c r="I1355" s="1" t="inlineStr">
        <is>
          <t>Matt</t>
        </is>
      </c>
      <c r="J1355" t="inlineStr"/>
      <c r="K1355" t="inlineStr">
        <is>
          <t>Out of Stock</t>
        </is>
      </c>
      <c r="L1355" t="inlineStr">
        <is>
          <t>Out of Stock</t>
        </is>
      </c>
    </row>
    <row r="1356">
      <c r="A1356" s="1">
        <f>Hyperlink("https://www.wallsandfloors.co.uk/azoic-blendstone-tiles-polished-sheepskin-beige-stone-60x30-tile","Product")</f>
        <v/>
      </c>
      <c r="B1356" s="1" t="inlineStr">
        <is>
          <t>15424</t>
        </is>
      </c>
      <c r="C1356" s="1" t="inlineStr">
        <is>
          <t>Azoic Polished Sheepskin Stone Tiles</t>
        </is>
      </c>
      <c r="D1356" s="1" t="inlineStr">
        <is>
          <t>600x300x9mm</t>
        </is>
      </c>
      <c r="E1356" s="1" t="n">
        <v>17.6</v>
      </c>
      <c r="F1356" s="1" t="n">
        <v>0</v>
      </c>
      <c r="G1356" s="1" t="inlineStr">
        <is>
          <t>SQM</t>
        </is>
      </c>
      <c r="H1356" s="1" t="inlineStr">
        <is>
          <t>Porcelain</t>
        </is>
      </c>
      <c r="I1356" s="1" t="inlineStr">
        <is>
          <t>Polished</t>
        </is>
      </c>
      <c r="J1356" t="n">
        <v>184</v>
      </c>
      <c r="K1356" t="n">
        <v>184</v>
      </c>
      <c r="L1356" t="n">
        <v>184</v>
      </c>
    </row>
    <row r="1357">
      <c r="A1357" s="1">
        <f>Hyperlink("https://www.wallsandfloors.co.uk/azoic-blendstone-tiles-polished-oolite-ivory-stone-60x60-tile","Product")</f>
        <v/>
      </c>
      <c r="B1357" s="1" t="inlineStr">
        <is>
          <t>15433</t>
        </is>
      </c>
      <c r="C1357" s="1" t="inlineStr">
        <is>
          <t>Azoic Polished Oolite Ivory Stone Tile</t>
        </is>
      </c>
      <c r="D1357" s="1" t="inlineStr">
        <is>
          <t>600x600x9mm</t>
        </is>
      </c>
      <c r="E1357" s="1" t="n">
        <v>18.93</v>
      </c>
      <c r="F1357" s="1" t="n">
        <v>0</v>
      </c>
      <c r="G1357" s="1" t="inlineStr">
        <is>
          <t>SQM</t>
        </is>
      </c>
      <c r="H1357" s="1" t="inlineStr">
        <is>
          <t>Porcelain</t>
        </is>
      </c>
      <c r="I1357" s="1" t="inlineStr">
        <is>
          <t>Polished</t>
        </is>
      </c>
      <c r="J1357" t="n">
        <v>18</v>
      </c>
      <c r="K1357" t="n">
        <v>18</v>
      </c>
      <c r="L1357" t="n">
        <v>18</v>
      </c>
    </row>
    <row r="1358">
      <c r="A1358" s="1">
        <f>Hyperlink("https://www.wallsandfloors.co.uk/azoic-blendstone-tiles-matt-sheepskin-beige-stone-60x60-tile","Product")</f>
        <v/>
      </c>
      <c r="B1358" s="1" t="inlineStr">
        <is>
          <t>32563</t>
        </is>
      </c>
      <c r="C1358" s="1" t="inlineStr">
        <is>
          <t>Azoic Matt Sheepskin Beige Stone 60x60 Tiles</t>
        </is>
      </c>
      <c r="D1358" s="1" t="inlineStr">
        <is>
          <t>600x600x9mm</t>
        </is>
      </c>
      <c r="E1358" s="1" t="n">
        <v>14.74</v>
      </c>
      <c r="F1358" s="1" t="n">
        <v>0</v>
      </c>
      <c r="G1358" s="1" t="inlineStr">
        <is>
          <t>SQM</t>
        </is>
      </c>
      <c r="H1358" s="1" t="inlineStr">
        <is>
          <t>Porcelain</t>
        </is>
      </c>
      <c r="I1358" s="1" t="inlineStr">
        <is>
          <t>Matt</t>
        </is>
      </c>
      <c r="J1358" t="n">
        <v>16</v>
      </c>
      <c r="K1358" t="n">
        <v>16</v>
      </c>
      <c r="L1358" t="n">
        <v>16</v>
      </c>
    </row>
    <row r="1359">
      <c r="A1359" s="1">
        <f>Hyperlink("https://www.wallsandfloors.co.uk/azoic-blendstone-tiles-matt-magma-black-stone-60x30-tile","Product")</f>
        <v/>
      </c>
      <c r="B1359" s="1" t="inlineStr">
        <is>
          <t>32564</t>
        </is>
      </c>
      <c r="C1359" s="1" t="inlineStr">
        <is>
          <t>Azoic Matt Magma Black Stone Tiles</t>
        </is>
      </c>
      <c r="D1359" s="1" t="inlineStr">
        <is>
          <t>600x300x9mm</t>
        </is>
      </c>
      <c r="E1359" s="1" t="n">
        <v>19.9</v>
      </c>
      <c r="F1359" s="1" t="n">
        <v>0</v>
      </c>
      <c r="G1359" s="1" t="inlineStr">
        <is>
          <t>SQM</t>
        </is>
      </c>
      <c r="H1359" s="1" t="inlineStr">
        <is>
          <t>Porcelain</t>
        </is>
      </c>
      <c r="I1359" s="1" t="inlineStr">
        <is>
          <t>Matt</t>
        </is>
      </c>
      <c r="J1359" t="n">
        <v>89</v>
      </c>
      <c r="K1359" t="n">
        <v>89</v>
      </c>
      <c r="L1359" t="n">
        <v>89</v>
      </c>
    </row>
    <row r="1360">
      <c r="A1360" s="1">
        <f>Hyperlink("https://www.wallsandfloors.co.uk/avenue-tiles-iombard-cream-brick-tiles","Product")</f>
        <v/>
      </c>
      <c r="B1360" s="1" t="inlineStr">
        <is>
          <t>36141</t>
        </is>
      </c>
      <c r="C1360" s="1" t="inlineStr">
        <is>
          <t>Iombard Cream Brick Tiles</t>
        </is>
      </c>
      <c r="D1360" s="1" t="inlineStr">
        <is>
          <t>250x75x10mm</t>
        </is>
      </c>
      <c r="E1360" s="1" t="n">
        <v>35.95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Matt</t>
        </is>
      </c>
      <c r="J1360" t="inlineStr">
        <is>
          <t>In Stock</t>
        </is>
      </c>
      <c r="K1360" t="inlineStr"/>
      <c r="L1360" t="inlineStr">
        <is>
          <t>In Stock</t>
        </is>
      </c>
    </row>
    <row r="1361">
      <c r="A1361" s="1">
        <f>Hyperlink("https://www.wallsandfloors.co.uk/avenue-tiles-iombard-cream-60x60-tiles","Product")</f>
        <v/>
      </c>
      <c r="B1361" s="1" t="inlineStr">
        <is>
          <t>36140</t>
        </is>
      </c>
      <c r="C1361" s="1" t="inlineStr">
        <is>
          <t>Iombard Cream Tiles</t>
        </is>
      </c>
      <c r="D1361" s="1" t="inlineStr">
        <is>
          <t>600x600x10.5mm</t>
        </is>
      </c>
      <c r="E1361" s="1" t="n">
        <v>24.95</v>
      </c>
      <c r="F1361" s="1" t="n">
        <v>0</v>
      </c>
      <c r="G1361" s="1" t="inlineStr">
        <is>
          <t>SQM</t>
        </is>
      </c>
      <c r="H1361" s="1" t="inlineStr">
        <is>
          <t>Porcelain</t>
        </is>
      </c>
      <c r="I1361" s="1" t="inlineStr">
        <is>
          <t>Matt</t>
        </is>
      </c>
      <c r="J1361" t="n">
        <v>44</v>
      </c>
      <c r="K1361" t="n">
        <v>44</v>
      </c>
      <c r="L1361" t="n">
        <v>44</v>
      </c>
    </row>
    <row r="1362">
      <c r="A1362" s="1">
        <f>Hyperlink("https://www.wallsandfloors.co.uk/avenue-tiles-fifth-avenue-grey-brick-tiles","Product")</f>
        <v/>
      </c>
      <c r="B1362" s="1" t="inlineStr">
        <is>
          <t>36135</t>
        </is>
      </c>
      <c r="C1362" s="1" t="inlineStr">
        <is>
          <t>Fifth Avenue Grey Brick Tiles</t>
        </is>
      </c>
      <c r="D1362" s="1" t="inlineStr">
        <is>
          <t>250x75x10mm</t>
        </is>
      </c>
      <c r="E1362" s="1" t="n">
        <v>35.95</v>
      </c>
      <c r="F1362" s="1" t="n">
        <v>0</v>
      </c>
      <c r="G1362" s="1" t="inlineStr">
        <is>
          <t>SQM</t>
        </is>
      </c>
      <c r="H1362" s="1" t="inlineStr">
        <is>
          <t>Porcelain</t>
        </is>
      </c>
      <c r="I1362" s="1" t="inlineStr">
        <is>
          <t>Matt</t>
        </is>
      </c>
      <c r="J1362" t="inlineStr">
        <is>
          <t>In Stock</t>
        </is>
      </c>
      <c r="K1362" t="inlineStr">
        <is>
          <t>In Stock</t>
        </is>
      </c>
      <c r="L1362" t="inlineStr">
        <is>
          <t>In Stock</t>
        </is>
      </c>
    </row>
    <row r="1363">
      <c r="A1363" s="1">
        <f>Hyperlink("https://www.wallsandfloors.co.uk/avenue-tiles-broadway-grey-bricks","Product")</f>
        <v/>
      </c>
      <c r="B1363" s="1" t="inlineStr">
        <is>
          <t>36137</t>
        </is>
      </c>
      <c r="C1363" s="1" t="inlineStr">
        <is>
          <t>Broadway Grey Bricks</t>
        </is>
      </c>
      <c r="D1363" s="1" t="inlineStr">
        <is>
          <t>250x75x10mm</t>
        </is>
      </c>
      <c r="E1363" s="1" t="n">
        <v>25.95</v>
      </c>
      <c r="F1363" s="1" t="n">
        <v>0</v>
      </c>
      <c r="G1363" s="1" t="inlineStr">
        <is>
          <t>SQM</t>
        </is>
      </c>
      <c r="H1363" s="1" t="inlineStr">
        <is>
          <t>Porcelain</t>
        </is>
      </c>
      <c r="I1363" s="1" t="inlineStr">
        <is>
          <t>Matt</t>
        </is>
      </c>
      <c r="J1363" t="n">
        <v>78</v>
      </c>
      <c r="K1363" t="n">
        <v>78</v>
      </c>
      <c r="L1363" t="n">
        <v>78</v>
      </c>
    </row>
    <row r="1364">
      <c r="A1364" s="1">
        <f>Hyperlink("https://www.wallsandfloors.co.uk/avenue-tiles-bourbon-brown-brick-tiles","Product")</f>
        <v/>
      </c>
      <c r="B1364" s="1" t="inlineStr">
        <is>
          <t>36139</t>
        </is>
      </c>
      <c r="C1364" s="1" t="inlineStr">
        <is>
          <t>Bourbon Brown Brick Tiles</t>
        </is>
      </c>
      <c r="D1364" s="1" t="inlineStr">
        <is>
          <t>250x75x10mm</t>
        </is>
      </c>
      <c r="E1364" s="1" t="n">
        <v>35.95</v>
      </c>
      <c r="F1364" s="1" t="n">
        <v>0</v>
      </c>
      <c r="G1364" s="1" t="inlineStr">
        <is>
          <t>SQM</t>
        </is>
      </c>
      <c r="H1364" s="1" t="inlineStr">
        <is>
          <t>Porcelain</t>
        </is>
      </c>
      <c r="I1364" s="1" t="inlineStr">
        <is>
          <t>Matt</t>
        </is>
      </c>
      <c r="J1364" t="inlineStr">
        <is>
          <t>In Stock</t>
        </is>
      </c>
      <c r="K1364" t="inlineStr">
        <is>
          <t>In Stock</t>
        </is>
      </c>
      <c r="L1364" t="inlineStr">
        <is>
          <t>In Stock</t>
        </is>
      </c>
    </row>
    <row r="1365">
      <c r="A1365" s="1">
        <f>Hyperlink("https://www.wallsandfloors.co.uk/avenue-tiles-bourbon-brown-60-60-tiles","Product")</f>
        <v/>
      </c>
      <c r="B1365" s="1" t="inlineStr">
        <is>
          <t>36138</t>
        </is>
      </c>
      <c r="C1365" s="1" t="inlineStr">
        <is>
          <t>Bourbon Brown Tiles</t>
        </is>
      </c>
      <c r="D1365" s="1" t="inlineStr">
        <is>
          <t>600x600x10.5mm</t>
        </is>
      </c>
      <c r="E1365" s="1" t="n">
        <v>35.95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Matt</t>
        </is>
      </c>
      <c r="J1365" t="inlineStr">
        <is>
          <t>In Stock</t>
        </is>
      </c>
      <c r="K1365" t="inlineStr"/>
      <c r="L1365" t="inlineStr">
        <is>
          <t>In Stock</t>
        </is>
      </c>
    </row>
    <row r="1366">
      <c r="A1366" s="1">
        <f>Hyperlink("https://www.wallsandfloors.co.uk/aurora-white-tiles","Product")</f>
        <v/>
      </c>
      <c r="B1366" s="1" t="inlineStr">
        <is>
          <t>44247</t>
        </is>
      </c>
      <c r="C1366" s="1" t="inlineStr">
        <is>
          <t>Aurora White Tiles</t>
        </is>
      </c>
      <c r="D1366" s="1" t="inlineStr">
        <is>
          <t>450x450x10.5mm</t>
        </is>
      </c>
      <c r="E1366" s="1" t="n">
        <v>26.95</v>
      </c>
      <c r="F1366" s="1" t="n">
        <v>0</v>
      </c>
      <c r="G1366" s="1" t="inlineStr">
        <is>
          <t>SQM</t>
        </is>
      </c>
      <c r="H1366" s="1" t="inlineStr">
        <is>
          <t>Ceramic</t>
        </is>
      </c>
      <c r="I1366" s="1" t="inlineStr">
        <is>
          <t>Matt</t>
        </is>
      </c>
      <c r="J1366" t="n">
        <v>124</v>
      </c>
      <c r="K1366" t="inlineStr"/>
      <c r="L1366" t="n">
        <v>124</v>
      </c>
    </row>
    <row r="1367">
      <c r="A1367" s="1">
        <f>Hyperlink("https://www.wallsandfloors.co.uk/aurora-blue-tiles","Product")</f>
        <v/>
      </c>
      <c r="B1367" s="1" t="inlineStr">
        <is>
          <t>44250</t>
        </is>
      </c>
      <c r="C1367" s="1" t="inlineStr">
        <is>
          <t>Aurora Blue Tiles</t>
        </is>
      </c>
      <c r="D1367" s="1" t="inlineStr">
        <is>
          <t>450x450x10.5mm</t>
        </is>
      </c>
      <c r="E1367" s="1" t="n">
        <v>27.95</v>
      </c>
      <c r="F1367" s="1" t="n">
        <v>0</v>
      </c>
      <c r="G1367" s="1" t="inlineStr">
        <is>
          <t>SQM</t>
        </is>
      </c>
      <c r="H1367" s="1" t="inlineStr">
        <is>
          <t>Ceramic</t>
        </is>
      </c>
      <c r="I1367" s="1" t="inlineStr">
        <is>
          <t>Matt</t>
        </is>
      </c>
      <c r="J1367" t="n">
        <v>61</v>
      </c>
      <c r="K1367" t="n">
        <v>61</v>
      </c>
      <c r="L1367" t="n">
        <v>61</v>
      </c>
    </row>
    <row r="1368">
      <c r="A1368" s="1">
        <f>Hyperlink("https://www.wallsandfloors.co.uk/aurora-black-tiles","Product")</f>
        <v/>
      </c>
      <c r="B1368" s="1" t="inlineStr">
        <is>
          <t>44248</t>
        </is>
      </c>
      <c r="C1368" s="1" t="inlineStr">
        <is>
          <t>Aurora Black Tiles</t>
        </is>
      </c>
      <c r="D1368" s="1" t="inlineStr">
        <is>
          <t>450x450x10.5mm</t>
        </is>
      </c>
      <c r="E1368" s="1" t="n">
        <v>27.95</v>
      </c>
      <c r="F1368" s="1" t="n">
        <v>0</v>
      </c>
      <c r="G1368" s="1" t="inlineStr">
        <is>
          <t>SQM</t>
        </is>
      </c>
      <c r="H1368" s="1" t="inlineStr">
        <is>
          <t>Ceramic</t>
        </is>
      </c>
      <c r="I1368" s="1" t="inlineStr">
        <is>
          <t>Matt</t>
        </is>
      </c>
      <c r="J1368" t="n">
        <v>68</v>
      </c>
      <c r="K1368" t="n">
        <v>68</v>
      </c>
      <c r="L1368" t="n">
        <v>68</v>
      </c>
    </row>
    <row r="1369">
      <c r="A1369" s="1">
        <f>Hyperlink("https://www.wallsandfloors.co.uk/astral-star-pattern-tiles","Product")</f>
        <v/>
      </c>
      <c r="B1369" s="1" t="inlineStr">
        <is>
          <t>41608</t>
        </is>
      </c>
      <c r="C1369" s="1" t="inlineStr">
        <is>
          <t>Astral Star Pattern Tiles</t>
        </is>
      </c>
      <c r="D1369" s="1" t="inlineStr">
        <is>
          <t>450x450x8.5mm</t>
        </is>
      </c>
      <c r="E1369" s="1" t="n">
        <v>26.95</v>
      </c>
      <c r="F1369" s="1" t="n">
        <v>0</v>
      </c>
      <c r="G1369" s="1" t="inlineStr">
        <is>
          <t>SQM</t>
        </is>
      </c>
      <c r="H1369" s="1" t="inlineStr">
        <is>
          <t>Porcelain</t>
        </is>
      </c>
      <c r="I1369" s="1" t="inlineStr">
        <is>
          <t>Matt</t>
        </is>
      </c>
      <c r="J1369" t="inlineStr"/>
      <c r="K1369" t="inlineStr"/>
      <c r="L1369" t="n">
        <v>408</v>
      </c>
    </row>
    <row r="1370">
      <c r="A1370" s="1">
        <f>Hyperlink("https://www.wallsandfloors.co.uk/aspect-hexagon-tiles-white-hexagon-tiles","Product")</f>
        <v/>
      </c>
      <c r="B1370" s="1" t="inlineStr">
        <is>
          <t>14546</t>
        </is>
      </c>
      <c r="C1370" s="1" t="inlineStr">
        <is>
          <t>Aspect White Hexagon Tiles</t>
        </is>
      </c>
      <c r="D1370" s="1" t="inlineStr">
        <is>
          <t>330x285x9mm</t>
        </is>
      </c>
      <c r="E1370" s="1" t="n">
        <v>33.95</v>
      </c>
      <c r="F1370" s="1" t="n">
        <v>0</v>
      </c>
      <c r="G1370" s="1" t="inlineStr">
        <is>
          <t>SQM</t>
        </is>
      </c>
      <c r="H1370" s="1" t="inlineStr">
        <is>
          <t>Porcelain</t>
        </is>
      </c>
      <c r="I1370" s="1" t="inlineStr">
        <is>
          <t>Matt</t>
        </is>
      </c>
      <c r="J1370" t="inlineStr">
        <is>
          <t>Out of Stock</t>
        </is>
      </c>
      <c r="K1370" t="inlineStr">
        <is>
          <t>Out of Stock</t>
        </is>
      </c>
      <c r="L1370" t="inlineStr">
        <is>
          <t>Out of Stock</t>
        </is>
      </c>
    </row>
    <row r="1371">
      <c r="A1371" s="1">
        <f>Hyperlink("https://www.wallsandfloors.co.uk/aspect-hexagon-tiles-grey-hexagon-tiles","Product")</f>
        <v/>
      </c>
      <c r="B1371" s="1" t="inlineStr">
        <is>
          <t>14548</t>
        </is>
      </c>
      <c r="C1371" s="1" t="inlineStr">
        <is>
          <t>Aspect Grey Hexagon Tiles</t>
        </is>
      </c>
      <c r="D1371" s="1" t="inlineStr">
        <is>
          <t>330x285x9mm</t>
        </is>
      </c>
      <c r="E1371" s="1" t="n">
        <v>33.95</v>
      </c>
      <c r="F1371" s="1" t="n">
        <v>0</v>
      </c>
      <c r="G1371" s="1" t="inlineStr">
        <is>
          <t>SQM</t>
        </is>
      </c>
      <c r="H1371" s="1" t="inlineStr">
        <is>
          <t>Porcelain</t>
        </is>
      </c>
      <c r="I1371" s="1" t="inlineStr">
        <is>
          <t>Matt</t>
        </is>
      </c>
      <c r="J1371" t="n">
        <v>104</v>
      </c>
      <c r="K1371" t="n">
        <v>104</v>
      </c>
      <c r="L1371" t="n">
        <v>104</v>
      </c>
    </row>
    <row r="1372">
      <c r="A1372" s="1">
        <f>Hyperlink("https://www.wallsandfloors.co.uk/aspect-hexagon-tiles-black-hexagon-tiles-14550","Product")</f>
        <v/>
      </c>
      <c r="B1372" s="1" t="inlineStr">
        <is>
          <t>14550</t>
        </is>
      </c>
      <c r="C1372" s="1" t="inlineStr">
        <is>
          <t>Aspect Black Hexagon Tiles</t>
        </is>
      </c>
      <c r="D1372" s="1" t="inlineStr">
        <is>
          <t>330x285x9mm</t>
        </is>
      </c>
      <c r="E1372" s="1" t="n">
        <v>33.95</v>
      </c>
      <c r="F1372" s="1" t="n">
        <v>0</v>
      </c>
      <c r="G1372" s="1" t="inlineStr">
        <is>
          <t>SQM</t>
        </is>
      </c>
      <c r="H1372" s="1" t="inlineStr">
        <is>
          <t>Porcelain</t>
        </is>
      </c>
      <c r="I1372" s="1" t="inlineStr">
        <is>
          <t>Matt</t>
        </is>
      </c>
      <c r="J1372" t="inlineStr"/>
      <c r="K1372" t="n">
        <v>89</v>
      </c>
      <c r="L1372" t="n">
        <v>89</v>
      </c>
    </row>
    <row r="1373">
      <c r="A1373" s="1">
        <f>Hyperlink("https://www.wallsandfloors.co.uk/arise-wood-effect-tiles-sunrise-wood-tiles","Product")</f>
        <v/>
      </c>
      <c r="B1373" s="1" t="inlineStr">
        <is>
          <t>14258</t>
        </is>
      </c>
      <c r="C1373" s="1" t="inlineStr">
        <is>
          <t>Arise Sunrise Wood Effect Tiles</t>
        </is>
      </c>
      <c r="D1373" s="1" t="inlineStr">
        <is>
          <t>662x235x8mm</t>
        </is>
      </c>
      <c r="E1373" s="1" t="n">
        <v>15.95</v>
      </c>
      <c r="F1373" s="1" t="n">
        <v>0</v>
      </c>
      <c r="G1373" s="1" t="inlineStr">
        <is>
          <t>SQM</t>
        </is>
      </c>
      <c r="H1373" s="1" t="inlineStr">
        <is>
          <t>Ceramic</t>
        </is>
      </c>
      <c r="I1373" s="1" t="inlineStr">
        <is>
          <t>Matt</t>
        </is>
      </c>
      <c r="J1373" t="inlineStr">
        <is>
          <t>Out of Stock</t>
        </is>
      </c>
      <c r="K1373" t="inlineStr">
        <is>
          <t>Out of Stock</t>
        </is>
      </c>
      <c r="L1373" t="inlineStr">
        <is>
          <t>Out of Stock</t>
        </is>
      </c>
    </row>
    <row r="1374">
      <c r="A1374" s="1">
        <f>Hyperlink("https://www.wallsandfloors.co.uk/arise-wood-effect-tiles-coastal-wood-tiles","Product")</f>
        <v/>
      </c>
      <c r="B1374" s="1" t="inlineStr">
        <is>
          <t>14259</t>
        </is>
      </c>
      <c r="C1374" s="1" t="inlineStr">
        <is>
          <t>Arise Coastal Wood Effect Tiles</t>
        </is>
      </c>
      <c r="D1374" s="1" t="inlineStr">
        <is>
          <t>662x235x8mm</t>
        </is>
      </c>
      <c r="E1374" s="1" t="n">
        <v>17.95</v>
      </c>
      <c r="F1374" s="1" t="n">
        <v>0</v>
      </c>
      <c r="G1374" s="1" t="inlineStr">
        <is>
          <t>SQM</t>
        </is>
      </c>
      <c r="H1374" s="1" t="inlineStr">
        <is>
          <t>Ceramic</t>
        </is>
      </c>
      <c r="I1374" s="1" t="inlineStr">
        <is>
          <t>Matt</t>
        </is>
      </c>
      <c r="J1374" t="n">
        <v>52</v>
      </c>
      <c r="K1374" t="n">
        <v>52</v>
      </c>
      <c r="L1374" t="n">
        <v>52</v>
      </c>
    </row>
    <row r="1375">
      <c r="A1375" s="1">
        <f>Hyperlink("https://www.wallsandfloors.co.uk/argent-glass-brick-tiles","Product")</f>
        <v/>
      </c>
      <c r="B1375" s="1" t="inlineStr">
        <is>
          <t>37272</t>
        </is>
      </c>
      <c r="C1375" s="1" t="inlineStr">
        <is>
          <t>Argent Glass Brick Tiles</t>
        </is>
      </c>
      <c r="D1375" s="1" t="inlineStr">
        <is>
          <t>300x75x8mm</t>
        </is>
      </c>
      <c r="E1375" s="1" t="n">
        <v>1.55</v>
      </c>
      <c r="F1375" s="1" t="n">
        <v>0</v>
      </c>
      <c r="G1375" s="1" t="inlineStr">
        <is>
          <t>SQM</t>
        </is>
      </c>
      <c r="H1375" s="1" t="inlineStr">
        <is>
          <t>Glass</t>
        </is>
      </c>
      <c r="I1375" s="1" t="inlineStr">
        <is>
          <t>Gloss</t>
        </is>
      </c>
      <c r="J1375" t="n">
        <v>19</v>
      </c>
      <c r="K1375" t="n">
        <v>19</v>
      </c>
      <c r="L1375" t="n">
        <v>19</v>
      </c>
    </row>
    <row r="1376">
      <c r="A1376" s="1">
        <f>Hyperlink("https://www.wallsandfloors.co.uk/arcadia-vintage-luxury-vinyl-tiles","Product")</f>
        <v/>
      </c>
      <c r="B1376" s="1" t="inlineStr">
        <is>
          <t>41402</t>
        </is>
      </c>
      <c r="C1376" s="1" t="inlineStr">
        <is>
          <t>Arcadia Vintage Luxury Vinyl Tiles</t>
        </is>
      </c>
      <c r="D1376" s="1" t="inlineStr">
        <is>
          <t>1235x178x4mm</t>
        </is>
      </c>
      <c r="E1376" s="1" t="n">
        <v>22.95</v>
      </c>
      <c r="F1376" s="1" t="n">
        <v>0</v>
      </c>
      <c r="G1376" s="1" t="inlineStr">
        <is>
          <t>SQM</t>
        </is>
      </c>
      <c r="H1376" s="1" t="inlineStr">
        <is>
          <t>Vinyl</t>
        </is>
      </c>
      <c r="I1376" s="1" t="inlineStr">
        <is>
          <t>Matt</t>
        </is>
      </c>
      <c r="J1376" t="inlineStr"/>
      <c r="K1376" t="n">
        <v>702</v>
      </c>
      <c r="L1376" t="n">
        <v>702</v>
      </c>
    </row>
    <row r="1377">
      <c r="A1377" s="1">
        <f>Hyperlink("https://www.wallsandfloors.co.uk/arcadia-smoke-luxury-vinyl-tiles","Product")</f>
        <v/>
      </c>
      <c r="B1377" s="1" t="inlineStr">
        <is>
          <t>41400</t>
        </is>
      </c>
      <c r="C1377" s="1" t="inlineStr">
        <is>
          <t>Arcadia Smoke Luxury Vinyl Tiles</t>
        </is>
      </c>
      <c r="D1377" s="1" t="inlineStr">
        <is>
          <t>600x300x4mm</t>
        </is>
      </c>
      <c r="E1377" s="1" t="n">
        <v>32.95</v>
      </c>
      <c r="F1377" s="1" t="n">
        <v>0</v>
      </c>
      <c r="G1377" s="1" t="inlineStr">
        <is>
          <t>SQM</t>
        </is>
      </c>
      <c r="H1377" s="1" t="inlineStr">
        <is>
          <t>Vinyl</t>
        </is>
      </c>
      <c r="I1377" s="1" t="inlineStr">
        <is>
          <t>Matt</t>
        </is>
      </c>
      <c r="J1377" t="inlineStr"/>
      <c r="K1377" t="n">
        <v>171</v>
      </c>
      <c r="L1377" t="n">
        <v>171</v>
      </c>
    </row>
    <row r="1378">
      <c r="A1378" s="1">
        <f>Hyperlink("https://www.wallsandfloors.co.uk/arcadia-midnight-luxury-vinyl-tiles","Product")</f>
        <v/>
      </c>
      <c r="B1378" s="1" t="inlineStr">
        <is>
          <t>41401</t>
        </is>
      </c>
      <c r="C1378" s="1" t="inlineStr">
        <is>
          <t>Arcadia Midnight Luxury Vinyl Tiles</t>
        </is>
      </c>
      <c r="D1378" s="1" t="inlineStr">
        <is>
          <t>600x300x4mm</t>
        </is>
      </c>
      <c r="E1378" s="1" t="n">
        <v>32.95</v>
      </c>
      <c r="F1378" s="1" t="n">
        <v>0</v>
      </c>
      <c r="G1378" s="1" t="inlineStr">
        <is>
          <t>SQM</t>
        </is>
      </c>
      <c r="H1378" s="1" t="inlineStr">
        <is>
          <t>Vinyl</t>
        </is>
      </c>
      <c r="I1378" s="1" t="inlineStr">
        <is>
          <t>Matt</t>
        </is>
      </c>
      <c r="J1378" t="n">
        <v>387</v>
      </c>
      <c r="K1378" t="inlineStr"/>
      <c r="L1378" t="n">
        <v>387</v>
      </c>
    </row>
    <row r="1379">
      <c r="A1379" s="1">
        <f>Hyperlink("https://www.wallsandfloors.co.uk/arcadia-cocoa-luxury-vinyl-tiles","Product")</f>
        <v/>
      </c>
      <c r="B1379" s="1" t="inlineStr">
        <is>
          <t>41399</t>
        </is>
      </c>
      <c r="C1379" s="1" t="inlineStr">
        <is>
          <t>Arcadia Cocoa Luxury Vinyl Tiles</t>
        </is>
      </c>
      <c r="D1379" s="1" t="inlineStr">
        <is>
          <t>1235x178x4mm</t>
        </is>
      </c>
      <c r="E1379" s="1" t="n">
        <v>32.95</v>
      </c>
      <c r="F1379" s="1" t="n">
        <v>0</v>
      </c>
      <c r="G1379" s="1" t="inlineStr">
        <is>
          <t>SQM</t>
        </is>
      </c>
      <c r="H1379" s="1" t="inlineStr">
        <is>
          <t>Vinyl</t>
        </is>
      </c>
      <c r="I1379" s="1" t="inlineStr">
        <is>
          <t>Matt</t>
        </is>
      </c>
      <c r="J1379" t="n">
        <v>396</v>
      </c>
      <c r="K1379" t="n">
        <v>396</v>
      </c>
      <c r="L1379" t="n">
        <v>396</v>
      </c>
    </row>
    <row r="1380">
      <c r="A1380" s="1">
        <f>Hyperlink("https://www.wallsandfloors.co.uk/ecd-115-2-in-1-superpro-electroplated-cutting-grinding-diamond-blade","Product")</f>
        <v/>
      </c>
      <c r="B1380" s="1" t="inlineStr">
        <is>
          <t>40448</t>
        </is>
      </c>
      <c r="C1380" s="1" t="inlineStr">
        <is>
          <t>ECD 115mm 2 in 1 Electroplated Cutting and Grinding Diamond Blade</t>
        </is>
      </c>
      <c r="D1380" s="1" t="inlineStr">
        <is>
          <t>115mm</t>
        </is>
      </c>
      <c r="E1380" s="1" t="n">
        <v>60.75</v>
      </c>
      <c r="F1380" s="1" t="n">
        <v>0</v>
      </c>
      <c r="G1380" s="1" t="inlineStr">
        <is>
          <t>Unit</t>
        </is>
      </c>
      <c r="H1380" s="1" t="inlineStr">
        <is>
          <t>Accessories</t>
        </is>
      </c>
      <c r="I1380" s="1" t="inlineStr">
        <is>
          <t>-</t>
        </is>
      </c>
      <c r="J1380" t="inlineStr">
        <is>
          <t>In Stock</t>
        </is>
      </c>
      <c r="K1380" t="inlineStr">
        <is>
          <t>In Stock</t>
        </is>
      </c>
      <c r="L1380" t="inlineStr">
        <is>
          <t>In Stock</t>
        </is>
      </c>
    </row>
    <row r="1381">
      <c r="A1381" s="1">
        <f>Hyperlink("https://www.wallsandfloors.co.uk/eesome-luxury-woodstone-grey-tiles","Product")</f>
        <v/>
      </c>
      <c r="B1381" s="1" t="inlineStr">
        <is>
          <t>35044</t>
        </is>
      </c>
      <c r="C1381" s="1" t="inlineStr">
        <is>
          <t>Eesome Luxury Woodstone Grey Tiles</t>
        </is>
      </c>
      <c r="D1381" s="1" t="inlineStr">
        <is>
          <t>1200x233x10.8mm</t>
        </is>
      </c>
      <c r="E1381" s="1" t="n">
        <v>25.95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n">
        <v>52</v>
      </c>
      <c r="K1381" t="n">
        <v>52</v>
      </c>
      <c r="L1381" t="n">
        <v>52</v>
      </c>
    </row>
    <row r="1382">
      <c r="A1382" s="1">
        <f>Hyperlink("https://www.wallsandfloors.co.uk/elation-textured-hexagon-tiles-gold-ore-tiles","Product")</f>
        <v/>
      </c>
      <c r="B1382" s="1" t="inlineStr">
        <is>
          <t>14543</t>
        </is>
      </c>
      <c r="C1382" s="1" t="inlineStr">
        <is>
          <t>Elation Textured Gold Ore Hexagon Tiles</t>
        </is>
      </c>
      <c r="D1382" s="1" t="inlineStr">
        <is>
          <t>330x285x9mm</t>
        </is>
      </c>
      <c r="E1382" s="1" t="n">
        <v>33.95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Gloss</t>
        </is>
      </c>
      <c r="J1382" t="inlineStr">
        <is>
          <t>Out of Stock</t>
        </is>
      </c>
      <c r="K1382" t="inlineStr">
        <is>
          <t>Out of Stock</t>
        </is>
      </c>
      <c r="L1382" t="inlineStr">
        <is>
          <t>Out of Stock</t>
        </is>
      </c>
    </row>
    <row r="1383">
      <c r="A1383" s="1">
        <f>Hyperlink("https://www.wallsandfloors.co.uk/lucy-tiles-bondi-blue-plain-tiles-36132","Product")</f>
        <v/>
      </c>
      <c r="B1383" s="1" t="inlineStr">
        <is>
          <t>13613</t>
        </is>
      </c>
      <c r="C1383" s="1" t="inlineStr">
        <is>
          <t>Bondi Blue Plain Tiles</t>
        </is>
      </c>
      <c r="D1383" s="1" t="inlineStr">
        <is>
          <t>150x150x7mm</t>
        </is>
      </c>
      <c r="E1383" s="1" t="n">
        <v>40.95</v>
      </c>
      <c r="F1383" s="1" t="n">
        <v>0</v>
      </c>
      <c r="G1383" s="1" t="inlineStr">
        <is>
          <t>SQM</t>
        </is>
      </c>
      <c r="H1383" s="1" t="inlineStr">
        <is>
          <t>Ceramic</t>
        </is>
      </c>
      <c r="I1383" s="1" t="inlineStr">
        <is>
          <t>Gloss</t>
        </is>
      </c>
      <c r="J1383" t="inlineStr">
        <is>
          <t>In Stock</t>
        </is>
      </c>
      <c r="K1383" t="inlineStr">
        <is>
          <t>In Stock</t>
        </is>
      </c>
      <c r="L1383" t="inlineStr">
        <is>
          <t>In Stock</t>
        </is>
      </c>
    </row>
    <row r="1384">
      <c r="A1384" s="1">
        <f>Hyperlink("https://www.wallsandfloors.co.uk/ltp-porcelain-tile-protector","Product")</f>
        <v/>
      </c>
      <c r="B1384" s="1" t="inlineStr">
        <is>
          <t>44204</t>
        </is>
      </c>
      <c r="C1384" s="1" t="inlineStr">
        <is>
          <t>LTP Porcelain Tile Protector</t>
        </is>
      </c>
      <c r="D1384" s="1" t="inlineStr">
        <is>
          <t>1 Ltr</t>
        </is>
      </c>
      <c r="E1384" s="1" t="n">
        <v>19.95</v>
      </c>
      <c r="F1384" s="1" t="n">
        <v>0</v>
      </c>
      <c r="G1384" s="1" t="inlineStr">
        <is>
          <t>Unit</t>
        </is>
      </c>
      <c r="H1384" s="1" t="inlineStr">
        <is>
          <t>Sealers and Protectors</t>
        </is>
      </c>
      <c r="I1384" s="1" t="inlineStr">
        <is>
          <t>-</t>
        </is>
      </c>
      <c r="J1384" t="inlineStr">
        <is>
          <t>In Stock</t>
        </is>
      </c>
      <c r="K1384" t="inlineStr">
        <is>
          <t>In Stock</t>
        </is>
      </c>
      <c r="L1384" t="inlineStr">
        <is>
          <t>In Stock</t>
        </is>
      </c>
    </row>
    <row r="1385">
      <c r="A1385" s="1">
        <f>Hyperlink("https://www.wallsandfloors.co.uk/ltp-maintenance-tools-blue-buffing-cloth-2-pack","Product")</f>
        <v/>
      </c>
      <c r="B1385" s="1" t="inlineStr">
        <is>
          <t>13630</t>
        </is>
      </c>
      <c r="C1385" s="1" t="inlineStr">
        <is>
          <t>Blue Buffing Cloth (2 Pack)</t>
        </is>
      </c>
      <c r="D1385" s="1" t="inlineStr">
        <is>
          <t>1 Size</t>
        </is>
      </c>
      <c r="E1385" s="1" t="n">
        <v>5.95</v>
      </c>
      <c r="F1385" s="1" t="n">
        <v>0</v>
      </c>
      <c r="G1385" s="1" t="inlineStr">
        <is>
          <t>Unit</t>
        </is>
      </c>
      <c r="H1385" s="1" t="inlineStr">
        <is>
          <t>Tools</t>
        </is>
      </c>
      <c r="I1385" s="1" t="inlineStr">
        <is>
          <t>-</t>
        </is>
      </c>
      <c r="J1385" t="inlineStr">
        <is>
          <t>In Stock</t>
        </is>
      </c>
      <c r="K1385" t="inlineStr">
        <is>
          <t>In Stock</t>
        </is>
      </c>
      <c r="L1385" t="inlineStr">
        <is>
          <t>In Stock</t>
        </is>
      </c>
    </row>
    <row r="1386">
      <c r="A1386" s="1">
        <f>Hyperlink("https://www.wallsandfloors.co.uk/ltp-cleaning-protecting-ltp-waxwash-tile-maintenance","Product")</f>
        <v/>
      </c>
      <c r="B1386" s="1" t="inlineStr">
        <is>
          <t>11276</t>
        </is>
      </c>
      <c r="C1386" s="1" t="inlineStr">
        <is>
          <t>LTP Waxwash Tile Maintenance</t>
        </is>
      </c>
      <c r="D1386" s="1" t="inlineStr">
        <is>
          <t>1 Ltr</t>
        </is>
      </c>
      <c r="E1386" s="1" t="n">
        <v>8.949999999999999</v>
      </c>
      <c r="F1386" s="1" t="n">
        <v>0</v>
      </c>
      <c r="G1386" s="1" t="inlineStr">
        <is>
          <t>Unit</t>
        </is>
      </c>
      <c r="H1386" s="1" t="inlineStr">
        <is>
          <t>Cleaning and Maintenance</t>
        </is>
      </c>
      <c r="I1386" s="1" t="inlineStr">
        <is>
          <t>-</t>
        </is>
      </c>
      <c r="J1386" t="inlineStr">
        <is>
          <t>In Stock</t>
        </is>
      </c>
      <c r="K1386" t="inlineStr">
        <is>
          <t>In Stock</t>
        </is>
      </c>
      <c r="L1386" t="inlineStr">
        <is>
          <t>In Stock</t>
        </is>
      </c>
    </row>
    <row r="1387">
      <c r="A1387" s="1">
        <f>Hyperlink("https://www.wallsandfloors.co.uk/ltp-cleaning-protecting-ltp-tile-grout-stain-remover","Product")</f>
        <v/>
      </c>
      <c r="B1387" s="1" t="inlineStr">
        <is>
          <t>11275</t>
        </is>
      </c>
      <c r="C1387" s="1" t="inlineStr">
        <is>
          <t>LTP Tile Grout Stain Remover</t>
        </is>
      </c>
      <c r="D1387" s="1" t="inlineStr">
        <is>
          <t>1 Ltr</t>
        </is>
      </c>
      <c r="E1387" s="1" t="n">
        <v>8.449999999999999</v>
      </c>
      <c r="F1387" s="1" t="n">
        <v>0</v>
      </c>
      <c r="G1387" s="1" t="inlineStr">
        <is>
          <t>Unit</t>
        </is>
      </c>
      <c r="H1387" s="1" t="inlineStr">
        <is>
          <t>Cleaning and Maintenance</t>
        </is>
      </c>
      <c r="I1387" s="1" t="inlineStr">
        <is>
          <t>-</t>
        </is>
      </c>
      <c r="J1387" t="inlineStr"/>
      <c r="K1387" t="inlineStr">
        <is>
          <t>In Stock</t>
        </is>
      </c>
      <c r="L1387" t="inlineStr">
        <is>
          <t>In Stock</t>
        </is>
      </c>
    </row>
    <row r="1388">
      <c r="A1388" s="1">
        <f>Hyperlink("https://www.wallsandfloors.co.uk/ltp-cleaning-protecting-ltp-tile-glaze-protector","Product")</f>
        <v/>
      </c>
      <c r="B1388" s="1" t="inlineStr">
        <is>
          <t>12527</t>
        </is>
      </c>
      <c r="C1388" s="1" t="inlineStr">
        <is>
          <t>LTP Tile Glaze Protector</t>
        </is>
      </c>
      <c r="D1388" s="1" t="inlineStr">
        <is>
          <t>1 Ltr</t>
        </is>
      </c>
      <c r="E1388" s="1" t="n">
        <v>15.45</v>
      </c>
      <c r="F1388" s="1" t="n">
        <v>0</v>
      </c>
      <c r="G1388" s="1" t="inlineStr">
        <is>
          <t>Unit</t>
        </is>
      </c>
      <c r="H1388" s="1" t="inlineStr">
        <is>
          <t>Sealers and Protectors</t>
        </is>
      </c>
      <c r="I1388" s="1" t="inlineStr">
        <is>
          <t>-</t>
        </is>
      </c>
      <c r="J1388" t="inlineStr">
        <is>
          <t>In Stock</t>
        </is>
      </c>
      <c r="K1388" t="inlineStr"/>
      <c r="L1388" t="inlineStr">
        <is>
          <t>In Stock</t>
        </is>
      </c>
    </row>
    <row r="1389">
      <c r="A1389" s="1">
        <f>Hyperlink("https://www.wallsandfloors.co.uk/ltp-cleaning-protecting-ltp-tile-crackle-glaze-protector","Product")</f>
        <v/>
      </c>
      <c r="B1389" s="1" t="inlineStr">
        <is>
          <t>11237</t>
        </is>
      </c>
      <c r="C1389" s="1" t="inlineStr">
        <is>
          <t>LTP Tile Crackle Glaze Protector</t>
        </is>
      </c>
      <c r="D1389" s="1" t="inlineStr">
        <is>
          <t>500ml</t>
        </is>
      </c>
      <c r="E1389" s="1" t="n">
        <v>11.95</v>
      </c>
      <c r="F1389" s="1" t="n">
        <v>0</v>
      </c>
      <c r="G1389" s="1" t="inlineStr">
        <is>
          <t>Unit</t>
        </is>
      </c>
      <c r="H1389" s="1" t="inlineStr">
        <is>
          <t>Solvent Based</t>
        </is>
      </c>
      <c r="I1389" s="1" t="inlineStr">
        <is>
          <t>-</t>
        </is>
      </c>
      <c r="J1389" t="inlineStr">
        <is>
          <t>In Stock</t>
        </is>
      </c>
      <c r="K1389" t="inlineStr">
        <is>
          <t>In Stock</t>
        </is>
      </c>
      <c r="L1389" t="inlineStr">
        <is>
          <t>In Stock</t>
        </is>
      </c>
    </row>
    <row r="1390">
      <c r="A1390" s="1">
        <f>Hyperlink("https://www.wallsandfloors.co.uk/ltp-cleaning-protecting-ltp-tile-colour-intensifier-11264","Product")</f>
        <v/>
      </c>
      <c r="B1390" s="1" t="inlineStr">
        <is>
          <t>11264</t>
        </is>
      </c>
      <c r="C1390" s="1" t="inlineStr">
        <is>
          <t>LTP Tile Colour Intensifier</t>
        </is>
      </c>
      <c r="D1390" s="1" t="inlineStr">
        <is>
          <t>1 Ltr</t>
        </is>
      </c>
      <c r="E1390" s="1" t="n">
        <v>15.95</v>
      </c>
      <c r="F1390" s="1" t="n">
        <v>0</v>
      </c>
      <c r="G1390" s="1" t="inlineStr">
        <is>
          <t>Unit</t>
        </is>
      </c>
      <c r="H1390" s="1" t="inlineStr">
        <is>
          <t>Sealers and Protectors</t>
        </is>
      </c>
      <c r="I1390" s="1" t="inlineStr">
        <is>
          <t>-</t>
        </is>
      </c>
      <c r="J1390" t="inlineStr">
        <is>
          <t>In Stock</t>
        </is>
      </c>
      <c r="K1390" t="inlineStr">
        <is>
          <t>In Stock</t>
        </is>
      </c>
      <c r="L1390" t="inlineStr">
        <is>
          <t>In Stock</t>
        </is>
      </c>
    </row>
    <row r="1391">
      <c r="A1391" s="1">
        <f>Hyperlink("https://www.wallsandfloors.co.uk/ltp-cleaning-protecting-ltp-solvex","Product")</f>
        <v/>
      </c>
      <c r="B1391" s="1" t="inlineStr">
        <is>
          <t>15037</t>
        </is>
      </c>
      <c r="C1391" s="1" t="inlineStr">
        <is>
          <t>LTP Solvex</t>
        </is>
      </c>
      <c r="D1391" s="1" t="inlineStr">
        <is>
          <t>1 Ltr</t>
        </is>
      </c>
      <c r="E1391" s="1" t="n">
        <v>14.45</v>
      </c>
      <c r="F1391" s="1" t="n">
        <v>0</v>
      </c>
      <c r="G1391" s="1" t="inlineStr">
        <is>
          <t>Unit</t>
        </is>
      </c>
      <c r="H1391" s="1" t="inlineStr">
        <is>
          <t>Accessories</t>
        </is>
      </c>
      <c r="I1391" s="1" t="inlineStr">
        <is>
          <t>-</t>
        </is>
      </c>
      <c r="J1391" t="inlineStr">
        <is>
          <t>In Stock</t>
        </is>
      </c>
      <c r="K1391" t="inlineStr"/>
      <c r="L1391" t="inlineStr">
        <is>
          <t>In Stock</t>
        </is>
      </c>
    </row>
    <row r="1392">
      <c r="A1392" s="1">
        <f>Hyperlink("https://www.wallsandfloors.co.uk/ltp-cleaning-protecting-ltp-power-stripper","Product")</f>
        <v/>
      </c>
      <c r="B1392" s="1" t="inlineStr">
        <is>
          <t>14709</t>
        </is>
      </c>
      <c r="C1392" s="1" t="inlineStr">
        <is>
          <t>LTP Power Stripper</t>
        </is>
      </c>
      <c r="D1392" s="1" t="inlineStr">
        <is>
          <t>1 Ltr</t>
        </is>
      </c>
      <c r="E1392" s="1" t="n">
        <v>13.95</v>
      </c>
      <c r="F1392" s="1" t="n">
        <v>0</v>
      </c>
      <c r="G1392" s="1" t="inlineStr">
        <is>
          <t>Unit</t>
        </is>
      </c>
      <c r="H1392" s="1" t="inlineStr">
        <is>
          <t>Accessories</t>
        </is>
      </c>
      <c r="I1392" s="1" t="inlineStr">
        <is>
          <t>-</t>
        </is>
      </c>
      <c r="J1392" t="inlineStr">
        <is>
          <t>In Stock</t>
        </is>
      </c>
      <c r="K1392" t="inlineStr">
        <is>
          <t>In Stock</t>
        </is>
      </c>
      <c r="L1392" t="inlineStr">
        <is>
          <t>In Stock</t>
        </is>
      </c>
    </row>
    <row r="1393">
      <c r="A1393" s="1">
        <f>Hyperlink("https://www.wallsandfloors.co.uk/lucy-tiles-catalina-blue-torelo-border-tile","Product")</f>
        <v/>
      </c>
      <c r="B1393" s="1" t="inlineStr">
        <is>
          <t>13617</t>
        </is>
      </c>
      <c r="C1393" s="1" t="inlineStr">
        <is>
          <t>Catalina Blue Torelo Border Tile</t>
        </is>
      </c>
      <c r="D1393" s="1" t="inlineStr">
        <is>
          <t>150x20x7mm</t>
        </is>
      </c>
      <c r="E1393" s="1" t="n">
        <v>4.75</v>
      </c>
      <c r="F1393" s="1" t="n">
        <v>0</v>
      </c>
      <c r="G1393" s="1" t="inlineStr">
        <is>
          <t>Tile</t>
        </is>
      </c>
      <c r="H1393" s="1" t="inlineStr">
        <is>
          <t>Ceramic</t>
        </is>
      </c>
      <c r="I1393" s="1" t="inlineStr">
        <is>
          <t>Gloss</t>
        </is>
      </c>
      <c r="J1393" t="inlineStr">
        <is>
          <t>In Stock</t>
        </is>
      </c>
      <c r="K1393" t="inlineStr"/>
      <c r="L1393" t="inlineStr">
        <is>
          <t>In Stock</t>
        </is>
      </c>
    </row>
    <row r="1394">
      <c r="A1394" s="1">
        <f>Hyperlink("https://www.wallsandfloors.co.uk/ltp-cleaning-protecting-ltp-porcelain-tile-cleaner-1ltr","Product")</f>
        <v/>
      </c>
      <c r="B1394" s="1" t="inlineStr">
        <is>
          <t>14209</t>
        </is>
      </c>
      <c r="C1394" s="1" t="inlineStr">
        <is>
          <t>LTP Porcelain Tile Cleaner 1Ltr</t>
        </is>
      </c>
      <c r="D1394" s="1" t="inlineStr">
        <is>
          <t>1 Ltr</t>
        </is>
      </c>
      <c r="E1394" s="1" t="n">
        <v>9.449999999999999</v>
      </c>
      <c r="F1394" s="1" t="n">
        <v>0</v>
      </c>
      <c r="G1394" s="1" t="inlineStr">
        <is>
          <t>Unit</t>
        </is>
      </c>
      <c r="H1394" s="1" t="inlineStr">
        <is>
          <t>Accessories</t>
        </is>
      </c>
      <c r="I1394" s="1" t="inlineStr">
        <is>
          <t>-</t>
        </is>
      </c>
      <c r="J1394" t="inlineStr">
        <is>
          <t>In Stock</t>
        </is>
      </c>
      <c r="K1394" t="inlineStr"/>
      <c r="L1394" t="inlineStr">
        <is>
          <t>In Stock</t>
        </is>
      </c>
    </row>
    <row r="1395">
      <c r="A1395" s="1">
        <f>Hyperlink("https://www.wallsandfloors.co.uk/ltp-cleaning-protecting-ltp-mpg-tile-sealer","Product")</f>
        <v/>
      </c>
      <c r="B1395" s="1" t="inlineStr">
        <is>
          <t>11269</t>
        </is>
      </c>
      <c r="C1395" s="1" t="inlineStr">
        <is>
          <t>LTP MPG Tile Sealer</t>
        </is>
      </c>
      <c r="D1395" s="1" t="inlineStr">
        <is>
          <t>500ml</t>
        </is>
      </c>
      <c r="E1395" s="1" t="n">
        <v>12.45</v>
      </c>
      <c r="F1395" s="1" t="n">
        <v>0</v>
      </c>
      <c r="G1395" s="1" t="inlineStr">
        <is>
          <t>Unit</t>
        </is>
      </c>
      <c r="H1395" s="1" t="inlineStr">
        <is>
          <t>Sealers and Protectors</t>
        </is>
      </c>
      <c r="I1395" s="1" t="inlineStr">
        <is>
          <t>-</t>
        </is>
      </c>
      <c r="J1395" t="inlineStr"/>
      <c r="K1395" t="inlineStr">
        <is>
          <t>In Stock</t>
        </is>
      </c>
      <c r="L1395" t="inlineStr">
        <is>
          <t>In Stock</t>
        </is>
      </c>
    </row>
    <row r="1396">
      <c r="A1396" s="1">
        <f>Hyperlink("https://www.wallsandfloors.co.uk/ltp-cleaning-protecting-ltp-mouldex-spray-500ml","Product")</f>
        <v/>
      </c>
      <c r="B1396" s="1" t="inlineStr">
        <is>
          <t>14537</t>
        </is>
      </c>
      <c r="C1396" s="1" t="inlineStr">
        <is>
          <t>LTP Mouldex Spray 500ml</t>
        </is>
      </c>
      <c r="D1396" s="1" t="inlineStr">
        <is>
          <t>500ml</t>
        </is>
      </c>
      <c r="E1396" s="1" t="n">
        <v>8.449999999999999</v>
      </c>
      <c r="F1396" s="1" t="n">
        <v>0</v>
      </c>
      <c r="G1396" s="1" t="inlineStr">
        <is>
          <t>Unit</t>
        </is>
      </c>
      <c r="H1396" s="1" t="inlineStr">
        <is>
          <t>Accessories</t>
        </is>
      </c>
      <c r="I1396" s="1" t="inlineStr">
        <is>
          <t>-</t>
        </is>
      </c>
      <c r="J1396" t="inlineStr">
        <is>
          <t>In Stock</t>
        </is>
      </c>
      <c r="K1396" t="inlineStr">
        <is>
          <t>In Stock</t>
        </is>
      </c>
      <c r="L1396" t="inlineStr">
        <is>
          <t>In Stock</t>
        </is>
      </c>
    </row>
    <row r="1397">
      <c r="A1397" s="1">
        <f>Hyperlink("https://www.wallsandfloors.co.uk/ltp-cleaning-protecting-ltp-mattstone-tile-sealer-11257","Product")</f>
        <v/>
      </c>
      <c r="B1397" s="1" t="inlineStr">
        <is>
          <t>11257</t>
        </is>
      </c>
      <c r="C1397" s="1" t="inlineStr">
        <is>
          <t>LTP Mattstone Tile Sealer</t>
        </is>
      </c>
      <c r="D1397" s="1" t="inlineStr">
        <is>
          <t>5 Ltr</t>
        </is>
      </c>
      <c r="E1397" s="1" t="n">
        <v>59.95</v>
      </c>
      <c r="F1397" s="1" t="n">
        <v>0</v>
      </c>
      <c r="G1397" s="1" t="inlineStr"/>
      <c r="H1397" s="1" t="inlineStr">
        <is>
          <t>Sealers and Protectors</t>
        </is>
      </c>
      <c r="I1397" s="1" t="inlineStr">
        <is>
          <t>-</t>
        </is>
      </c>
      <c r="J1397" t="inlineStr">
        <is>
          <t>In Stock</t>
        </is>
      </c>
      <c r="K1397" t="inlineStr">
        <is>
          <t>In Stock</t>
        </is>
      </c>
      <c r="L1397" t="inlineStr">
        <is>
          <t>In Stock</t>
        </is>
      </c>
    </row>
    <row r="1398">
      <c r="A1398" s="1">
        <f>Hyperlink("https://www.wallsandfloors.co.uk/ltp-cleaning-protecting-ltp-mattstone-tile-sealer-11256","Product")</f>
        <v/>
      </c>
      <c r="B1398" s="1" t="inlineStr">
        <is>
          <t>11256</t>
        </is>
      </c>
      <c r="C1398" s="1" t="inlineStr">
        <is>
          <t>LTP Mattstone Tile Sealer</t>
        </is>
      </c>
      <c r="D1398" s="1" t="inlineStr">
        <is>
          <t>1 Ltr</t>
        </is>
      </c>
      <c r="E1398" s="1" t="n">
        <v>14.45</v>
      </c>
      <c r="F1398" s="1" t="n">
        <v>0</v>
      </c>
      <c r="G1398" s="1" t="inlineStr">
        <is>
          <t>Unit</t>
        </is>
      </c>
      <c r="H1398" s="1" t="inlineStr">
        <is>
          <t>Sealers and Protectors</t>
        </is>
      </c>
      <c r="I1398" s="1" t="inlineStr">
        <is>
          <t>-</t>
        </is>
      </c>
      <c r="J1398" t="inlineStr"/>
      <c r="K1398" t="inlineStr"/>
      <c r="L1398" t="inlineStr">
        <is>
          <t>In Stock</t>
        </is>
      </c>
    </row>
    <row r="1399">
      <c r="A1399" s="1">
        <f>Hyperlink("https://www.wallsandfloors.co.uk/ltp-cleaning-protecting-ltp-mattstone-tile-sealer","Product")</f>
        <v/>
      </c>
      <c r="B1399" s="1" t="inlineStr">
        <is>
          <t>11255</t>
        </is>
      </c>
      <c r="C1399" s="1" t="inlineStr">
        <is>
          <t>LTP Mattstone Tile Sealer</t>
        </is>
      </c>
      <c r="D1399" s="1" t="inlineStr">
        <is>
          <t>500ml</t>
        </is>
      </c>
      <c r="E1399" s="1" t="n">
        <v>13.95</v>
      </c>
      <c r="F1399" s="1" t="n">
        <v>0</v>
      </c>
      <c r="G1399" s="1" t="inlineStr">
        <is>
          <t>Unit</t>
        </is>
      </c>
      <c r="H1399" s="1" t="inlineStr">
        <is>
          <t>Sealers and Protectors</t>
        </is>
      </c>
      <c r="I1399" s="1" t="inlineStr">
        <is>
          <t>-</t>
        </is>
      </c>
      <c r="J1399" t="inlineStr">
        <is>
          <t>In Stock</t>
        </is>
      </c>
      <c r="K1399" t="inlineStr"/>
      <c r="L1399" t="inlineStr">
        <is>
          <t>In Stock</t>
        </is>
      </c>
    </row>
    <row r="1400">
      <c r="A1400" s="1">
        <f>Hyperlink("https://www.wallsandfloors.co.uk/ltp-cleaning-protecting-ltp-mattstone-h20-tile-sealer","Product")</f>
        <v/>
      </c>
      <c r="B1400" s="1" t="inlineStr">
        <is>
          <t>11271</t>
        </is>
      </c>
      <c r="C1400" s="1" t="inlineStr">
        <is>
          <t>LTP Mattstone H2O Tile Sealer</t>
        </is>
      </c>
      <c r="D1400" s="1" t="inlineStr">
        <is>
          <t>1 Ltr</t>
        </is>
      </c>
      <c r="E1400" s="1" t="n">
        <v>21.95</v>
      </c>
      <c r="F1400" s="1" t="n">
        <v>0</v>
      </c>
      <c r="G1400" s="1" t="inlineStr">
        <is>
          <t>Unit</t>
        </is>
      </c>
      <c r="H1400" s="1" t="inlineStr">
        <is>
          <t>Sealers and Protectors</t>
        </is>
      </c>
      <c r="I1400" s="1" t="inlineStr">
        <is>
          <t>-</t>
        </is>
      </c>
      <c r="J1400" t="inlineStr">
        <is>
          <t>In Stock</t>
        </is>
      </c>
      <c r="K1400" t="inlineStr">
        <is>
          <t>In Stock</t>
        </is>
      </c>
      <c r="L1400" t="inlineStr">
        <is>
          <t>In Stock</t>
        </is>
      </c>
    </row>
    <row r="1401">
      <c r="A1401" s="1">
        <f>Hyperlink("https://www.wallsandfloors.co.uk/ltp-cleaning-protecting-ltp-ironwax-satin-tile-sealer","Product")</f>
        <v/>
      </c>
      <c r="B1401" s="1" t="inlineStr">
        <is>
          <t>11266</t>
        </is>
      </c>
      <c r="C1401" s="1" t="inlineStr">
        <is>
          <t>LTP Ironwax Satin Tile Sealer</t>
        </is>
      </c>
      <c r="D1401" s="1" t="inlineStr">
        <is>
          <t>1 Ltr</t>
        </is>
      </c>
      <c r="E1401" s="1" t="n">
        <v>13.45</v>
      </c>
      <c r="F1401" s="1" t="n">
        <v>0</v>
      </c>
      <c r="G1401" s="1" t="inlineStr">
        <is>
          <t>Unit</t>
        </is>
      </c>
      <c r="H1401" s="1" t="inlineStr">
        <is>
          <t>Sealers and Protectors</t>
        </is>
      </c>
      <c r="I1401" s="1" t="inlineStr">
        <is>
          <t>-</t>
        </is>
      </c>
      <c r="J1401" t="inlineStr">
        <is>
          <t>In Stock</t>
        </is>
      </c>
      <c r="K1401" t="inlineStr">
        <is>
          <t>In Stock</t>
        </is>
      </c>
      <c r="L1401" t="inlineStr">
        <is>
          <t>In Stock</t>
        </is>
      </c>
    </row>
    <row r="1402">
      <c r="A1402" s="1">
        <f>Hyperlink("https://www.wallsandfloors.co.uk/ltp-cleaning-protecting-ltp-ironwax-gloss-tile-sealer","Product")</f>
        <v/>
      </c>
      <c r="B1402" s="1" t="inlineStr">
        <is>
          <t>14041</t>
        </is>
      </c>
      <c r="C1402" s="1" t="inlineStr">
        <is>
          <t>LTP Ironwax Gloss Tile Sealer</t>
        </is>
      </c>
      <c r="D1402" s="1" t="inlineStr">
        <is>
          <t>1 Ltr</t>
        </is>
      </c>
      <c r="E1402" s="1" t="n">
        <v>13.45</v>
      </c>
      <c r="F1402" s="1" t="n">
        <v>0</v>
      </c>
      <c r="G1402" s="1" t="inlineStr"/>
      <c r="H1402" s="1" t="inlineStr">
        <is>
          <t>Accessories</t>
        </is>
      </c>
      <c r="I1402" s="1" t="inlineStr">
        <is>
          <t>-</t>
        </is>
      </c>
      <c r="J1402" t="inlineStr">
        <is>
          <t>In Stock</t>
        </is>
      </c>
      <c r="K1402" t="inlineStr">
        <is>
          <t>In Stock</t>
        </is>
      </c>
      <c r="L1402" t="inlineStr">
        <is>
          <t>In Stock</t>
        </is>
      </c>
    </row>
    <row r="1403">
      <c r="A1403" s="1">
        <f>Hyperlink("https://www.wallsandfloors.co.uk/ltp-cleaning-protecting-ltp-grout-tile-protector-sealer","Product")</f>
        <v/>
      </c>
      <c r="B1403" s="1" t="inlineStr">
        <is>
          <t>11268</t>
        </is>
      </c>
      <c r="C1403" s="1" t="inlineStr">
        <is>
          <t>LTP Grout &amp; Tile Protector (Sealer)</t>
        </is>
      </c>
      <c r="D1403" s="1" t="inlineStr">
        <is>
          <t>600ml</t>
        </is>
      </c>
      <c r="E1403" s="1" t="n">
        <v>14.95</v>
      </c>
      <c r="F1403" s="1" t="n">
        <v>0</v>
      </c>
      <c r="G1403" s="1" t="inlineStr">
        <is>
          <t>Unit</t>
        </is>
      </c>
      <c r="H1403" s="1" t="inlineStr">
        <is>
          <t>Sealers and Protectors</t>
        </is>
      </c>
      <c r="I1403" s="1" t="inlineStr">
        <is>
          <t>-</t>
        </is>
      </c>
      <c r="J1403" t="inlineStr"/>
      <c r="K1403" t="inlineStr">
        <is>
          <t>In Stock</t>
        </is>
      </c>
      <c r="L1403" t="inlineStr">
        <is>
          <t>In Stock</t>
        </is>
      </c>
    </row>
    <row r="1404">
      <c r="A1404" s="1">
        <f>Hyperlink("https://www.wallsandfloors.co.uk/ltp-cleaning-protecting-ltp-grimex-intensive-tile-cleaner","Product")</f>
        <v/>
      </c>
      <c r="B1404" s="1" t="inlineStr">
        <is>
          <t>11274</t>
        </is>
      </c>
      <c r="C1404" s="1" t="inlineStr">
        <is>
          <t>LTP Grimex Intensive Tile Cleaner</t>
        </is>
      </c>
      <c r="D1404" s="1" t="inlineStr">
        <is>
          <t>1 Ltr</t>
        </is>
      </c>
      <c r="E1404" s="1" t="n">
        <v>8.449999999999999</v>
      </c>
      <c r="F1404" s="1" t="n">
        <v>0</v>
      </c>
      <c r="G1404" s="1" t="inlineStr">
        <is>
          <t>Unit</t>
        </is>
      </c>
      <c r="H1404" s="1" t="inlineStr">
        <is>
          <t>Cleaning and Maintenance</t>
        </is>
      </c>
      <c r="I1404" s="1" t="inlineStr">
        <is>
          <t>-</t>
        </is>
      </c>
      <c r="J1404" t="inlineStr"/>
      <c r="K1404" t="inlineStr">
        <is>
          <t>In Stock</t>
        </is>
      </c>
      <c r="L1404" t="inlineStr">
        <is>
          <t>In Stock</t>
        </is>
      </c>
    </row>
    <row r="1405">
      <c r="A1405" s="1">
        <f>Hyperlink("https://www.wallsandfloors.co.uk/ltp-cleaning-protecting-ltp-mpg-tile-sealer-11270","Product")</f>
        <v/>
      </c>
      <c r="B1405" s="1" t="inlineStr">
        <is>
          <t>11270</t>
        </is>
      </c>
      <c r="C1405" s="1" t="inlineStr">
        <is>
          <t>LTP MPG Tile Sealer</t>
        </is>
      </c>
      <c r="D1405" s="1" t="inlineStr">
        <is>
          <t>1 Ltr</t>
        </is>
      </c>
      <c r="E1405" s="1" t="n">
        <v>18.45</v>
      </c>
      <c r="F1405" s="1" t="n">
        <v>0</v>
      </c>
      <c r="G1405" s="1" t="inlineStr"/>
      <c r="H1405" s="1" t="inlineStr">
        <is>
          <t>Sealers and Protectors</t>
        </is>
      </c>
      <c r="I1405" s="1" t="inlineStr">
        <is>
          <t>-</t>
        </is>
      </c>
      <c r="J1405" t="inlineStr">
        <is>
          <t>In Stock</t>
        </is>
      </c>
      <c r="K1405" t="inlineStr">
        <is>
          <t>In Stock</t>
        </is>
      </c>
      <c r="L1405" t="inlineStr">
        <is>
          <t>In Stock</t>
        </is>
      </c>
    </row>
    <row r="1406">
      <c r="A1406" s="1">
        <f>Hyperlink("https://www.wallsandfloors.co.uk/lucy-tiles-isabelline-white-tile","Product")</f>
        <v/>
      </c>
      <c r="B1406" s="1" t="inlineStr">
        <is>
          <t>13619</t>
        </is>
      </c>
      <c r="C1406" s="1" t="inlineStr">
        <is>
          <t>Isabelline White Tile</t>
        </is>
      </c>
      <c r="D1406" s="1" t="inlineStr">
        <is>
          <t>150x150x7mm</t>
        </is>
      </c>
      <c r="E1406" s="1" t="n">
        <v>40.95</v>
      </c>
      <c r="F1406" s="1" t="n">
        <v>0</v>
      </c>
      <c r="G1406" s="1" t="inlineStr">
        <is>
          <t>SQM</t>
        </is>
      </c>
      <c r="H1406" s="1" t="inlineStr">
        <is>
          <t>Ceramic</t>
        </is>
      </c>
      <c r="I1406" s="1" t="inlineStr">
        <is>
          <t>Gloss</t>
        </is>
      </c>
      <c r="J1406" t="n">
        <v>161</v>
      </c>
      <c r="K1406" t="n">
        <v>161</v>
      </c>
      <c r="L1406" t="n">
        <v>161</v>
      </c>
    </row>
    <row r="1407">
      <c r="A1407" s="1">
        <f>Hyperlink("https://www.wallsandfloors.co.uk/lucy-tiles-lucy-floweret-decor-tile","Product")</f>
        <v/>
      </c>
      <c r="B1407" s="1" t="inlineStr">
        <is>
          <t>13612</t>
        </is>
      </c>
      <c r="C1407" s="1" t="inlineStr">
        <is>
          <t>Lucy Floweret Decor Tile</t>
        </is>
      </c>
      <c r="D1407" s="1" t="inlineStr">
        <is>
          <t>150x150x7mm</t>
        </is>
      </c>
      <c r="E1407" s="1" t="n">
        <v>70.95</v>
      </c>
      <c r="F1407" s="1" t="n">
        <v>0</v>
      </c>
      <c r="G1407" s="1" t="inlineStr">
        <is>
          <t>SQM</t>
        </is>
      </c>
      <c r="H1407" s="1" t="inlineStr">
        <is>
          <t>Ceramic</t>
        </is>
      </c>
      <c r="I1407" s="1" t="inlineStr">
        <is>
          <t>Gloss</t>
        </is>
      </c>
      <c r="J1407" t="inlineStr"/>
      <c r="K1407" t="inlineStr">
        <is>
          <t>Out of Stock</t>
        </is>
      </c>
      <c r="L1407" t="inlineStr">
        <is>
          <t>Out of Stock</t>
        </is>
      </c>
    </row>
    <row r="1408">
      <c r="A1408" s="1">
        <f>Hyperlink("https://www.wallsandfloors.co.uk/luster-mosaic-tiles-copper-mosaic-tiles","Product")</f>
        <v/>
      </c>
      <c r="B1408" s="1" t="inlineStr">
        <is>
          <t>14095</t>
        </is>
      </c>
      <c r="C1408" s="1" t="inlineStr">
        <is>
          <t>Lustre Copper Mosaic Tiles</t>
        </is>
      </c>
      <c r="D1408" s="1" t="inlineStr">
        <is>
          <t>330x330x3mm</t>
        </is>
      </c>
      <c r="E1408" s="1" t="n">
        <v>20.95</v>
      </c>
      <c r="F1408" s="1" t="n">
        <v>0</v>
      </c>
      <c r="G1408" s="1" t="inlineStr">
        <is>
          <t>Sheet</t>
        </is>
      </c>
      <c r="H1408" s="1" t="inlineStr">
        <is>
          <t>Glass</t>
        </is>
      </c>
      <c r="I1408" s="1" t="inlineStr">
        <is>
          <t>Semi-Polished</t>
        </is>
      </c>
      <c r="J1408" t="inlineStr">
        <is>
          <t>In Stock</t>
        </is>
      </c>
      <c r="K1408" t="inlineStr">
        <is>
          <t>In Stock</t>
        </is>
      </c>
      <c r="L1408" t="inlineStr">
        <is>
          <t>In Stock</t>
        </is>
      </c>
    </row>
    <row r="1409">
      <c r="A1409" s="1">
        <f>Hyperlink("https://www.wallsandfloors.co.uk/mapei-adhesive-mapeker-rapid-set-flex-white-tile-adhesive","Product")</f>
        <v/>
      </c>
      <c r="B1409" s="1" t="inlineStr">
        <is>
          <t>10656</t>
        </is>
      </c>
      <c r="C1409" s="1" t="inlineStr">
        <is>
          <t>Mapeker Rapid-Set Flex White Tile Adhesive</t>
        </is>
      </c>
      <c r="D1409" s="1" t="inlineStr">
        <is>
          <t>20 Kg</t>
        </is>
      </c>
      <c r="E1409" s="1" t="n">
        <v>23.47</v>
      </c>
      <c r="F1409" s="1" t="n">
        <v>0</v>
      </c>
      <c r="G1409" s="1" t="inlineStr">
        <is>
          <t>Unit</t>
        </is>
      </c>
      <c r="H1409" s="1" t="inlineStr">
        <is>
          <t>Adhesive</t>
        </is>
      </c>
      <c r="I1409" s="1" t="inlineStr">
        <is>
          <t>-</t>
        </is>
      </c>
      <c r="J1409" t="inlineStr">
        <is>
          <t>In Stock</t>
        </is>
      </c>
      <c r="K1409" t="inlineStr">
        <is>
          <t>In Stock</t>
        </is>
      </c>
      <c r="L1409" t="inlineStr">
        <is>
          <t>In Stock</t>
        </is>
      </c>
    </row>
    <row r="1410">
      <c r="A1410" s="1">
        <f>Hyperlink("https://www.wallsandfloors.co.uk/mapei-adhesive-mapeker-rapid-set-flex-grey-tile-adhesive","Product")</f>
        <v/>
      </c>
      <c r="B1410" s="1" t="inlineStr">
        <is>
          <t>10655</t>
        </is>
      </c>
      <c r="C1410" s="1" t="inlineStr">
        <is>
          <t>Mapeker Rapid-Set Flex Grey Tile Adhesive</t>
        </is>
      </c>
      <c r="D1410" s="1" t="inlineStr">
        <is>
          <t>20 Kg</t>
        </is>
      </c>
      <c r="E1410" s="1" t="n">
        <v>17.95</v>
      </c>
      <c r="F1410" s="1" t="n">
        <v>0</v>
      </c>
      <c r="G1410" s="1" t="inlineStr">
        <is>
          <t>Unit</t>
        </is>
      </c>
      <c r="H1410" s="1" t="inlineStr">
        <is>
          <t>Adhesive</t>
        </is>
      </c>
      <c r="I1410" s="1" t="inlineStr">
        <is>
          <t>-</t>
        </is>
      </c>
      <c r="J1410" t="inlineStr"/>
      <c r="K1410" t="n">
        <v>580</v>
      </c>
      <c r="L1410" t="n">
        <v>580</v>
      </c>
    </row>
    <row r="1411">
      <c r="A1411" s="1">
        <f>Hyperlink("https://www.wallsandfloors.co.uk/mapei-adhesive-mapegrip-d2-tile-adhesive","Product")</f>
        <v/>
      </c>
      <c r="B1411" s="1" t="inlineStr">
        <is>
          <t>10653</t>
        </is>
      </c>
      <c r="C1411" s="1" t="inlineStr">
        <is>
          <t>Mapegrip D2 Tile Adhesive</t>
        </is>
      </c>
      <c r="D1411" s="1" t="inlineStr">
        <is>
          <t>15 Kg</t>
        </is>
      </c>
      <c r="E1411" s="1" t="n">
        <v>14.95</v>
      </c>
      <c r="F1411" s="1" t="n">
        <v>0</v>
      </c>
      <c r="G1411" s="1" t="inlineStr">
        <is>
          <t>Unit</t>
        </is>
      </c>
      <c r="H1411" s="1" t="inlineStr">
        <is>
          <t>Adhesive</t>
        </is>
      </c>
      <c r="I1411" s="1" t="inlineStr">
        <is>
          <t>-</t>
        </is>
      </c>
      <c r="J1411" t="inlineStr"/>
      <c r="K1411" t="inlineStr">
        <is>
          <t>In Stock</t>
        </is>
      </c>
      <c r="L1411" t="inlineStr">
        <is>
          <t>In Stock</t>
        </is>
      </c>
    </row>
    <row r="1412">
      <c r="A1412" s="1">
        <f>Hyperlink("https://www.wallsandfloors.co.uk/mapei-adhesive-keraquick-white-tile-adhesive","Product")</f>
        <v/>
      </c>
      <c r="B1412" s="1" t="inlineStr">
        <is>
          <t>10651</t>
        </is>
      </c>
      <c r="C1412" s="1" t="inlineStr">
        <is>
          <t>Keraquick White Tile Adhesive</t>
        </is>
      </c>
      <c r="D1412" s="1" t="inlineStr">
        <is>
          <t>20 Kg</t>
        </is>
      </c>
      <c r="E1412" s="1" t="n">
        <v>24.95</v>
      </c>
      <c r="F1412" s="1" t="n">
        <v>0</v>
      </c>
      <c r="G1412" s="1" t="inlineStr">
        <is>
          <t>Unit</t>
        </is>
      </c>
      <c r="H1412" s="1" t="inlineStr">
        <is>
          <t>Adhesive</t>
        </is>
      </c>
      <c r="I1412" s="1" t="inlineStr">
        <is>
          <t>-</t>
        </is>
      </c>
      <c r="J1412" t="inlineStr">
        <is>
          <t>In Stock</t>
        </is>
      </c>
      <c r="K1412" t="inlineStr"/>
      <c r="L1412" t="inlineStr">
        <is>
          <t>In Stock</t>
        </is>
      </c>
    </row>
    <row r="1413">
      <c r="A1413" s="1">
        <f>Hyperlink("https://www.wallsandfloors.co.uk/mapei-adhesive-keraflex-maxi-white-tile-adhesive","Product")</f>
        <v/>
      </c>
      <c r="B1413" s="1" t="inlineStr">
        <is>
          <t>10649</t>
        </is>
      </c>
      <c r="C1413" s="1" t="inlineStr">
        <is>
          <t>Keraflex Maxi White Tile Adhesive</t>
        </is>
      </c>
      <c r="D1413" s="1" t="inlineStr">
        <is>
          <t>20 Kg</t>
        </is>
      </c>
      <c r="E1413" s="1" t="n">
        <v>19.95</v>
      </c>
      <c r="F1413" s="1" t="n">
        <v>0</v>
      </c>
      <c r="G1413" s="1" t="inlineStr">
        <is>
          <t>Unit</t>
        </is>
      </c>
      <c r="H1413" s="1" t="inlineStr">
        <is>
          <t>Adhesive</t>
        </is>
      </c>
      <c r="I1413" s="1" t="inlineStr">
        <is>
          <t>-</t>
        </is>
      </c>
      <c r="J1413" t="inlineStr"/>
      <c r="K1413" t="inlineStr"/>
      <c r="L1413" t="inlineStr">
        <is>
          <t>Out of Stock</t>
        </is>
      </c>
    </row>
    <row r="1414">
      <c r="A1414" s="1">
        <f>Hyperlink("https://www.wallsandfloors.co.uk/manual-tile-cutters-ts-75-plus-tile-cutter","Product")</f>
        <v/>
      </c>
      <c r="B1414" s="1" t="inlineStr">
        <is>
          <t>9673</t>
        </is>
      </c>
      <c r="C1414" s="1" t="inlineStr">
        <is>
          <t>TS-75 Max Tile Cutter Grey</t>
        </is>
      </c>
      <c r="D1414" s="1" t="inlineStr">
        <is>
          <t>660mm</t>
        </is>
      </c>
      <c r="E1414" s="1" t="n">
        <v>395.25</v>
      </c>
      <c r="F1414" s="1" t="n">
        <v>0</v>
      </c>
      <c r="G1414" s="1" t="inlineStr">
        <is>
          <t>Unit</t>
        </is>
      </c>
      <c r="H1414" s="1" t="inlineStr">
        <is>
          <t>Manual Tile Cutters</t>
        </is>
      </c>
      <c r="I1414" s="1" t="inlineStr">
        <is>
          <t>-</t>
        </is>
      </c>
      <c r="J1414" t="inlineStr"/>
      <c r="K1414" t="inlineStr">
        <is>
          <t>In Stock</t>
        </is>
      </c>
      <c r="L1414" t="inlineStr">
        <is>
          <t>In Stock</t>
        </is>
      </c>
    </row>
    <row r="1415">
      <c r="A1415" s="1">
        <f>Hyperlink("https://www.wallsandfloors.co.uk/manual-tile-cutters-ts-66-max-tile-cutter","Product")</f>
        <v/>
      </c>
      <c r="B1415" s="1" t="inlineStr">
        <is>
          <t>9069</t>
        </is>
      </c>
      <c r="C1415" s="1" t="inlineStr">
        <is>
          <t>TS-66 Max Tile Cutter Grey</t>
        </is>
      </c>
      <c r="D1415" s="1" t="inlineStr">
        <is>
          <t>660mm</t>
        </is>
      </c>
      <c r="E1415" s="1" t="n">
        <v>338.75</v>
      </c>
      <c r="F1415" s="1" t="n">
        <v>0</v>
      </c>
      <c r="G1415" s="1" t="inlineStr">
        <is>
          <t>Unit</t>
        </is>
      </c>
      <c r="H1415" s="1" t="inlineStr">
        <is>
          <t>Manual Tile Cutters</t>
        </is>
      </c>
      <c r="I1415" s="1" t="inlineStr">
        <is>
          <t>-</t>
        </is>
      </c>
      <c r="J1415" t="inlineStr">
        <is>
          <t>In Stock</t>
        </is>
      </c>
      <c r="K1415" t="inlineStr">
        <is>
          <t>In Stock</t>
        </is>
      </c>
      <c r="L1415" t="inlineStr">
        <is>
          <t>In Stock</t>
        </is>
      </c>
    </row>
    <row r="1416">
      <c r="A1416" s="1">
        <f>Hyperlink("https://www.wallsandfloors.co.uk/malone-black-and-white-pattern-tiles","Product")</f>
        <v/>
      </c>
      <c r="B1416" s="1" t="inlineStr">
        <is>
          <t>39855</t>
        </is>
      </c>
      <c r="C1416" s="1" t="inlineStr">
        <is>
          <t>Malone Black &amp; White Tiles</t>
        </is>
      </c>
      <c r="D1416" s="1" t="inlineStr">
        <is>
          <t>450x450x9mm</t>
        </is>
      </c>
      <c r="E1416" s="1" t="n">
        <v>20.95</v>
      </c>
      <c r="F1416" s="1" t="n">
        <v>0</v>
      </c>
      <c r="G1416" s="1" t="inlineStr">
        <is>
          <t>SQM</t>
        </is>
      </c>
      <c r="H1416" s="1" t="inlineStr">
        <is>
          <t>Ceramic</t>
        </is>
      </c>
      <c r="I1416" s="1" t="inlineStr">
        <is>
          <t>-</t>
        </is>
      </c>
      <c r="J1416" t="n">
        <v>69</v>
      </c>
      <c r="K1416" t="inlineStr"/>
      <c r="L1416" t="n">
        <v>69</v>
      </c>
    </row>
    <row r="1417">
      <c r="A1417" s="1">
        <f>Hyperlink("https://www.wallsandfloors.co.uk/malham-limestone-effect-ivory-tiles","Product")</f>
        <v/>
      </c>
      <c r="B1417" s="1" t="inlineStr">
        <is>
          <t>36557</t>
        </is>
      </c>
      <c r="C1417" s="1" t="inlineStr">
        <is>
          <t>Malham Limestone Effect Ivory Tiles</t>
        </is>
      </c>
      <c r="D1417" s="1" t="inlineStr">
        <is>
          <t>750x250x9.5mm</t>
        </is>
      </c>
      <c r="E1417" s="1" t="n">
        <v>23.95</v>
      </c>
      <c r="F1417" s="1" t="n">
        <v>0</v>
      </c>
      <c r="G1417" s="1" t="inlineStr">
        <is>
          <t>SQM</t>
        </is>
      </c>
      <c r="H1417" s="1" t="inlineStr">
        <is>
          <t>Ceramic</t>
        </is>
      </c>
      <c r="I1417" s="1" t="inlineStr">
        <is>
          <t>Matt</t>
        </is>
      </c>
      <c r="J1417" t="n">
        <v>68</v>
      </c>
      <c r="K1417" t="n">
        <v>68</v>
      </c>
      <c r="L1417" t="n">
        <v>68</v>
      </c>
    </row>
    <row r="1418">
      <c r="A1418" s="1">
        <f>Hyperlink("https://www.wallsandfloors.co.uk/majolica-grisaille-tiles","Product")</f>
        <v/>
      </c>
      <c r="B1418" s="1" t="inlineStr">
        <is>
          <t>39067</t>
        </is>
      </c>
      <c r="C1418" s="1" t="inlineStr">
        <is>
          <t>Majolica Grisaille Tiles</t>
        </is>
      </c>
      <c r="D1418" s="1" t="inlineStr">
        <is>
          <t>450x450x10.5mm</t>
        </is>
      </c>
      <c r="E1418" s="1" t="n">
        <v>26.95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Matt</t>
        </is>
      </c>
      <c r="J1418" t="inlineStr">
        <is>
          <t>In Stock</t>
        </is>
      </c>
      <c r="K1418" t="inlineStr">
        <is>
          <t>In Stock</t>
        </is>
      </c>
      <c r="L1418" t="inlineStr">
        <is>
          <t>In Stock</t>
        </is>
      </c>
    </row>
    <row r="1419">
      <c r="A1419" s="1">
        <f>Hyperlink("https://www.wallsandfloors.co.uk/majolica-bellflower-tiles","Product")</f>
        <v/>
      </c>
      <c r="B1419" s="1" t="inlineStr">
        <is>
          <t>39066</t>
        </is>
      </c>
      <c r="C1419" s="1" t="inlineStr">
        <is>
          <t>Majolica Bellflower Tiles</t>
        </is>
      </c>
      <c r="D1419" s="1" t="inlineStr">
        <is>
          <t>450x450x10.5mm</t>
        </is>
      </c>
      <c r="E1419" s="1" t="n">
        <v>26.95</v>
      </c>
      <c r="F1419" s="1" t="n">
        <v>0</v>
      </c>
      <c r="G1419" s="1" t="inlineStr">
        <is>
          <t>SQM</t>
        </is>
      </c>
      <c r="H1419" s="1" t="inlineStr">
        <is>
          <t>Ceramic</t>
        </is>
      </c>
      <c r="I1419" s="1" t="inlineStr">
        <is>
          <t>Matt</t>
        </is>
      </c>
      <c r="J1419" t="n">
        <v>157</v>
      </c>
      <c r="K1419" t="inlineStr"/>
      <c r="L1419" t="n">
        <v>157</v>
      </c>
    </row>
    <row r="1420">
      <c r="A1420" s="1">
        <f>Hyperlink("https://www.wallsandfloors.co.uk/mahal-multicolour-brushed-slate-tiles","Product")</f>
        <v/>
      </c>
      <c r="B1420" s="1" t="inlineStr">
        <is>
          <t>44274</t>
        </is>
      </c>
      <c r="C1420" s="1" t="inlineStr">
        <is>
          <t>Mahal Multicolour Brushed Slate Tiles</t>
        </is>
      </c>
      <c r="D1420" s="1" t="inlineStr">
        <is>
          <t>600x300x8-12mm</t>
        </is>
      </c>
      <c r="E1420" s="1" t="n">
        <v>34.95</v>
      </c>
      <c r="F1420" s="1" t="n">
        <v>0</v>
      </c>
      <c r="G1420" s="1" t="inlineStr">
        <is>
          <t>SQM</t>
        </is>
      </c>
      <c r="H1420" s="1" t="inlineStr">
        <is>
          <t>Slate</t>
        </is>
      </c>
      <c r="I1420" s="1" t="inlineStr">
        <is>
          <t>-</t>
        </is>
      </c>
      <c r="J1420" t="inlineStr">
        <is>
          <t>In Stock</t>
        </is>
      </c>
      <c r="K1420" t="inlineStr"/>
      <c r="L1420" t="inlineStr">
        <is>
          <t>In Stock</t>
        </is>
      </c>
    </row>
    <row r="1421">
      <c r="A1421" s="1">
        <f>Hyperlink("https://www.wallsandfloors.co.uk/mahal-grey-brushed-slate-tiles","Product")</f>
        <v/>
      </c>
      <c r="B1421" s="1" t="inlineStr">
        <is>
          <t>44275</t>
        </is>
      </c>
      <c r="C1421" s="1" t="inlineStr">
        <is>
          <t>Mahal Grey Brushed Slate Tiles</t>
        </is>
      </c>
      <c r="D1421" s="1" t="inlineStr">
        <is>
          <t>600x300x8-12mm</t>
        </is>
      </c>
      <c r="E1421" s="1" t="n">
        <v>34.95</v>
      </c>
      <c r="F1421" s="1" t="n">
        <v>0</v>
      </c>
      <c r="G1421" s="1" t="inlineStr">
        <is>
          <t>SQM</t>
        </is>
      </c>
      <c r="H1421" s="1" t="inlineStr">
        <is>
          <t>Slate</t>
        </is>
      </c>
      <c r="I1421" s="1" t="inlineStr">
        <is>
          <t>-</t>
        </is>
      </c>
      <c r="J1421" t="inlineStr"/>
      <c r="K1421" t="inlineStr"/>
      <c r="L1421" t="n">
        <v>122</v>
      </c>
    </row>
    <row r="1422">
      <c r="A1422" s="1">
        <f>Hyperlink("https://www.wallsandfloors.co.uk/magia-mosaic-tiles-silver-grey-mosaic-tiles","Product")</f>
        <v/>
      </c>
      <c r="B1422" s="1" t="inlineStr">
        <is>
          <t>14086</t>
        </is>
      </c>
      <c r="C1422" s="1" t="inlineStr">
        <is>
          <t>Magia Silver Grey Mosaic Tiles</t>
        </is>
      </c>
      <c r="D1422" s="1" t="inlineStr">
        <is>
          <t>330x330x3mm</t>
        </is>
      </c>
      <c r="E1422" s="1" t="n">
        <v>20.95</v>
      </c>
      <c r="F1422" s="1" t="n">
        <v>0</v>
      </c>
      <c r="G1422" s="1" t="inlineStr">
        <is>
          <t>Sheet</t>
        </is>
      </c>
      <c r="H1422" s="1" t="inlineStr">
        <is>
          <t>Glass</t>
        </is>
      </c>
      <c r="I1422" s="1" t="inlineStr">
        <is>
          <t>Semi-Polished</t>
        </is>
      </c>
      <c r="J1422" t="inlineStr">
        <is>
          <t>In Stock</t>
        </is>
      </c>
      <c r="K1422" t="inlineStr">
        <is>
          <t>In Stock</t>
        </is>
      </c>
      <c r="L1422" t="inlineStr">
        <is>
          <t>In Stock</t>
        </is>
      </c>
    </row>
    <row r="1423">
      <c r="A1423" s="1">
        <f>Hyperlink("https://www.wallsandfloors.co.uk/magia-mosaic-tiles-mix-brown-mosaic-tiles","Product")</f>
        <v/>
      </c>
      <c r="B1423" s="1" t="inlineStr">
        <is>
          <t>14084</t>
        </is>
      </c>
      <c r="C1423" s="1" t="inlineStr">
        <is>
          <t>Magia Mix Brown Mosaic Tiles</t>
        </is>
      </c>
      <c r="D1423" s="1" t="inlineStr">
        <is>
          <t>330x330x3mm</t>
        </is>
      </c>
      <c r="E1423" s="1" t="n">
        <v>20.95</v>
      </c>
      <c r="F1423" s="1" t="n">
        <v>0</v>
      </c>
      <c r="G1423" s="1" t="inlineStr">
        <is>
          <t>Sheet</t>
        </is>
      </c>
      <c r="H1423" s="1" t="inlineStr">
        <is>
          <t>Glass</t>
        </is>
      </c>
      <c r="I1423" s="1" t="inlineStr">
        <is>
          <t>Semi-Polished</t>
        </is>
      </c>
      <c r="J1423" t="inlineStr"/>
      <c r="K1423" t="inlineStr">
        <is>
          <t>In Stock</t>
        </is>
      </c>
      <c r="L1423" t="inlineStr">
        <is>
          <t>In Stock</t>
        </is>
      </c>
    </row>
    <row r="1424">
      <c r="A1424" s="1">
        <f>Hyperlink("https://www.wallsandfloors.co.uk/magia-mosaic-tiles-ice-white-mosaic-tiles","Product")</f>
        <v/>
      </c>
      <c r="B1424" s="1" t="inlineStr">
        <is>
          <t>14083</t>
        </is>
      </c>
      <c r="C1424" s="1" t="inlineStr">
        <is>
          <t>Magia Ice White Mosaic Tiles</t>
        </is>
      </c>
      <c r="D1424" s="1" t="inlineStr">
        <is>
          <t>330x330x3mm</t>
        </is>
      </c>
      <c r="E1424" s="1" t="n">
        <v>19.95</v>
      </c>
      <c r="F1424" s="1" t="n">
        <v>0</v>
      </c>
      <c r="G1424" s="1" t="inlineStr">
        <is>
          <t>Sheet</t>
        </is>
      </c>
      <c r="H1424" s="1" t="inlineStr">
        <is>
          <t>Glass</t>
        </is>
      </c>
      <c r="I1424" s="1" t="inlineStr">
        <is>
          <t>Semi-Polished</t>
        </is>
      </c>
      <c r="J1424" t="n">
        <v>5</v>
      </c>
      <c r="K1424" t="inlineStr"/>
      <c r="L1424" t="n">
        <v>5</v>
      </c>
    </row>
    <row r="1425">
      <c r="A1425" s="1">
        <f>Hyperlink("https://www.wallsandfloors.co.uk/madagascan-aged-wood-effect-tiles","Product")</f>
        <v/>
      </c>
      <c r="B1425" s="1" t="inlineStr">
        <is>
          <t>14686</t>
        </is>
      </c>
      <c r="C1425" s="1" t="inlineStr">
        <is>
          <t>Madagascan Ipil Aged Wood Effect Tiles</t>
        </is>
      </c>
      <c r="D1425" s="1" t="inlineStr">
        <is>
          <t>1200x230x8mm</t>
        </is>
      </c>
      <c r="E1425" s="1" t="n">
        <v>21.95</v>
      </c>
      <c r="F1425" s="1" t="n">
        <v>0</v>
      </c>
      <c r="G1425" s="1" t="inlineStr">
        <is>
          <t>SQM</t>
        </is>
      </c>
      <c r="H1425" s="1" t="inlineStr">
        <is>
          <t>Porcelain</t>
        </is>
      </c>
      <c r="I1425" s="1" t="inlineStr">
        <is>
          <t>Matt</t>
        </is>
      </c>
      <c r="J1425" t="n">
        <v>298</v>
      </c>
      <c r="K1425" t="n">
        <v>298</v>
      </c>
      <c r="L1425" t="n">
        <v>298</v>
      </c>
    </row>
    <row r="1426">
      <c r="A1426" s="1">
        <f>Hyperlink("https://www.wallsandfloors.co.uk/macadamize-tiles-shaded-black-concrete-effect-tiles","Product")</f>
        <v/>
      </c>
      <c r="B1426" s="1" t="inlineStr">
        <is>
          <t>14578</t>
        </is>
      </c>
      <c r="C1426" s="1" t="inlineStr">
        <is>
          <t>Shaded Black Concrete Effect Tiles</t>
        </is>
      </c>
      <c r="D1426" s="1" t="inlineStr">
        <is>
          <t>326x326x9mm</t>
        </is>
      </c>
      <c r="E1426" s="1" t="n">
        <v>18.95</v>
      </c>
      <c r="F1426" s="1" t="n">
        <v>0</v>
      </c>
      <c r="G1426" s="1" t="inlineStr">
        <is>
          <t>SQM</t>
        </is>
      </c>
      <c r="H1426" s="1" t="inlineStr">
        <is>
          <t>Porcelain</t>
        </is>
      </c>
      <c r="I1426" s="1" t="inlineStr">
        <is>
          <t>Matt</t>
        </is>
      </c>
      <c r="J1426" t="inlineStr">
        <is>
          <t>In Stock</t>
        </is>
      </c>
      <c r="K1426" t="inlineStr">
        <is>
          <t>In Stock</t>
        </is>
      </c>
      <c r="L1426" t="inlineStr">
        <is>
          <t>In Stock</t>
        </is>
      </c>
    </row>
    <row r="1427">
      <c r="A1427" s="1">
        <f>Hyperlink("https://www.wallsandfloors.co.uk/lvt-underlay-1-2m-cut-piece","Product")</f>
        <v/>
      </c>
      <c r="B1427" s="1" t="inlineStr">
        <is>
          <t>42771</t>
        </is>
      </c>
      <c r="C1427" s="1" t="inlineStr">
        <is>
          <t>LVT Underlay Section - 0.48 Sqm</t>
        </is>
      </c>
      <c r="D1427" s="1" t="inlineStr">
        <is>
          <t>1200x400x1.5mm</t>
        </is>
      </c>
      <c r="E1427" s="1" t="n">
        <v>2.95</v>
      </c>
      <c r="F1427" s="1" t="n">
        <v>0</v>
      </c>
      <c r="G1427" s="1" t="inlineStr">
        <is>
          <t>Sheet</t>
        </is>
      </c>
      <c r="H1427" s="1" t="inlineStr">
        <is>
          <t>XPS Foam</t>
        </is>
      </c>
      <c r="I1427" s="1" t="inlineStr">
        <is>
          <t>-</t>
        </is>
      </c>
      <c r="J1427" t="inlineStr"/>
      <c r="K1427" t="inlineStr">
        <is>
          <t>Out of Stock</t>
        </is>
      </c>
      <c r="L1427" t="inlineStr">
        <is>
          <t>Out of Stock</t>
        </is>
      </c>
    </row>
    <row r="1428">
      <c r="A1428" s="1">
        <f>Hyperlink("https://www.wallsandfloors.co.uk/luxcity-park-cream-tiles","Product")</f>
        <v/>
      </c>
      <c r="B1428" s="1" t="inlineStr">
        <is>
          <t>34811</t>
        </is>
      </c>
      <c r="C1428" s="1" t="inlineStr">
        <is>
          <t>Luxcity Park Cream Tiles</t>
        </is>
      </c>
      <c r="D1428" s="1" t="inlineStr">
        <is>
          <t>600x600x10mm</t>
        </is>
      </c>
      <c r="E1428" s="1" t="n">
        <v>21.18</v>
      </c>
      <c r="F1428" s="1" t="n">
        <v>0</v>
      </c>
      <c r="G1428" s="1" t="inlineStr">
        <is>
          <t>SQM</t>
        </is>
      </c>
      <c r="H1428" s="1" t="inlineStr">
        <is>
          <t>Porcelain</t>
        </is>
      </c>
      <c r="I1428" s="1" t="inlineStr">
        <is>
          <t>Matt</t>
        </is>
      </c>
      <c r="J1428" t="n">
        <v>146</v>
      </c>
      <c r="K1428" t="n">
        <v>146</v>
      </c>
      <c r="L1428" t="n">
        <v>146</v>
      </c>
    </row>
    <row r="1429">
      <c r="A1429" s="1">
        <f>Hyperlink("https://www.wallsandfloors.co.uk/lustra-pearl-tiles-pearl-white-tiles","Product")</f>
        <v/>
      </c>
      <c r="B1429" s="1" t="inlineStr">
        <is>
          <t>3817</t>
        </is>
      </c>
      <c r="C1429" s="1" t="inlineStr">
        <is>
          <t>Pearl White Tiles</t>
        </is>
      </c>
      <c r="D1429" s="1" t="inlineStr">
        <is>
          <t>327x327x4mm</t>
        </is>
      </c>
      <c r="E1429" s="1" t="n">
        <v>9.949999999999999</v>
      </c>
      <c r="F1429" s="1" t="n">
        <v>0</v>
      </c>
      <c r="G1429" s="1" t="inlineStr">
        <is>
          <t>Sheet</t>
        </is>
      </c>
      <c r="H1429" s="1" t="inlineStr">
        <is>
          <t>Glass</t>
        </is>
      </c>
      <c r="I1429" s="1" t="inlineStr">
        <is>
          <t>Matt</t>
        </is>
      </c>
      <c r="J1429" t="inlineStr"/>
      <c r="K1429" t="inlineStr">
        <is>
          <t>In Stock</t>
        </is>
      </c>
      <c r="L1429" t="inlineStr">
        <is>
          <t>In Stock</t>
        </is>
      </c>
    </row>
    <row r="1430">
      <c r="A1430" s="1">
        <f>Hyperlink("https://www.wallsandfloors.co.uk/lustra-pearl-tiles-pearl-aqua-tiles","Product")</f>
        <v/>
      </c>
      <c r="B1430" s="1" t="inlineStr">
        <is>
          <t>3816</t>
        </is>
      </c>
      <c r="C1430" s="1" t="inlineStr">
        <is>
          <t>Pearl Aqua Tiles</t>
        </is>
      </c>
      <c r="D1430" s="1" t="inlineStr">
        <is>
          <t>327x327x4mm</t>
        </is>
      </c>
      <c r="E1430" s="1" t="n">
        <v>9.949999999999999</v>
      </c>
      <c r="F1430" s="1" t="n">
        <v>0</v>
      </c>
      <c r="G1430" s="1" t="inlineStr">
        <is>
          <t>Sheet</t>
        </is>
      </c>
      <c r="H1430" s="1" t="inlineStr">
        <is>
          <t>Glass</t>
        </is>
      </c>
      <c r="I1430" s="1" t="inlineStr">
        <is>
          <t>Matt</t>
        </is>
      </c>
      <c r="J1430" t="inlineStr">
        <is>
          <t>Out of Stock</t>
        </is>
      </c>
      <c r="K1430" t="inlineStr">
        <is>
          <t>Out of Stock</t>
        </is>
      </c>
      <c r="L1430" t="inlineStr">
        <is>
          <t>Out of Stock</t>
        </is>
      </c>
    </row>
    <row r="1431">
      <c r="A1431" s="1">
        <f>Hyperlink("https://www.wallsandfloors.co.uk/luster-mosaic-tiles-light-grey-mosaic-tiles","Product")</f>
        <v/>
      </c>
      <c r="B1431" s="1" t="inlineStr">
        <is>
          <t>14098</t>
        </is>
      </c>
      <c r="C1431" s="1" t="inlineStr">
        <is>
          <t>Luster Light Grey Mosaic Tiles</t>
        </is>
      </c>
      <c r="D1431" s="1" t="inlineStr">
        <is>
          <t>330x330x3mm</t>
        </is>
      </c>
      <c r="E1431" s="1" t="n">
        <v>20.95</v>
      </c>
      <c r="F1431" s="1" t="n">
        <v>0</v>
      </c>
      <c r="G1431" s="1" t="inlineStr"/>
      <c r="H1431" s="1" t="inlineStr">
        <is>
          <t>Glass</t>
        </is>
      </c>
      <c r="I1431" s="1" t="inlineStr">
        <is>
          <t>Semi-Polished</t>
        </is>
      </c>
      <c r="J1431" t="inlineStr">
        <is>
          <t>In Stock</t>
        </is>
      </c>
      <c r="K1431" t="inlineStr">
        <is>
          <t>In Stock</t>
        </is>
      </c>
      <c r="L1431" t="inlineStr">
        <is>
          <t>In Stock</t>
        </is>
      </c>
    </row>
    <row r="1432">
      <c r="A1432" s="1">
        <f>Hyperlink("https://www.wallsandfloors.co.uk/ltp-cleaning-protecting-ltp-floorshine-tile-maintenance","Product")</f>
        <v/>
      </c>
      <c r="B1432" s="1" t="inlineStr">
        <is>
          <t>11273</t>
        </is>
      </c>
      <c r="C1432" s="1" t="inlineStr">
        <is>
          <t>LTP Floorshine Tile Maintenance</t>
        </is>
      </c>
      <c r="D1432" s="1" t="inlineStr">
        <is>
          <t>1 Ltr</t>
        </is>
      </c>
      <c r="E1432" s="1" t="n">
        <v>10.95</v>
      </c>
      <c r="F1432" s="1" t="n">
        <v>0</v>
      </c>
      <c r="G1432" s="1" t="inlineStr">
        <is>
          <t>Unit</t>
        </is>
      </c>
      <c r="H1432" s="1" t="inlineStr">
        <is>
          <t>Cleaning and Maintenance</t>
        </is>
      </c>
      <c r="I1432" s="1" t="inlineStr">
        <is>
          <t>-</t>
        </is>
      </c>
      <c r="J1432" t="inlineStr">
        <is>
          <t>In Stock</t>
        </is>
      </c>
      <c r="K1432" t="inlineStr">
        <is>
          <t>In Stock</t>
        </is>
      </c>
      <c r="L1432" t="inlineStr">
        <is>
          <t>In Stock</t>
        </is>
      </c>
    </row>
    <row r="1433">
      <c r="A1433" s="1">
        <f>Hyperlink("https://www.wallsandfloors.co.uk/lozenga-silver-luxe-mosaic-tiles","Product")</f>
        <v/>
      </c>
      <c r="B1433" s="1" t="inlineStr">
        <is>
          <t>37261</t>
        </is>
      </c>
      <c r="C1433" s="1" t="inlineStr">
        <is>
          <t>Lozenga Silver Luxe Mosaic Tiles</t>
        </is>
      </c>
      <c r="D1433" s="1" t="inlineStr">
        <is>
          <t>299x260x6mm</t>
        </is>
      </c>
      <c r="E1433" s="1" t="n">
        <v>7</v>
      </c>
      <c r="F1433" s="1" t="n">
        <v>0</v>
      </c>
      <c r="G1433" s="1" t="inlineStr">
        <is>
          <t>Sheet</t>
        </is>
      </c>
      <c r="H1433" s="1" t="inlineStr">
        <is>
          <t>Glass</t>
        </is>
      </c>
      <c r="I1433" s="1" t="inlineStr">
        <is>
          <t>Gloss</t>
        </is>
      </c>
      <c r="J1433" t="n">
        <v>73</v>
      </c>
      <c r="K1433" t="n">
        <v>73</v>
      </c>
      <c r="L1433" t="n">
        <v>73</v>
      </c>
    </row>
    <row r="1434">
      <c r="A1434" s="1">
        <f>Hyperlink("https://www.wallsandfloors.co.uk/lozenga-graphite-luxe-mosaic-tiles","Product")</f>
        <v/>
      </c>
      <c r="B1434" s="1" t="inlineStr">
        <is>
          <t>37260</t>
        </is>
      </c>
      <c r="C1434" s="1" t="inlineStr">
        <is>
          <t>Lozenga Graphite Luxe Mosaic Tiles</t>
        </is>
      </c>
      <c r="D1434" s="1" t="inlineStr">
        <is>
          <t>299x260x6mm</t>
        </is>
      </c>
      <c r="E1434" s="1" t="n">
        <v>6.7</v>
      </c>
      <c r="F1434" s="1" t="n">
        <v>0</v>
      </c>
      <c r="G1434" s="1" t="inlineStr">
        <is>
          <t>Sheet</t>
        </is>
      </c>
      <c r="H1434" s="1" t="inlineStr">
        <is>
          <t>Glass</t>
        </is>
      </c>
      <c r="I1434" s="1" t="inlineStr">
        <is>
          <t>Gloss</t>
        </is>
      </c>
      <c r="J1434" t="inlineStr"/>
      <c r="K1434" t="inlineStr"/>
      <c r="L1434" t="n">
        <v>52</v>
      </c>
    </row>
    <row r="1435">
      <c r="A1435" s="1">
        <f>Hyperlink("https://www.wallsandfloors.co.uk/lozenga-copper-luxe-mosaic-tiles","Product")</f>
        <v/>
      </c>
      <c r="B1435" s="1" t="inlineStr">
        <is>
          <t>37259</t>
        </is>
      </c>
      <c r="C1435" s="1" t="inlineStr">
        <is>
          <t>Lozenga Copper Luxe Mosaic Tiles</t>
        </is>
      </c>
      <c r="D1435" s="1" t="inlineStr">
        <is>
          <t>299x260x6mm</t>
        </is>
      </c>
      <c r="E1435" s="1" t="n">
        <v>7.15</v>
      </c>
      <c r="F1435" s="1" t="n">
        <v>0</v>
      </c>
      <c r="G1435" s="1" t="inlineStr">
        <is>
          <t>Sheet</t>
        </is>
      </c>
      <c r="H1435" s="1" t="inlineStr">
        <is>
          <t>Glass</t>
        </is>
      </c>
      <c r="I1435" s="1" t="inlineStr">
        <is>
          <t>Gloss</t>
        </is>
      </c>
      <c r="J1435" t="inlineStr"/>
      <c r="K1435" t="n">
        <v>5</v>
      </c>
      <c r="L1435" t="n">
        <v>5</v>
      </c>
    </row>
    <row r="1436">
      <c r="A1436" s="1">
        <f>Hyperlink("https://www.wallsandfloors.co.uk/light-oak-skirt-tiles","Product")</f>
        <v/>
      </c>
      <c r="B1436" s="1" t="inlineStr">
        <is>
          <t>36630</t>
        </is>
      </c>
      <c r="C1436" s="1" t="inlineStr">
        <is>
          <t>Muniellos Light Oak Wood Effect Skirt Tiles</t>
        </is>
      </c>
      <c r="D1436" s="1" t="inlineStr">
        <is>
          <t>450x75x10.5mm</t>
        </is>
      </c>
      <c r="E1436" s="1" t="n">
        <v>7.95</v>
      </c>
      <c r="F1436" s="1" t="n">
        <v>0</v>
      </c>
      <c r="G1436" s="1" t="inlineStr">
        <is>
          <t>Tile</t>
        </is>
      </c>
      <c r="H1436" s="1" t="inlineStr">
        <is>
          <t>Porcelain</t>
        </is>
      </c>
      <c r="I1436" s="1" t="inlineStr">
        <is>
          <t>Matt</t>
        </is>
      </c>
      <c r="J1436" t="inlineStr">
        <is>
          <t>In Stock</t>
        </is>
      </c>
      <c r="K1436" t="inlineStr"/>
      <c r="L1436" t="inlineStr">
        <is>
          <t>In Stock</t>
        </is>
      </c>
    </row>
    <row r="1437">
      <c r="A1437" s="1">
        <f>Hyperlink("https://www.wallsandfloors.co.uk/light-oak-910x153-anti-slip-tiles","Product")</f>
        <v/>
      </c>
      <c r="B1437" s="1" t="inlineStr">
        <is>
          <t>36543</t>
        </is>
      </c>
      <c r="C1437" s="1" t="inlineStr">
        <is>
          <t>Muniellos Light Oak Anti-Slip Wood Effect Tiles</t>
        </is>
      </c>
      <c r="D1437" s="1" t="inlineStr">
        <is>
          <t>900x150x10.5mm</t>
        </is>
      </c>
      <c r="E1437" s="1" t="n">
        <v>33.95</v>
      </c>
      <c r="F1437" s="1" t="n">
        <v>0</v>
      </c>
      <c r="G1437" s="1" t="inlineStr">
        <is>
          <t>SQM</t>
        </is>
      </c>
      <c r="H1437" s="1" t="inlineStr">
        <is>
          <t>Porcelain</t>
        </is>
      </c>
      <c r="I1437" s="1" t="inlineStr">
        <is>
          <t>Matt</t>
        </is>
      </c>
      <c r="J1437" t="inlineStr"/>
      <c r="K1437" t="n">
        <v>68</v>
      </c>
      <c r="L1437" t="n">
        <v>68</v>
      </c>
    </row>
    <row r="1438">
      <c r="A1438" s="1">
        <f>Hyperlink("https://www.wallsandfloors.co.uk/light-oak-1225x200-tiles","Product")</f>
        <v/>
      </c>
      <c r="B1438" s="1" t="inlineStr">
        <is>
          <t>36541</t>
        </is>
      </c>
      <c r="C1438" s="1" t="inlineStr">
        <is>
          <t>Muniellos Light Oak Wood Effect Tiles</t>
        </is>
      </c>
      <c r="D1438" s="1" t="inlineStr">
        <is>
          <t>1215x195x10mm</t>
        </is>
      </c>
      <c r="E1438" s="1" t="n">
        <v>35.95</v>
      </c>
      <c r="F1438" s="1" t="n">
        <v>0</v>
      </c>
      <c r="G1438" s="1" t="inlineStr">
        <is>
          <t>SQM</t>
        </is>
      </c>
      <c r="H1438" s="1" t="inlineStr">
        <is>
          <t>Porcelain</t>
        </is>
      </c>
      <c r="I1438" s="1" t="inlineStr">
        <is>
          <t>Matt</t>
        </is>
      </c>
      <c r="J1438" t="n">
        <v>85</v>
      </c>
      <c r="K1438" t="n">
        <v>85</v>
      </c>
      <c r="L1438" t="n">
        <v>85</v>
      </c>
    </row>
    <row r="1439">
      <c r="A1439" s="1">
        <f>Hyperlink("https://www.wallsandfloors.co.uk/leinz-grey-slab-tiles","Product")</f>
        <v/>
      </c>
      <c r="B1439" s="1" t="inlineStr">
        <is>
          <t>44494</t>
        </is>
      </c>
      <c r="C1439" s="1" t="inlineStr">
        <is>
          <t>Leinz Grey Porcelain Paving Slabs</t>
        </is>
      </c>
      <c r="D1439" s="1" t="inlineStr">
        <is>
          <t>595x595x20mm</t>
        </is>
      </c>
      <c r="E1439" s="1" t="n">
        <v>25.95</v>
      </c>
      <c r="F1439" s="1" t="n">
        <v>0</v>
      </c>
      <c r="G1439" s="1" t="inlineStr">
        <is>
          <t>SQM</t>
        </is>
      </c>
      <c r="H1439" s="1" t="inlineStr">
        <is>
          <t>Porcelain</t>
        </is>
      </c>
      <c r="I1439" s="1" t="inlineStr">
        <is>
          <t>Matt</t>
        </is>
      </c>
      <c r="J1439" t="n">
        <v>3498</v>
      </c>
      <c r="K1439" t="inlineStr"/>
      <c r="L1439" t="n">
        <v>3498</v>
      </c>
    </row>
    <row r="1440">
      <c r="A1440" s="1">
        <f>Hyperlink("https://www.wallsandfloors.co.uk/leinz-dark-grey-slab-tiles","Product")</f>
        <v/>
      </c>
      <c r="B1440" s="1" t="inlineStr">
        <is>
          <t>44495</t>
        </is>
      </c>
      <c r="C1440" s="1" t="inlineStr">
        <is>
          <t>Leinz Dark Grey Porcelain Paving Slabs</t>
        </is>
      </c>
      <c r="D1440" s="1" t="inlineStr">
        <is>
          <t>595x595x20mm</t>
        </is>
      </c>
      <c r="E1440" s="1" t="n">
        <v>30.95</v>
      </c>
      <c r="F1440" s="1" t="n">
        <v>0</v>
      </c>
      <c r="G1440" s="1" t="inlineStr">
        <is>
          <t>SQM</t>
        </is>
      </c>
      <c r="H1440" s="1" t="inlineStr">
        <is>
          <t>Porcelain</t>
        </is>
      </c>
      <c r="I1440" s="1" t="inlineStr">
        <is>
          <t>Matt</t>
        </is>
      </c>
      <c r="J1440" t="n">
        <v>766</v>
      </c>
      <c r="K1440" t="n">
        <v>766</v>
      </c>
      <c r="L1440" t="n">
        <v>766</v>
      </c>
    </row>
    <row r="1441">
      <c r="A1441" s="1">
        <f>Hyperlink("https://www.wallsandfloors.co.uk/ledbury-slate-grey-tiles","Product")</f>
        <v/>
      </c>
      <c r="B1441" s="1" t="inlineStr">
        <is>
          <t>37444</t>
        </is>
      </c>
      <c r="C1441" s="1" t="inlineStr">
        <is>
          <t>Ledbury Slate Grey Pattern Tiles</t>
        </is>
      </c>
      <c r="D1441" s="1" t="inlineStr">
        <is>
          <t>450x450x10mm</t>
        </is>
      </c>
      <c r="E1441" s="1" t="n">
        <v>18.95</v>
      </c>
      <c r="F1441" s="1" t="n">
        <v>0</v>
      </c>
      <c r="G1441" s="1" t="inlineStr">
        <is>
          <t>SQM</t>
        </is>
      </c>
      <c r="H1441" s="1" t="inlineStr">
        <is>
          <t>Ceramic</t>
        </is>
      </c>
      <c r="I1441" s="1" t="inlineStr">
        <is>
          <t>Satin</t>
        </is>
      </c>
      <c r="J1441" t="inlineStr"/>
      <c r="K1441" t="inlineStr"/>
      <c r="L1441" t="n">
        <v>1122</v>
      </c>
    </row>
    <row r="1442">
      <c r="A1442" s="1">
        <f>Hyperlink("https://www.wallsandfloors.co.uk/ledbury-powder-blue-tiles","Product")</f>
        <v/>
      </c>
      <c r="B1442" s="1" t="inlineStr">
        <is>
          <t>37442</t>
        </is>
      </c>
      <c r="C1442" s="1" t="inlineStr">
        <is>
          <t>Ledbury Powder Blue Pattern Tiles</t>
        </is>
      </c>
      <c r="D1442" s="1" t="inlineStr">
        <is>
          <t>450x450x10mm</t>
        </is>
      </c>
      <c r="E1442" s="1" t="n">
        <v>18.95</v>
      </c>
      <c r="F1442" s="1" t="n">
        <v>0</v>
      </c>
      <c r="G1442" s="1" t="inlineStr">
        <is>
          <t>SQM</t>
        </is>
      </c>
      <c r="H1442" s="1" t="inlineStr">
        <is>
          <t>Ceramic</t>
        </is>
      </c>
      <c r="I1442" s="1" t="inlineStr">
        <is>
          <t>Satin</t>
        </is>
      </c>
      <c r="J1442" t="n">
        <v>728</v>
      </c>
      <c r="K1442" t="n">
        <v>728</v>
      </c>
      <c r="L1442" t="n">
        <v>728</v>
      </c>
    </row>
    <row r="1443">
      <c r="A1443" s="1">
        <f>Hyperlink("https://www.wallsandfloors.co.uk/leaf-gloss-20x10-tiles","Product")</f>
        <v/>
      </c>
      <c r="B1443" s="1" t="inlineStr">
        <is>
          <t>13029</t>
        </is>
      </c>
      <c r="C1443" s="1" t="inlineStr">
        <is>
          <t>Ritz Leaf Gloss Tiles</t>
        </is>
      </c>
      <c r="D1443" s="1" t="inlineStr">
        <is>
          <t>200x100x6.5mm</t>
        </is>
      </c>
      <c r="E1443" s="1" t="n">
        <v>38.95</v>
      </c>
      <c r="F1443" s="1" t="n">
        <v>0</v>
      </c>
      <c r="G1443" s="1" t="inlineStr">
        <is>
          <t>SQM</t>
        </is>
      </c>
      <c r="H1443" s="1" t="inlineStr">
        <is>
          <t>Ceramic</t>
        </is>
      </c>
      <c r="I1443" s="1" t="inlineStr">
        <is>
          <t>Gloss</t>
        </is>
      </c>
      <c r="J1443" t="inlineStr"/>
      <c r="K1443" t="inlineStr">
        <is>
          <t>In Stock</t>
        </is>
      </c>
      <c r="L1443" t="inlineStr">
        <is>
          <t>In Stock</t>
        </is>
      </c>
    </row>
    <row r="1444">
      <c r="A1444" s="1">
        <f>Hyperlink("https://www.wallsandfloors.co.uk/lazio-tiles-beige-plain-tiles","Product")</f>
        <v/>
      </c>
      <c r="B1444" s="1" t="inlineStr">
        <is>
          <t>14646</t>
        </is>
      </c>
      <c r="C1444" s="1" t="inlineStr">
        <is>
          <t>Beige Plain Tiles</t>
        </is>
      </c>
      <c r="D1444" s="1" t="inlineStr">
        <is>
          <t>450x450x9.5mm</t>
        </is>
      </c>
      <c r="E1444" s="1" t="n">
        <v>10.95</v>
      </c>
      <c r="F1444" s="1" t="n">
        <v>0</v>
      </c>
      <c r="G1444" s="1" t="inlineStr">
        <is>
          <t>SQM</t>
        </is>
      </c>
      <c r="H1444" s="1" t="inlineStr">
        <is>
          <t>Ceramic</t>
        </is>
      </c>
      <c r="I1444" s="1" t="inlineStr">
        <is>
          <t>Matt</t>
        </is>
      </c>
      <c r="J1444" t="inlineStr">
        <is>
          <t>In Stock</t>
        </is>
      </c>
      <c r="K1444" t="inlineStr">
        <is>
          <t>In Stock</t>
        </is>
      </c>
      <c r="L1444" t="inlineStr">
        <is>
          <t>In Stock</t>
        </is>
      </c>
    </row>
    <row r="1445">
      <c r="A1445" s="1">
        <f>Hyperlink("https://www.wallsandfloors.co.uk/laurel-wood-effect-tiles-honey-wood-tiles","Product")</f>
        <v/>
      </c>
      <c r="B1445" s="1" t="inlineStr">
        <is>
          <t>12355</t>
        </is>
      </c>
      <c r="C1445" s="1" t="inlineStr">
        <is>
          <t>Laurel Honey Wood Effect Tiles</t>
        </is>
      </c>
      <c r="D1445" s="1" t="inlineStr">
        <is>
          <t>615x205x8mm</t>
        </is>
      </c>
      <c r="E1445" s="1" t="n">
        <v>19.95</v>
      </c>
      <c r="F1445" s="1" t="n">
        <v>0</v>
      </c>
      <c r="G1445" s="1" t="inlineStr">
        <is>
          <t>SQM</t>
        </is>
      </c>
      <c r="H1445" s="1" t="inlineStr">
        <is>
          <t>Ceramic</t>
        </is>
      </c>
      <c r="I1445" s="1" t="inlineStr">
        <is>
          <t>Matt</t>
        </is>
      </c>
      <c r="J1445" t="n">
        <v>383</v>
      </c>
      <c r="K1445" t="n">
        <v>383</v>
      </c>
      <c r="L1445" t="n">
        <v>383</v>
      </c>
    </row>
    <row r="1446">
      <c r="A1446" s="1">
        <f>Hyperlink("https://www.wallsandfloors.co.uk/largo-tusk-tiles","Product")</f>
        <v/>
      </c>
      <c r="B1446" s="1" t="inlineStr">
        <is>
          <t>36973</t>
        </is>
      </c>
      <c r="C1446" s="1" t="inlineStr">
        <is>
          <t>Largo Tusk Cream Tiles</t>
        </is>
      </c>
      <c r="D1446" s="1" t="inlineStr">
        <is>
          <t>900x330x10mm</t>
        </is>
      </c>
      <c r="E1446" s="1" t="n">
        <v>28.95</v>
      </c>
      <c r="F1446" s="1" t="n">
        <v>0</v>
      </c>
      <c r="G1446" s="1" t="inlineStr">
        <is>
          <t>SQM</t>
        </is>
      </c>
      <c r="H1446" s="1" t="inlineStr">
        <is>
          <t>Porcelain</t>
        </is>
      </c>
      <c r="I1446" s="1" t="inlineStr">
        <is>
          <t>Matt</t>
        </is>
      </c>
      <c r="J1446" t="inlineStr"/>
      <c r="K1446" t="n">
        <v>301</v>
      </c>
      <c r="L1446" t="n">
        <v>301</v>
      </c>
    </row>
    <row r="1447">
      <c r="A1447" s="1">
        <f>Hyperlink("https://www.wallsandfloors.co.uk/largo-mist-tiles","Product")</f>
        <v/>
      </c>
      <c r="B1447" s="1" t="inlineStr">
        <is>
          <t>36975</t>
        </is>
      </c>
      <c r="C1447" s="1" t="inlineStr">
        <is>
          <t>Largo Mist White Tiles</t>
        </is>
      </c>
      <c r="D1447" s="1" t="inlineStr">
        <is>
          <t>900x330x10mm</t>
        </is>
      </c>
      <c r="E1447" s="1" t="n">
        <v>28.95</v>
      </c>
      <c r="F1447" s="1" t="n">
        <v>0</v>
      </c>
      <c r="G1447" s="1" t="inlineStr">
        <is>
          <t>SQM</t>
        </is>
      </c>
      <c r="H1447" s="1" t="inlineStr">
        <is>
          <t>Porcelain</t>
        </is>
      </c>
      <c r="I1447" s="1" t="inlineStr">
        <is>
          <t>Matt</t>
        </is>
      </c>
      <c r="J1447" t="n">
        <v>372</v>
      </c>
      <c r="K1447" t="n">
        <v>372</v>
      </c>
      <c r="L1447" t="n">
        <v>372</v>
      </c>
    </row>
    <row r="1448">
      <c r="A1448" s="1">
        <f>Hyperlink("https://www.wallsandfloors.co.uk/largo-mist-geo-tiles","Product")</f>
        <v/>
      </c>
      <c r="B1448" s="1" t="inlineStr">
        <is>
          <t>36976</t>
        </is>
      </c>
      <c r="C1448" s="1" t="inlineStr">
        <is>
          <t>Largo Mist White Geo Pattern Tiles</t>
        </is>
      </c>
      <c r="D1448" s="1" t="inlineStr">
        <is>
          <t>900x330x10mm</t>
        </is>
      </c>
      <c r="E1448" s="1" t="n">
        <v>28.95</v>
      </c>
      <c r="F1448" s="1" t="n">
        <v>0</v>
      </c>
      <c r="G1448" s="1" t="inlineStr">
        <is>
          <t>SQM</t>
        </is>
      </c>
      <c r="H1448" s="1" t="inlineStr">
        <is>
          <t>Porcelain</t>
        </is>
      </c>
      <c r="I1448" s="1" t="inlineStr">
        <is>
          <t>Matt</t>
        </is>
      </c>
      <c r="J1448" t="inlineStr">
        <is>
          <t>Out of Stock</t>
        </is>
      </c>
      <c r="K1448" t="inlineStr"/>
      <c r="L1448" t="inlineStr">
        <is>
          <t>Out of Stock</t>
        </is>
      </c>
    </row>
    <row r="1449">
      <c r="A1449" s="1">
        <f>Hyperlink("https://www.wallsandfloors.co.uk/largo-dusk-tiles","Product")</f>
        <v/>
      </c>
      <c r="B1449" s="1" t="inlineStr">
        <is>
          <t>36971</t>
        </is>
      </c>
      <c r="C1449" s="1" t="inlineStr">
        <is>
          <t>Largo Dusk Grey Tiles</t>
        </is>
      </c>
      <c r="D1449" s="1" t="inlineStr">
        <is>
          <t>900x330x10mm</t>
        </is>
      </c>
      <c r="E1449" s="1" t="n">
        <v>28.95</v>
      </c>
      <c r="F1449" s="1" t="n">
        <v>0</v>
      </c>
      <c r="G1449" s="1" t="inlineStr">
        <is>
          <t>SQM</t>
        </is>
      </c>
      <c r="H1449" s="1" t="inlineStr">
        <is>
          <t>Porcelain</t>
        </is>
      </c>
      <c r="I1449" s="1" t="inlineStr">
        <is>
          <t>Matt</t>
        </is>
      </c>
      <c r="J1449" t="inlineStr">
        <is>
          <t>In Stock</t>
        </is>
      </c>
      <c r="K1449" t="inlineStr"/>
      <c r="L1449" t="inlineStr">
        <is>
          <t>In Stock</t>
        </is>
      </c>
    </row>
    <row r="1450">
      <c r="A1450" s="1">
        <f>Hyperlink("https://www.wallsandfloors.co.uk/lakeside-silver-slate-effect-59x59-20mm-slab-tiles","Product")</f>
        <v/>
      </c>
      <c r="B1450" s="1" t="inlineStr">
        <is>
          <t>42365</t>
        </is>
      </c>
      <c r="C1450" s="1" t="inlineStr">
        <is>
          <t>Lakeside Silver Slate Effect Porcelain Paving Slabs</t>
        </is>
      </c>
      <c r="D1450" s="1" t="inlineStr">
        <is>
          <t>595x595x20mm</t>
        </is>
      </c>
      <c r="E1450" s="1" t="n">
        <v>45.95</v>
      </c>
      <c r="F1450" s="1" t="n">
        <v>0</v>
      </c>
      <c r="G1450" s="1" t="inlineStr">
        <is>
          <t>SQM</t>
        </is>
      </c>
      <c r="H1450" s="1" t="inlineStr">
        <is>
          <t>Porcelain</t>
        </is>
      </c>
      <c r="I1450" s="1" t="inlineStr">
        <is>
          <t>Matt</t>
        </is>
      </c>
      <c r="J1450" t="n">
        <v>466</v>
      </c>
      <c r="K1450" t="inlineStr"/>
      <c r="L1450" t="n">
        <v>466</v>
      </c>
    </row>
    <row r="1451">
      <c r="A1451" s="1">
        <f>Hyperlink("https://www.wallsandfloors.co.uk/lakeside-silver-slate-effect-59x29-20mm-slab-tiles","Product")</f>
        <v/>
      </c>
      <c r="B1451" s="1" t="inlineStr">
        <is>
          <t>42368</t>
        </is>
      </c>
      <c r="C1451" s="1" t="inlineStr">
        <is>
          <t>Lakeside Silver Slate Effect Porcelain Paving Slabs</t>
        </is>
      </c>
      <c r="D1451" s="1" t="inlineStr">
        <is>
          <t>595x295x20mm</t>
        </is>
      </c>
      <c r="E1451" s="1" t="n">
        <v>45.95</v>
      </c>
      <c r="F1451" s="1" t="n">
        <v>0</v>
      </c>
      <c r="G1451" s="1" t="inlineStr">
        <is>
          <t>SQM</t>
        </is>
      </c>
      <c r="H1451" s="1" t="inlineStr">
        <is>
          <t>Porcelain</t>
        </is>
      </c>
      <c r="I1451" s="1" t="inlineStr">
        <is>
          <t>Matt</t>
        </is>
      </c>
      <c r="J1451" t="n">
        <v>188</v>
      </c>
      <c r="K1451" t="n">
        <v>188</v>
      </c>
      <c r="L1451" t="n">
        <v>188</v>
      </c>
    </row>
    <row r="1452">
      <c r="A1452" s="1">
        <f>Hyperlink("https://www.wallsandfloors.co.uk/lakeside-silver-slate-effect-29x29-20mm-slab-tiles","Product")</f>
        <v/>
      </c>
      <c r="B1452" s="1" t="inlineStr">
        <is>
          <t>42372</t>
        </is>
      </c>
      <c r="C1452" s="1" t="inlineStr">
        <is>
          <t>Lakeside Silver Slate Effect Porcelain Paving Slabs</t>
        </is>
      </c>
      <c r="D1452" s="1" t="inlineStr">
        <is>
          <t>295x295x20mm</t>
        </is>
      </c>
      <c r="E1452" s="1" t="n">
        <v>45.95</v>
      </c>
      <c r="F1452" s="1" t="n">
        <v>0</v>
      </c>
      <c r="G1452" s="1" t="inlineStr">
        <is>
          <t>SQM</t>
        </is>
      </c>
      <c r="H1452" s="1" t="inlineStr">
        <is>
          <t>Porcelain</t>
        </is>
      </c>
      <c r="I1452" s="1" t="inlineStr">
        <is>
          <t>Matt</t>
        </is>
      </c>
      <c r="J1452" t="n">
        <v>296</v>
      </c>
      <c r="K1452" t="n">
        <v>296</v>
      </c>
      <c r="L1452" t="n">
        <v>296</v>
      </c>
    </row>
    <row r="1453">
      <c r="A1453" s="1">
        <f>Hyperlink("https://www.wallsandfloors.co.uk/lakeside-blue-grey-slate-effect-59x59-20mm-slab-tiles","Product")</f>
        <v/>
      </c>
      <c r="B1453" s="1" t="inlineStr">
        <is>
          <t>42364</t>
        </is>
      </c>
      <c r="C1453" s="1" t="inlineStr">
        <is>
          <t>Lakeside Blue Grey Slate Effect Porcelain Paving Slabs</t>
        </is>
      </c>
      <c r="D1453" s="1" t="inlineStr">
        <is>
          <t>595x595x20mm</t>
        </is>
      </c>
      <c r="E1453" s="1" t="n">
        <v>45.95</v>
      </c>
      <c r="F1453" s="1" t="n">
        <v>0</v>
      </c>
      <c r="G1453" s="1" t="inlineStr">
        <is>
          <t>SQM</t>
        </is>
      </c>
      <c r="H1453" s="1" t="inlineStr">
        <is>
          <t>Porcelain</t>
        </is>
      </c>
      <c r="I1453" s="1" t="inlineStr">
        <is>
          <t>Matt</t>
        </is>
      </c>
      <c r="J1453" t="n">
        <v>273</v>
      </c>
      <c r="K1453" t="n">
        <v>273</v>
      </c>
      <c r="L1453" t="n">
        <v>273</v>
      </c>
    </row>
    <row r="1454">
      <c r="A1454" s="1">
        <f>Hyperlink("https://www.wallsandfloors.co.uk/lakeside-blue-grey-slate-effect-59x29-20mm-slab-tiles","Product")</f>
        <v/>
      </c>
      <c r="B1454" s="1" t="inlineStr">
        <is>
          <t>42366</t>
        </is>
      </c>
      <c r="C1454" s="1" t="inlineStr">
        <is>
          <t>Lakeside Blue Grey Slate Effect Porcelain Paving Slabs</t>
        </is>
      </c>
      <c r="D1454" s="1" t="inlineStr">
        <is>
          <t>595x295x20mm</t>
        </is>
      </c>
      <c r="E1454" s="1" t="n">
        <v>38.95</v>
      </c>
      <c r="F1454" s="1" t="n">
        <v>0</v>
      </c>
      <c r="G1454" s="1" t="inlineStr">
        <is>
          <t>SQM</t>
        </is>
      </c>
      <c r="H1454" s="1" t="inlineStr">
        <is>
          <t>Porcelain</t>
        </is>
      </c>
      <c r="I1454" s="1" t="inlineStr">
        <is>
          <t>Matt</t>
        </is>
      </c>
      <c r="J1454" t="n">
        <v>441</v>
      </c>
      <c r="K1454" t="inlineStr"/>
      <c r="L1454" t="n">
        <v>441</v>
      </c>
    </row>
    <row r="1455">
      <c r="A1455" s="1">
        <f>Hyperlink("https://www.wallsandfloors.co.uk/lakeside-blue-grey-slate-effect-29x29-20mm-slab-tiles","Product")</f>
        <v/>
      </c>
      <c r="B1455" s="1" t="inlineStr">
        <is>
          <t>42369</t>
        </is>
      </c>
      <c r="C1455" s="1" t="inlineStr">
        <is>
          <t>Lakeside Blue Grey Slate Effect Porcelain Paving Slabs</t>
        </is>
      </c>
      <c r="D1455" s="1" t="inlineStr">
        <is>
          <t>295x295x20mm</t>
        </is>
      </c>
      <c r="E1455" s="1" t="n">
        <v>45.95</v>
      </c>
      <c r="F1455" s="1" t="n">
        <v>0</v>
      </c>
      <c r="G1455" s="1" t="inlineStr">
        <is>
          <t>SQM</t>
        </is>
      </c>
      <c r="H1455" s="1" t="inlineStr">
        <is>
          <t>Porcelain</t>
        </is>
      </c>
      <c r="I1455" s="1" t="inlineStr">
        <is>
          <t>Matt</t>
        </is>
      </c>
      <c r="J1455" t="n">
        <v>284</v>
      </c>
      <c r="K1455" t="inlineStr"/>
      <c r="L1455" t="n">
        <v>284</v>
      </c>
    </row>
    <row r="1456">
      <c r="A1456" s="1">
        <f>Hyperlink("https://www.wallsandfloors.co.uk/lagos-tiles-white-floor-tile","Product")</f>
        <v/>
      </c>
      <c r="B1456" s="1" t="inlineStr">
        <is>
          <t>14443</t>
        </is>
      </c>
      <c r="C1456" s="1" t="inlineStr">
        <is>
          <t>Lagos White Floor Tiles</t>
        </is>
      </c>
      <c r="D1456" s="1" t="inlineStr">
        <is>
          <t>330x330x8.5mm</t>
        </is>
      </c>
      <c r="E1456" s="1" t="n">
        <v>29.95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Matt</t>
        </is>
      </c>
      <c r="J1456" t="n">
        <v>199</v>
      </c>
      <c r="K1456" t="n">
        <v>199</v>
      </c>
      <c r="L1456" t="n">
        <v>199</v>
      </c>
    </row>
    <row r="1457">
      <c r="A1457" s="1">
        <f>Hyperlink("https://www.wallsandfloors.co.uk/lagos-tiles-light-grey-floor-tiles","Product")</f>
        <v/>
      </c>
      <c r="B1457" s="1" t="inlineStr">
        <is>
          <t>14641</t>
        </is>
      </c>
      <c r="C1457" s="1" t="inlineStr">
        <is>
          <t>Lagos Light Grey Slate Effect Floor Tiles</t>
        </is>
      </c>
      <c r="D1457" s="1" t="inlineStr">
        <is>
          <t>330x330x8.5mm</t>
        </is>
      </c>
      <c r="E1457" s="1" t="n">
        <v>29.95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Matt</t>
        </is>
      </c>
      <c r="J1457" t="inlineStr">
        <is>
          <t>In Stock</t>
        </is>
      </c>
      <c r="K1457" t="inlineStr"/>
      <c r="L1457" t="inlineStr">
        <is>
          <t>In Stock</t>
        </is>
      </c>
    </row>
    <row r="1458">
      <c r="A1458" s="1">
        <f>Hyperlink("https://www.wallsandfloors.co.uk/lagos-tiles-charcoal-floor-tiles","Product")</f>
        <v/>
      </c>
      <c r="B1458" s="1" t="inlineStr">
        <is>
          <t>14577</t>
        </is>
      </c>
      <c r="C1458" s="1" t="inlineStr">
        <is>
          <t>Lagos Charcoal Slate Effect Floor Tiles</t>
        </is>
      </c>
      <c r="D1458" s="1" t="inlineStr">
        <is>
          <t>330x330x8.5mm</t>
        </is>
      </c>
      <c r="E1458" s="1" t="n">
        <v>29.95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Matt</t>
        </is>
      </c>
      <c r="J1458" t="inlineStr">
        <is>
          <t>In Stock</t>
        </is>
      </c>
      <c r="K1458" t="inlineStr">
        <is>
          <t>In Stock</t>
        </is>
      </c>
      <c r="L1458" t="inlineStr">
        <is>
          <t>In Stock</t>
        </is>
      </c>
    </row>
    <row r="1459">
      <c r="A1459" s="1">
        <f>Hyperlink("https://www.wallsandfloors.co.uk/linear-tiles-black-gloss-linear-tiles","Product")</f>
        <v/>
      </c>
      <c r="B1459" s="1" t="inlineStr">
        <is>
          <t>13914</t>
        </is>
      </c>
      <c r="C1459" s="1" t="inlineStr">
        <is>
          <t>Linear Gloss Black Brick Tiles</t>
        </is>
      </c>
      <c r="D1459" s="1" t="inlineStr">
        <is>
          <t>300x100x8mm</t>
        </is>
      </c>
      <c r="E1459" s="1" t="n">
        <v>19.95</v>
      </c>
      <c r="F1459" s="1" t="n">
        <v>0</v>
      </c>
      <c r="G1459" s="1" t="inlineStr">
        <is>
          <t>SQM</t>
        </is>
      </c>
      <c r="H1459" s="1" t="inlineStr">
        <is>
          <t>Ceramic</t>
        </is>
      </c>
      <c r="I1459" s="1" t="inlineStr">
        <is>
          <t>Gloss</t>
        </is>
      </c>
      <c r="J1459" t="n">
        <v>113</v>
      </c>
      <c r="K1459" t="n">
        <v>113</v>
      </c>
      <c r="L1459" t="n">
        <v>113</v>
      </c>
    </row>
    <row r="1460">
      <c r="A1460" s="1">
        <f>Hyperlink("https://www.wallsandfloors.co.uk/mapei-primer-g-5kg","Product")</f>
        <v/>
      </c>
      <c r="B1460" s="1" t="inlineStr">
        <is>
          <t>33305</t>
        </is>
      </c>
      <c r="C1460" s="1" t="inlineStr">
        <is>
          <t>Mapei Primer G 5kg</t>
        </is>
      </c>
      <c r="D1460" s="1" t="inlineStr">
        <is>
          <t>5kg</t>
        </is>
      </c>
      <c r="E1460" s="1" t="n">
        <v>17.95</v>
      </c>
      <c r="F1460" s="1" t="n">
        <v>0</v>
      </c>
      <c r="G1460" s="1" t="inlineStr"/>
      <c r="H1460" s="1" t="inlineStr">
        <is>
          <t>-</t>
        </is>
      </c>
      <c r="I1460" s="1" t="inlineStr">
        <is>
          <t>-</t>
        </is>
      </c>
      <c r="J1460" t="inlineStr">
        <is>
          <t>In Stock</t>
        </is>
      </c>
      <c r="K1460" t="inlineStr"/>
      <c r="L1460" t="inlineStr">
        <is>
          <t>Out of Stock</t>
        </is>
      </c>
    </row>
    <row r="1461">
      <c r="A1461" s="1">
        <f>Hyperlink("https://www.wallsandfloors.co.uk/linear-tiles-black-matt-linear-tiles","Product")</f>
        <v/>
      </c>
      <c r="B1461" s="1" t="inlineStr">
        <is>
          <t>13915</t>
        </is>
      </c>
      <c r="C1461" s="1" t="inlineStr">
        <is>
          <t>Black Matt Linear Tiles</t>
        </is>
      </c>
      <c r="D1461" s="1" t="inlineStr">
        <is>
          <t>300x100x8mm</t>
        </is>
      </c>
      <c r="E1461" s="1" t="n">
        <v>19.95</v>
      </c>
      <c r="F1461" s="1" t="n">
        <v>0</v>
      </c>
      <c r="G1461" s="1" t="inlineStr">
        <is>
          <t>SQM</t>
        </is>
      </c>
      <c r="H1461" s="1" t="inlineStr">
        <is>
          <t>Ceramic</t>
        </is>
      </c>
      <c r="I1461" s="1" t="inlineStr">
        <is>
          <t>Matt</t>
        </is>
      </c>
      <c r="J1461" t="n">
        <v>152</v>
      </c>
      <c r="K1461" t="n">
        <v>152</v>
      </c>
      <c r="L1461" t="n">
        <v>152</v>
      </c>
    </row>
    <row r="1462">
      <c r="A1462" s="1">
        <f>Hyperlink("https://www.wallsandfloors.co.uk/linear-tiles-dark-grey-gloss-linear-tiles","Product")</f>
        <v/>
      </c>
      <c r="B1462" s="1" t="inlineStr">
        <is>
          <t>13916</t>
        </is>
      </c>
      <c r="C1462" s="1" t="inlineStr">
        <is>
          <t>Linear Gloss Dark Grey Brick Tiles</t>
        </is>
      </c>
      <c r="D1462" s="1" t="inlineStr">
        <is>
          <t>300x100x8mm</t>
        </is>
      </c>
      <c r="E1462" s="1" t="n">
        <v>19.95</v>
      </c>
      <c r="F1462" s="1" t="n">
        <v>0</v>
      </c>
      <c r="G1462" s="1" t="inlineStr">
        <is>
          <t>SQM</t>
        </is>
      </c>
      <c r="H1462" s="1" t="inlineStr">
        <is>
          <t>Ceramic</t>
        </is>
      </c>
      <c r="I1462" s="1" t="inlineStr">
        <is>
          <t>Gloss</t>
        </is>
      </c>
      <c r="J1462" t="n">
        <v>190</v>
      </c>
      <c r="K1462" t="n">
        <v>190</v>
      </c>
      <c r="L1462" t="n">
        <v>190</v>
      </c>
    </row>
    <row r="1463">
      <c r="A1463" s="1">
        <f>Hyperlink("https://www.wallsandfloors.co.uk/lounge-tiles-polished-ivory-tiles","Product")</f>
        <v/>
      </c>
      <c r="B1463" s="1" t="inlineStr">
        <is>
          <t>11201</t>
        </is>
      </c>
      <c r="C1463" s="1" t="inlineStr">
        <is>
          <t>Lounge Polished Ivory Tiles</t>
        </is>
      </c>
      <c r="D1463" s="1" t="inlineStr">
        <is>
          <t>600x300x9mm</t>
        </is>
      </c>
      <c r="E1463" s="1" t="n">
        <v>29.95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Polished</t>
        </is>
      </c>
      <c r="J1463" t="inlineStr">
        <is>
          <t>In Stock</t>
        </is>
      </c>
      <c r="K1463" t="inlineStr">
        <is>
          <t>In Stock</t>
        </is>
      </c>
      <c r="L1463" t="inlineStr">
        <is>
          <t>Out of Stock</t>
        </is>
      </c>
    </row>
    <row r="1464">
      <c r="A1464" s="1">
        <f>Hyperlink("https://www.wallsandfloors.co.uk/lounge-tiles-polished-ivory-floor-tiles","Product")</f>
        <v/>
      </c>
      <c r="B1464" s="1" t="inlineStr">
        <is>
          <t>11202</t>
        </is>
      </c>
      <c r="C1464" s="1" t="inlineStr">
        <is>
          <t>Lounge Polished Ivory Tiles</t>
        </is>
      </c>
      <c r="D1464" s="1" t="inlineStr">
        <is>
          <t>600x600x9mm</t>
        </is>
      </c>
      <c r="E1464" s="1" t="n">
        <v>29.95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Polished</t>
        </is>
      </c>
      <c r="J1464" t="n">
        <v>185</v>
      </c>
      <c r="K1464" t="n">
        <v>185</v>
      </c>
      <c r="L1464" t="n">
        <v>185</v>
      </c>
    </row>
    <row r="1465">
      <c r="A1465" s="1">
        <f>Hyperlink("https://www.wallsandfloors.co.uk/lounge-tiles-polished-dark-grey-60x60-tiles","Product")</f>
        <v/>
      </c>
      <c r="B1465" s="1" t="inlineStr">
        <is>
          <t>11456</t>
        </is>
      </c>
      <c r="C1465" s="1" t="inlineStr">
        <is>
          <t>Lounge Polished Dark Grey Tiles</t>
        </is>
      </c>
      <c r="D1465" s="1" t="inlineStr">
        <is>
          <t>600x600x9mm</t>
        </is>
      </c>
      <c r="E1465" s="1" t="n">
        <v>29.95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Polished</t>
        </is>
      </c>
      <c r="J1465" t="inlineStr">
        <is>
          <t>In Stock</t>
        </is>
      </c>
      <c r="K1465" t="inlineStr">
        <is>
          <t>In Stock</t>
        </is>
      </c>
      <c r="L1465" t="inlineStr">
        <is>
          <t>In Stock</t>
        </is>
      </c>
    </row>
    <row r="1466">
      <c r="A1466" s="1">
        <f>Hyperlink("https://www.wallsandfloors.co.uk/lounge-tiles-polished-dark-grey-60x30-tiles","Product")</f>
        <v/>
      </c>
      <c r="B1466" s="1" t="inlineStr">
        <is>
          <t>11500</t>
        </is>
      </c>
      <c r="C1466" s="1" t="inlineStr">
        <is>
          <t>Lounge Polished Dark Grey Tiles</t>
        </is>
      </c>
      <c r="D1466" s="1" t="inlineStr">
        <is>
          <t>600x300x9mm</t>
        </is>
      </c>
      <c r="E1466" s="1" t="n">
        <v>29.95</v>
      </c>
      <c r="F1466" s="1" t="n">
        <v>0</v>
      </c>
      <c r="G1466" s="1" t="inlineStr">
        <is>
          <t>SQM</t>
        </is>
      </c>
      <c r="H1466" s="1" t="inlineStr">
        <is>
          <t>Porcelain</t>
        </is>
      </c>
      <c r="I1466" s="1" t="inlineStr">
        <is>
          <t>Polished</t>
        </is>
      </c>
      <c r="J1466" t="inlineStr"/>
      <c r="K1466" t="inlineStr">
        <is>
          <t>In Stock</t>
        </is>
      </c>
      <c r="L1466" t="inlineStr">
        <is>
          <t>In Stock</t>
        </is>
      </c>
    </row>
    <row r="1467">
      <c r="A1467" s="1">
        <f>Hyperlink("https://www.wallsandfloors.co.uk/lounge-tiles-polished-black-60x60-tiles","Product")</f>
        <v/>
      </c>
      <c r="B1467" s="1" t="inlineStr">
        <is>
          <t>11194</t>
        </is>
      </c>
      <c r="C1467" s="1" t="inlineStr">
        <is>
          <t>Lounge Polished Black Tiles</t>
        </is>
      </c>
      <c r="D1467" s="1" t="inlineStr">
        <is>
          <t>600x600x9mm</t>
        </is>
      </c>
      <c r="E1467" s="1" t="n">
        <v>29.95</v>
      </c>
      <c r="F1467" s="1" t="n">
        <v>0</v>
      </c>
      <c r="G1467" s="1" t="inlineStr">
        <is>
          <t>SQM</t>
        </is>
      </c>
      <c r="H1467" s="1" t="inlineStr">
        <is>
          <t>Porcelain</t>
        </is>
      </c>
      <c r="I1467" s="1" t="inlineStr">
        <is>
          <t>Polished</t>
        </is>
      </c>
      <c r="J1467" t="inlineStr"/>
      <c r="K1467" t="inlineStr">
        <is>
          <t>In Stock</t>
        </is>
      </c>
      <c r="L1467" t="inlineStr">
        <is>
          <t>In Stock</t>
        </is>
      </c>
    </row>
    <row r="1468">
      <c r="A1468" s="1">
        <f>Hyperlink("https://www.wallsandfloors.co.uk/lounge-tiles-polished-black-60x30-tiles","Product")</f>
        <v/>
      </c>
      <c r="B1468" s="1" t="inlineStr">
        <is>
          <t>11193</t>
        </is>
      </c>
      <c r="C1468" s="1" t="inlineStr">
        <is>
          <t>Lounge Polished Black Tiles</t>
        </is>
      </c>
      <c r="D1468" s="1" t="inlineStr">
        <is>
          <t>600x300x9mm</t>
        </is>
      </c>
      <c r="E1468" s="1" t="n">
        <v>29.95</v>
      </c>
      <c r="F1468" s="1" t="n">
        <v>0</v>
      </c>
      <c r="G1468" s="1" t="inlineStr">
        <is>
          <t>SQM</t>
        </is>
      </c>
      <c r="H1468" s="1" t="inlineStr">
        <is>
          <t>Porcelain</t>
        </is>
      </c>
      <c r="I1468" s="1" t="inlineStr">
        <is>
          <t>Polished</t>
        </is>
      </c>
      <c r="J1468" t="n">
        <v>143</v>
      </c>
      <c r="K1468" t="inlineStr"/>
      <c r="L1468" t="n">
        <v>143</v>
      </c>
    </row>
    <row r="1469">
      <c r="A1469" s="1">
        <f>Hyperlink("https://www.wallsandfloors.co.uk/lounge-tiles-polished-beige-60x60-tiles","Product")</f>
        <v/>
      </c>
      <c r="B1469" s="1" t="inlineStr">
        <is>
          <t>11362</t>
        </is>
      </c>
      <c r="C1469" s="1" t="inlineStr">
        <is>
          <t>Lounge Polished Beige Tiles</t>
        </is>
      </c>
      <c r="D1469" s="1" t="inlineStr">
        <is>
          <t>600x600x9mm</t>
        </is>
      </c>
      <c r="E1469" s="1" t="n">
        <v>29.95</v>
      </c>
      <c r="F1469" s="1" t="n">
        <v>0</v>
      </c>
      <c r="G1469" s="1" t="inlineStr">
        <is>
          <t>SQM</t>
        </is>
      </c>
      <c r="H1469" s="1" t="inlineStr">
        <is>
          <t>Porcelain</t>
        </is>
      </c>
      <c r="I1469" s="1" t="inlineStr">
        <is>
          <t>Polished</t>
        </is>
      </c>
      <c r="J1469" t="inlineStr">
        <is>
          <t>In Stock</t>
        </is>
      </c>
      <c r="K1469" t="inlineStr"/>
      <c r="L1469" t="inlineStr">
        <is>
          <t>In Stock</t>
        </is>
      </c>
    </row>
    <row r="1470">
      <c r="A1470" s="1">
        <f>Hyperlink("https://www.wallsandfloors.co.uk/lounge-tiles-polished-beige-60x30-tiles","Product")</f>
        <v/>
      </c>
      <c r="B1470" s="1" t="inlineStr">
        <is>
          <t>11363</t>
        </is>
      </c>
      <c r="C1470" s="1" t="inlineStr">
        <is>
          <t>Lounge Polished Beige Tiles</t>
        </is>
      </c>
      <c r="D1470" s="1" t="inlineStr">
        <is>
          <t>600x300x9mm</t>
        </is>
      </c>
      <c r="E1470" s="1" t="n">
        <v>29.95</v>
      </c>
      <c r="F1470" s="1" t="n">
        <v>0</v>
      </c>
      <c r="G1470" s="1" t="inlineStr">
        <is>
          <t>SQM</t>
        </is>
      </c>
      <c r="H1470" s="1" t="inlineStr">
        <is>
          <t>Porcelain</t>
        </is>
      </c>
      <c r="I1470" s="1" t="inlineStr">
        <is>
          <t>Polished</t>
        </is>
      </c>
      <c r="J1470" t="inlineStr">
        <is>
          <t>Out of Stock</t>
        </is>
      </c>
      <c r="K1470" t="inlineStr">
        <is>
          <t>Out of Stock</t>
        </is>
      </c>
      <c r="L1470" t="inlineStr">
        <is>
          <t>Out of Stock</t>
        </is>
      </c>
    </row>
    <row r="1471">
      <c r="A1471" s="1">
        <f>Hyperlink("https://www.wallsandfloors.co.uk/lounge-tiles-matt-light-grey-floor-tiles","Product")</f>
        <v/>
      </c>
      <c r="B1471" s="1" t="inlineStr">
        <is>
          <t>11195</t>
        </is>
      </c>
      <c r="C1471" s="1" t="inlineStr">
        <is>
          <t>Lounge Matt Light Grey Tiles</t>
        </is>
      </c>
      <c r="D1471" s="1" t="inlineStr">
        <is>
          <t>600x300x9mm</t>
        </is>
      </c>
      <c r="E1471" s="1" t="n">
        <v>28.95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Matt</t>
        </is>
      </c>
      <c r="J1471" t="inlineStr">
        <is>
          <t>Out of Stock</t>
        </is>
      </c>
      <c r="K1471" t="inlineStr">
        <is>
          <t>Out of Stock</t>
        </is>
      </c>
      <c r="L1471" t="inlineStr">
        <is>
          <t>Out of Stock</t>
        </is>
      </c>
    </row>
    <row r="1472">
      <c r="A1472" s="1">
        <f>Hyperlink("https://www.wallsandfloors.co.uk/lounge-tiles-matt-light-grey-60x60-tiles","Product")</f>
        <v/>
      </c>
      <c r="B1472" s="1" t="inlineStr">
        <is>
          <t>11196</t>
        </is>
      </c>
      <c r="C1472" s="1" t="inlineStr">
        <is>
          <t>Lounge Matt Light Grey Tiles</t>
        </is>
      </c>
      <c r="D1472" s="1" t="inlineStr">
        <is>
          <t>600x600x9mm</t>
        </is>
      </c>
      <c r="E1472" s="1" t="n">
        <v>28.95</v>
      </c>
      <c r="F1472" s="1" t="n">
        <v>0</v>
      </c>
      <c r="G1472" s="1" t="inlineStr"/>
      <c r="H1472" s="1" t="inlineStr">
        <is>
          <t>Porcelain</t>
        </is>
      </c>
      <c r="I1472" s="1" t="inlineStr">
        <is>
          <t>Matt</t>
        </is>
      </c>
      <c r="J1472" t="inlineStr"/>
      <c r="K1472" t="inlineStr">
        <is>
          <t>Out of Stock</t>
        </is>
      </c>
      <c r="L1472" t="inlineStr">
        <is>
          <t>Out of Stock</t>
        </is>
      </c>
    </row>
    <row r="1473">
      <c r="A1473" s="1">
        <f>Hyperlink("https://www.wallsandfloors.co.uk/lounge-tiles-matt-ivory-60x30-tiles","Product")</f>
        <v/>
      </c>
      <c r="B1473" s="1" t="inlineStr">
        <is>
          <t>11199</t>
        </is>
      </c>
      <c r="C1473" s="1" t="inlineStr">
        <is>
          <t>Lounge Matt Ivory Tiles</t>
        </is>
      </c>
      <c r="D1473" s="1" t="inlineStr">
        <is>
          <t>600x300x9mm</t>
        </is>
      </c>
      <c r="E1473" s="1" t="n">
        <v>28.95</v>
      </c>
      <c r="F1473" s="1" t="n">
        <v>0</v>
      </c>
      <c r="G1473" s="1" t="inlineStr">
        <is>
          <t>SQM</t>
        </is>
      </c>
      <c r="H1473" s="1" t="inlineStr">
        <is>
          <t>Porcelain</t>
        </is>
      </c>
      <c r="I1473" s="1" t="inlineStr">
        <is>
          <t>Matt</t>
        </is>
      </c>
      <c r="J1473" t="n">
        <v>183</v>
      </c>
      <c r="K1473" t="n">
        <v>183</v>
      </c>
      <c r="L1473" t="n">
        <v>183</v>
      </c>
    </row>
    <row r="1474">
      <c r="A1474" s="1">
        <f>Hyperlink("https://www.wallsandfloors.co.uk/lounge-tiles-matt-dark-grey-60x60-tiles","Product")</f>
        <v/>
      </c>
      <c r="B1474" s="1" t="inlineStr">
        <is>
          <t>11501</t>
        </is>
      </c>
      <c r="C1474" s="1" t="inlineStr">
        <is>
          <t>Lounge Matt Dark Grey Tiles</t>
        </is>
      </c>
      <c r="D1474" s="1" t="inlineStr">
        <is>
          <t>600x600x9mm</t>
        </is>
      </c>
      <c r="E1474" s="1" t="n">
        <v>28.95</v>
      </c>
      <c r="F1474" s="1" t="n">
        <v>0</v>
      </c>
      <c r="G1474" s="1" t="inlineStr">
        <is>
          <t>SQM</t>
        </is>
      </c>
      <c r="H1474" s="1" t="inlineStr">
        <is>
          <t>Porcelain</t>
        </is>
      </c>
      <c r="I1474" s="1" t="inlineStr">
        <is>
          <t>Matt</t>
        </is>
      </c>
      <c r="J1474" t="inlineStr">
        <is>
          <t>Out of Stock</t>
        </is>
      </c>
      <c r="K1474" t="inlineStr">
        <is>
          <t>Out of Stock</t>
        </is>
      </c>
      <c r="L1474" t="inlineStr">
        <is>
          <t>Out of Stock</t>
        </is>
      </c>
    </row>
    <row r="1475">
      <c r="A1475" s="1">
        <f>Hyperlink("https://www.wallsandfloors.co.uk/lounge-tiles-matt-dark-grey-60x30-tiles","Product")</f>
        <v/>
      </c>
      <c r="B1475" s="1" t="inlineStr">
        <is>
          <t>11502</t>
        </is>
      </c>
      <c r="C1475" s="1" t="inlineStr">
        <is>
          <t>Lounge Matt Dark Grey Tiles</t>
        </is>
      </c>
      <c r="D1475" s="1" t="inlineStr">
        <is>
          <t>600x300x9mm</t>
        </is>
      </c>
      <c r="E1475" s="1" t="n">
        <v>28.95</v>
      </c>
      <c r="F1475" s="1" t="n">
        <v>0</v>
      </c>
      <c r="G1475" s="1" t="inlineStr">
        <is>
          <t>SQM</t>
        </is>
      </c>
      <c r="H1475" s="1" t="inlineStr">
        <is>
          <t>Porcelain</t>
        </is>
      </c>
      <c r="I1475" s="1" t="inlineStr">
        <is>
          <t>Matt</t>
        </is>
      </c>
      <c r="J1475" t="inlineStr">
        <is>
          <t>Out of Stock</t>
        </is>
      </c>
      <c r="K1475" t="inlineStr"/>
      <c r="L1475" t="inlineStr">
        <is>
          <t>Out of Stock</t>
        </is>
      </c>
    </row>
    <row r="1476">
      <c r="A1476" s="1">
        <f>Hyperlink("https://www.wallsandfloors.co.uk/lounge-tiles-matt-black-60x30-tiles","Product")</f>
        <v/>
      </c>
      <c r="B1476" s="1" t="inlineStr">
        <is>
          <t>11191</t>
        </is>
      </c>
      <c r="C1476" s="1" t="inlineStr">
        <is>
          <t>Lounge Matt Black Tiles</t>
        </is>
      </c>
      <c r="D1476" s="1" t="inlineStr">
        <is>
          <t>600x300x9mm</t>
        </is>
      </c>
      <c r="E1476" s="1" t="n">
        <v>28.95</v>
      </c>
      <c r="F1476" s="1" t="n">
        <v>0</v>
      </c>
      <c r="G1476" s="1" t="inlineStr">
        <is>
          <t>SQM</t>
        </is>
      </c>
      <c r="H1476" s="1" t="inlineStr">
        <is>
          <t>Porcelain</t>
        </is>
      </c>
      <c r="I1476" s="1" t="inlineStr">
        <is>
          <t>Matt</t>
        </is>
      </c>
      <c r="J1476" t="n">
        <v>205</v>
      </c>
      <c r="K1476" t="n">
        <v>205</v>
      </c>
      <c r="L1476" t="n">
        <v>205</v>
      </c>
    </row>
    <row r="1477">
      <c r="A1477" s="1">
        <f>Hyperlink("https://www.wallsandfloors.co.uk/lounge-tiles-matt-beige-60x60-tiles","Product")</f>
        <v/>
      </c>
      <c r="B1477" s="1" t="inlineStr">
        <is>
          <t>11364</t>
        </is>
      </c>
      <c r="C1477" s="1" t="inlineStr">
        <is>
          <t>Lounge Matt Beige Tiles</t>
        </is>
      </c>
      <c r="D1477" s="1" t="inlineStr">
        <is>
          <t>600x600x9mm</t>
        </is>
      </c>
      <c r="E1477" s="1" t="n">
        <v>28.95</v>
      </c>
      <c r="F1477" s="1" t="n">
        <v>0</v>
      </c>
      <c r="G1477" s="1" t="inlineStr">
        <is>
          <t>SQM</t>
        </is>
      </c>
      <c r="H1477" s="1" t="inlineStr">
        <is>
          <t>Porcelain</t>
        </is>
      </c>
      <c r="I1477" s="1" t="inlineStr">
        <is>
          <t>Matt</t>
        </is>
      </c>
      <c r="J1477" t="inlineStr">
        <is>
          <t>Out of Stock</t>
        </is>
      </c>
      <c r="K1477" t="inlineStr"/>
      <c r="L1477" t="inlineStr">
        <is>
          <t>Out of Stock</t>
        </is>
      </c>
    </row>
    <row r="1478">
      <c r="A1478" s="1">
        <f>Hyperlink("https://www.wallsandfloors.co.uk/lounge-tiles-matt-beige-60x30-tiles","Product")</f>
        <v/>
      </c>
      <c r="B1478" s="1" t="inlineStr">
        <is>
          <t>11365</t>
        </is>
      </c>
      <c r="C1478" s="1" t="inlineStr">
        <is>
          <t>Lounge Matt Beige Tiles</t>
        </is>
      </c>
      <c r="D1478" s="1" t="inlineStr">
        <is>
          <t>600x300x9mm</t>
        </is>
      </c>
      <c r="E1478" s="1" t="n">
        <v>28.95</v>
      </c>
      <c r="F1478" s="1" t="n">
        <v>0</v>
      </c>
      <c r="G1478" s="1" t="inlineStr">
        <is>
          <t>SQM</t>
        </is>
      </c>
      <c r="H1478" s="1" t="inlineStr">
        <is>
          <t>Porcelain</t>
        </is>
      </c>
      <c r="I1478" s="1" t="inlineStr">
        <is>
          <t>Matt</t>
        </is>
      </c>
      <c r="J1478" t="inlineStr"/>
      <c r="K1478" t="n">
        <v>190</v>
      </c>
      <c r="L1478" t="n">
        <v>190</v>
      </c>
    </row>
    <row r="1479">
      <c r="A1479" s="1">
        <f>Hyperlink("https://www.wallsandfloors.co.uk/look-tiles-silver-floor-gloss-tiles","Product")</f>
        <v/>
      </c>
      <c r="B1479" s="1" t="inlineStr">
        <is>
          <t>10937</t>
        </is>
      </c>
      <c r="C1479" s="1" t="inlineStr">
        <is>
          <t>Silver Floor Gloss Tiles</t>
        </is>
      </c>
      <c r="D1479" s="1" t="inlineStr">
        <is>
          <t>450x450x9mm</t>
        </is>
      </c>
      <c r="E1479" s="1" t="n">
        <v>15.95</v>
      </c>
      <c r="F1479" s="1" t="n">
        <v>0</v>
      </c>
      <c r="G1479" s="1" t="inlineStr">
        <is>
          <t>SQM</t>
        </is>
      </c>
      <c r="H1479" s="1" t="inlineStr">
        <is>
          <t>Ceramic</t>
        </is>
      </c>
      <c r="I1479" s="1" t="inlineStr">
        <is>
          <t>Gloss</t>
        </is>
      </c>
      <c r="J1479" t="n">
        <v>77</v>
      </c>
      <c r="K1479" t="n">
        <v>77</v>
      </c>
      <c r="L1479" t="n">
        <v>77</v>
      </c>
    </row>
    <row r="1480">
      <c r="A1480" s="1">
        <f>Hyperlink("https://www.wallsandfloors.co.uk/linen-squares-50mm-tiles","Product")</f>
        <v/>
      </c>
      <c r="B1480" s="1" t="inlineStr">
        <is>
          <t>990087</t>
        </is>
      </c>
      <c r="C1480" s="1" t="inlineStr">
        <is>
          <t>Linen Squares 50mm Tiles</t>
        </is>
      </c>
      <c r="D1480" s="1" t="inlineStr">
        <is>
          <t>50x50x9-10mm</t>
        </is>
      </c>
      <c r="E1480" s="1" t="n">
        <v>0.67</v>
      </c>
      <c r="F1480" s="1" t="n">
        <v>0</v>
      </c>
      <c r="G1480" s="1" t="inlineStr">
        <is>
          <t>SQM</t>
        </is>
      </c>
      <c r="H1480" s="1" t="inlineStr">
        <is>
          <t>Porcelain</t>
        </is>
      </c>
      <c r="I1480" s="1" t="inlineStr">
        <is>
          <t>Matt</t>
        </is>
      </c>
      <c r="J1480" t="inlineStr"/>
      <c r="K1480" t="inlineStr"/>
      <c r="L1480" t="n">
        <v>568</v>
      </c>
    </row>
    <row r="1481">
      <c r="A1481" s="1">
        <f>Hyperlink("https://www.wallsandfloors.co.uk/linear-tiles-white-gloss-linear-tiles","Product")</f>
        <v/>
      </c>
      <c r="B1481" s="1" t="inlineStr">
        <is>
          <t>13920</t>
        </is>
      </c>
      <c r="C1481" s="1" t="inlineStr">
        <is>
          <t>Linear White Gloss Brick Tiles</t>
        </is>
      </c>
      <c r="D1481" s="1" t="inlineStr">
        <is>
          <t>300x100x8mm</t>
        </is>
      </c>
      <c r="E1481" s="1" t="n">
        <v>18.95</v>
      </c>
      <c r="F1481" s="1" t="n">
        <v>0</v>
      </c>
      <c r="G1481" s="1" t="inlineStr">
        <is>
          <t>SQM</t>
        </is>
      </c>
      <c r="H1481" s="1" t="inlineStr">
        <is>
          <t>Ceramic</t>
        </is>
      </c>
      <c r="I1481" s="1" t="inlineStr">
        <is>
          <t>Gloss</t>
        </is>
      </c>
      <c r="J1481" t="inlineStr">
        <is>
          <t>Out of Stock</t>
        </is>
      </c>
      <c r="K1481" t="inlineStr">
        <is>
          <t>Out of Stock</t>
        </is>
      </c>
      <c r="L1481" t="inlineStr">
        <is>
          <t>Out of Stock</t>
        </is>
      </c>
    </row>
    <row r="1482">
      <c r="A1482" s="1">
        <f>Hyperlink("https://www.wallsandfloors.co.uk/linear-tiles-light-grey-gloss-linear-tiles","Product")</f>
        <v/>
      </c>
      <c r="B1482" s="1" t="inlineStr">
        <is>
          <t>13918</t>
        </is>
      </c>
      <c r="C1482" s="1" t="inlineStr">
        <is>
          <t>Linear Light Grey Gloss Brick Tiles</t>
        </is>
      </c>
      <c r="D1482" s="1" t="inlineStr">
        <is>
          <t>300x100x8mm</t>
        </is>
      </c>
      <c r="E1482" s="1" t="n">
        <v>19.95</v>
      </c>
      <c r="F1482" s="1" t="n">
        <v>0</v>
      </c>
      <c r="G1482" s="1" t="inlineStr">
        <is>
          <t>SQM</t>
        </is>
      </c>
      <c r="H1482" s="1" t="inlineStr">
        <is>
          <t>Ceramic</t>
        </is>
      </c>
      <c r="I1482" s="1" t="inlineStr">
        <is>
          <t>Gloss</t>
        </is>
      </c>
      <c r="J1482" t="inlineStr"/>
      <c r="K1482" t="inlineStr">
        <is>
          <t>Out of Stock</t>
        </is>
      </c>
      <c r="L1482" t="inlineStr">
        <is>
          <t>Out of Stock</t>
        </is>
      </c>
    </row>
    <row r="1483">
      <c r="A1483" s="1">
        <f>Hyperlink("https://www.wallsandfloors.co.uk/linear-tiles-grey-matt-linear-tiles","Product")</f>
        <v/>
      </c>
      <c r="B1483" s="1" t="inlineStr">
        <is>
          <t>13925</t>
        </is>
      </c>
      <c r="C1483" s="1" t="inlineStr">
        <is>
          <t>Linear Grey Matt Brick Tiles</t>
        </is>
      </c>
      <c r="D1483" s="1" t="inlineStr">
        <is>
          <t>300x100x8mm</t>
        </is>
      </c>
      <c r="E1483" s="1" t="n">
        <v>18.95</v>
      </c>
      <c r="F1483" s="1" t="n">
        <v>0</v>
      </c>
      <c r="G1483" s="1" t="inlineStr">
        <is>
          <t>SQM</t>
        </is>
      </c>
      <c r="H1483" s="1" t="inlineStr">
        <is>
          <t>Ceramic</t>
        </is>
      </c>
      <c r="I1483" s="1" t="inlineStr">
        <is>
          <t>Matt</t>
        </is>
      </c>
      <c r="J1483" t="inlineStr"/>
      <c r="K1483" t="n">
        <v>450</v>
      </c>
      <c r="L1483" t="n">
        <v>450</v>
      </c>
    </row>
    <row r="1484">
      <c r="A1484" s="1">
        <f>Hyperlink("https://www.wallsandfloors.co.uk/linear-tiles-grey-gloss-linear-tiles","Product")</f>
        <v/>
      </c>
      <c r="B1484" s="1" t="inlineStr">
        <is>
          <t>13924</t>
        </is>
      </c>
      <c r="C1484" s="1" t="inlineStr">
        <is>
          <t>Linear Grey Gloss Brick Tiles</t>
        </is>
      </c>
      <c r="D1484" s="1" t="inlineStr">
        <is>
          <t>300x100x8mm</t>
        </is>
      </c>
      <c r="E1484" s="1" t="n">
        <v>19.95</v>
      </c>
      <c r="F1484" s="1" t="n">
        <v>0</v>
      </c>
      <c r="G1484" s="1" t="inlineStr"/>
      <c r="H1484" s="1" t="inlineStr">
        <is>
          <t>Ceramic</t>
        </is>
      </c>
      <c r="I1484" s="1" t="inlineStr">
        <is>
          <t>Gloss</t>
        </is>
      </c>
      <c r="J1484" t="inlineStr">
        <is>
          <t>Out of Stock</t>
        </is>
      </c>
      <c r="K1484" t="inlineStr">
        <is>
          <t>Out of Stock</t>
        </is>
      </c>
      <c r="L1484" t="inlineStr">
        <is>
          <t>Out of Stock</t>
        </is>
      </c>
    </row>
    <row r="1485">
      <c r="A1485" s="1">
        <f>Hyperlink("https://www.wallsandfloors.co.uk/linear-tiles-dark-grey-matt-linear-tiles","Product")</f>
        <v/>
      </c>
      <c r="B1485" s="1" t="inlineStr">
        <is>
          <t>13917</t>
        </is>
      </c>
      <c r="C1485" s="1" t="inlineStr">
        <is>
          <t>Linear Dark Grey Matt Brick Tiles</t>
        </is>
      </c>
      <c r="D1485" s="1" t="inlineStr">
        <is>
          <t>300x100x8mm</t>
        </is>
      </c>
      <c r="E1485" s="1" t="n">
        <v>19.95</v>
      </c>
      <c r="F1485" s="1" t="n">
        <v>0</v>
      </c>
      <c r="G1485" s="1" t="inlineStr">
        <is>
          <t>SQM</t>
        </is>
      </c>
      <c r="H1485" s="1" t="inlineStr">
        <is>
          <t>Ceramic</t>
        </is>
      </c>
      <c r="I1485" s="1" t="inlineStr">
        <is>
          <t>Matt</t>
        </is>
      </c>
      <c r="J1485" t="inlineStr"/>
      <c r="K1485" t="n">
        <v>341</v>
      </c>
      <c r="L1485" t="n">
        <v>341</v>
      </c>
    </row>
    <row r="1486">
      <c r="A1486" s="1">
        <f>Hyperlink("https://www.wallsandfloors.co.uk/linear-tiles-cream-gloss-linear-tiles","Product")</f>
        <v/>
      </c>
      <c r="B1486" s="1" t="inlineStr">
        <is>
          <t>13922</t>
        </is>
      </c>
      <c r="C1486" s="1" t="inlineStr">
        <is>
          <t>Linear Cream Gloss Brick Tiles</t>
        </is>
      </c>
      <c r="D1486" s="1" t="inlineStr">
        <is>
          <t>300x100x8mm</t>
        </is>
      </c>
      <c r="E1486" s="1" t="n">
        <v>19.95</v>
      </c>
      <c r="F1486" s="1" t="n">
        <v>0</v>
      </c>
      <c r="G1486" s="1" t="inlineStr">
        <is>
          <t>SQM</t>
        </is>
      </c>
      <c r="H1486" s="1" t="inlineStr">
        <is>
          <t>Ceramic</t>
        </is>
      </c>
      <c r="I1486" s="1" t="inlineStr">
        <is>
          <t>Gloss</t>
        </is>
      </c>
      <c r="J1486" t="n">
        <v>137</v>
      </c>
      <c r="K1486" t="n">
        <v>137</v>
      </c>
      <c r="L1486" t="n">
        <v>137</v>
      </c>
    </row>
    <row r="1487">
      <c r="A1487" s="1">
        <f>Hyperlink("https://www.wallsandfloors.co.uk/mapei-starlike-adhesive-grout-kerapoxy-design-pearl-grey-tile-adhesive-grout","Product")</f>
        <v/>
      </c>
      <c r="B1487" s="1" t="inlineStr">
        <is>
          <t>11435</t>
        </is>
      </c>
      <c r="C1487" s="1" t="inlineStr">
        <is>
          <t>Kerapoxy Design Pearl Grey Tile Adhesive &amp; Grout</t>
        </is>
      </c>
      <c r="D1487" s="1" t="inlineStr">
        <is>
          <t>3 kg</t>
        </is>
      </c>
      <c r="E1487" s="1" t="n">
        <v>41.12</v>
      </c>
      <c r="F1487" s="1" t="n">
        <v>0</v>
      </c>
      <c r="G1487" s="1" t="inlineStr">
        <is>
          <t>Unit</t>
        </is>
      </c>
      <c r="H1487" s="1" t="inlineStr">
        <is>
          <t>Grout</t>
        </is>
      </c>
      <c r="I1487" s="1" t="inlineStr">
        <is>
          <t>-</t>
        </is>
      </c>
      <c r="J1487" t="inlineStr">
        <is>
          <t>In Stock</t>
        </is>
      </c>
      <c r="K1487" t="inlineStr">
        <is>
          <t>In Stock</t>
        </is>
      </c>
      <c r="L1487" t="inlineStr">
        <is>
          <t>In Stock</t>
        </is>
      </c>
    </row>
    <row r="1488">
      <c r="A1488" s="1">
        <f>Hyperlink("https://www.wallsandfloors.co.uk/mapei-starlike-adhesive-grout-kerapoxy-design-transluscent-tile-adhesive-grout","Product")</f>
        <v/>
      </c>
      <c r="B1488" s="1" t="inlineStr">
        <is>
          <t>11433</t>
        </is>
      </c>
      <c r="C1488" s="1" t="inlineStr">
        <is>
          <t>Kerapoxy Design Transluscent Tile Adhesive &amp; Grout</t>
        </is>
      </c>
      <c r="D1488" s="1" t="inlineStr">
        <is>
          <t>3 kg</t>
        </is>
      </c>
      <c r="E1488" s="1" t="n">
        <v>41.12</v>
      </c>
      <c r="F1488" s="1" t="n">
        <v>0</v>
      </c>
      <c r="G1488" s="1" t="inlineStr">
        <is>
          <t>Unit</t>
        </is>
      </c>
      <c r="H1488" s="1" t="inlineStr">
        <is>
          <t>Grout</t>
        </is>
      </c>
      <c r="I1488" s="1" t="inlineStr">
        <is>
          <t>-</t>
        </is>
      </c>
      <c r="J1488" t="inlineStr">
        <is>
          <t>In Stock</t>
        </is>
      </c>
      <c r="K1488" t="inlineStr"/>
      <c r="L1488" t="inlineStr">
        <is>
          <t>In Stock</t>
        </is>
      </c>
    </row>
    <row r="1489">
      <c r="A1489" s="1">
        <f>Hyperlink("https://www.wallsandfloors.co.uk/mapei-starlike-adhesive-grout-mapeglitter-gold-tile-grout-additive","Product")</f>
        <v/>
      </c>
      <c r="B1489" s="1" t="inlineStr">
        <is>
          <t>11441</t>
        </is>
      </c>
      <c r="C1489" s="1" t="inlineStr">
        <is>
          <t>Mapeglitter Gold Tile Grout Additive</t>
        </is>
      </c>
      <c r="D1489" s="1" t="inlineStr">
        <is>
          <t>100g</t>
        </is>
      </c>
      <c r="E1489" s="1" t="n">
        <v>12.88</v>
      </c>
      <c r="F1489" s="1" t="n">
        <v>0</v>
      </c>
      <c r="G1489" s="1" t="inlineStr">
        <is>
          <t>Unit</t>
        </is>
      </c>
      <c r="H1489" s="1" t="inlineStr">
        <is>
          <t>Grout</t>
        </is>
      </c>
      <c r="I1489" s="1" t="inlineStr">
        <is>
          <t>-</t>
        </is>
      </c>
      <c r="J1489" t="inlineStr">
        <is>
          <t>In Stock</t>
        </is>
      </c>
      <c r="K1489" t="inlineStr">
        <is>
          <t>In Stock</t>
        </is>
      </c>
      <c r="L1489" t="inlineStr">
        <is>
          <t>In Stock</t>
        </is>
      </c>
    </row>
    <row r="1490">
      <c r="A1490" s="1">
        <f>Hyperlink("https://www.wallsandfloors.co.uk/marvel-tiles-oriental-green-gloss-tiles","Product")</f>
        <v/>
      </c>
      <c r="B1490" s="1" t="inlineStr">
        <is>
          <t>13701</t>
        </is>
      </c>
      <c r="C1490" s="1" t="inlineStr">
        <is>
          <t>Marvel Gloss Oriental Green Wall Tiles</t>
        </is>
      </c>
      <c r="D1490" s="1" t="inlineStr">
        <is>
          <t>148x148x6mm</t>
        </is>
      </c>
      <c r="E1490" s="1" t="n">
        <v>23.95</v>
      </c>
      <c r="F1490" s="1" t="n">
        <v>0</v>
      </c>
      <c r="G1490" s="1" t="inlineStr">
        <is>
          <t>SQM</t>
        </is>
      </c>
      <c r="H1490" s="1" t="inlineStr">
        <is>
          <t>Ceramic</t>
        </is>
      </c>
      <c r="I1490" s="1" t="inlineStr">
        <is>
          <t>Gloss</t>
        </is>
      </c>
      <c r="J1490" t="inlineStr"/>
      <c r="K1490" t="inlineStr"/>
      <c r="L1490" t="inlineStr">
        <is>
          <t>In Stock</t>
        </is>
      </c>
    </row>
    <row r="1491">
      <c r="A1491" s="1">
        <f>Hyperlink("https://www.wallsandfloors.co.uk/marvel-tiles-muted-yellow-matt-tiles","Product")</f>
        <v/>
      </c>
      <c r="B1491" s="1" t="inlineStr">
        <is>
          <t>13708</t>
        </is>
      </c>
      <c r="C1491" s="1" t="inlineStr">
        <is>
          <t>Marvel Matt Muted Yellow Wall Tiles</t>
        </is>
      </c>
      <c r="D1491" s="1" t="inlineStr">
        <is>
          <t>148x148x6mm</t>
        </is>
      </c>
      <c r="E1491" s="1" t="n">
        <v>23.95</v>
      </c>
      <c r="F1491" s="1" t="n">
        <v>0</v>
      </c>
      <c r="G1491" s="1" t="inlineStr">
        <is>
          <t>SQM</t>
        </is>
      </c>
      <c r="H1491" s="1" t="inlineStr">
        <is>
          <t>Ceramic</t>
        </is>
      </c>
      <c r="I1491" s="1" t="inlineStr">
        <is>
          <t>Matt</t>
        </is>
      </c>
      <c r="J1491" t="inlineStr">
        <is>
          <t>In Stock</t>
        </is>
      </c>
      <c r="K1491" t="inlineStr">
        <is>
          <t>In Stock</t>
        </is>
      </c>
      <c r="L1491" t="inlineStr">
        <is>
          <t>In Stock</t>
        </is>
      </c>
    </row>
    <row r="1492">
      <c r="A1492" s="1">
        <f>Hyperlink("https://www.wallsandfloors.co.uk/marvel-tiles-lemon-zest-yellow-matt-tiles","Product")</f>
        <v/>
      </c>
      <c r="B1492" s="1" t="inlineStr">
        <is>
          <t>13686</t>
        </is>
      </c>
      <c r="C1492" s="1" t="inlineStr">
        <is>
          <t>Marvel Matt Lemon Zest Yellow Wall Tiles</t>
        </is>
      </c>
      <c r="D1492" s="1" t="inlineStr">
        <is>
          <t>148x148x6mm</t>
        </is>
      </c>
      <c r="E1492" s="1" t="n">
        <v>23.95</v>
      </c>
      <c r="F1492" s="1" t="n">
        <v>0</v>
      </c>
      <c r="G1492" s="1" t="inlineStr">
        <is>
          <t>SQM</t>
        </is>
      </c>
      <c r="H1492" s="1" t="inlineStr">
        <is>
          <t>Ceramic</t>
        </is>
      </c>
      <c r="I1492" s="1" t="inlineStr">
        <is>
          <t>Matt</t>
        </is>
      </c>
      <c r="J1492" t="inlineStr"/>
      <c r="K1492" t="n">
        <v>84</v>
      </c>
      <c r="L1492" t="n">
        <v>84</v>
      </c>
    </row>
    <row r="1493">
      <c r="A1493" s="1">
        <f>Hyperlink("https://www.wallsandfloors.co.uk/marvel-tiles-lemon-zest-yellow-gloss-tiles","Product")</f>
        <v/>
      </c>
      <c r="B1493" s="1" t="inlineStr">
        <is>
          <t>13685</t>
        </is>
      </c>
      <c r="C1493" s="1" t="inlineStr">
        <is>
          <t>Marvel Gloss Lemon Zest Yellow Wall Tiles</t>
        </is>
      </c>
      <c r="D1493" s="1" t="inlineStr">
        <is>
          <t>148x148x6mm</t>
        </is>
      </c>
      <c r="E1493" s="1" t="n">
        <v>23.95</v>
      </c>
      <c r="F1493" s="1" t="n">
        <v>0</v>
      </c>
      <c r="G1493" s="1" t="inlineStr">
        <is>
          <t>SQM</t>
        </is>
      </c>
      <c r="H1493" s="1" t="inlineStr">
        <is>
          <t>Ceramic</t>
        </is>
      </c>
      <c r="I1493" s="1" t="inlineStr">
        <is>
          <t>Gloss</t>
        </is>
      </c>
      <c r="J1493" t="inlineStr">
        <is>
          <t>In Stock</t>
        </is>
      </c>
      <c r="K1493" t="inlineStr">
        <is>
          <t>In Stock</t>
        </is>
      </c>
      <c r="L1493" t="inlineStr">
        <is>
          <t>In Stock</t>
        </is>
      </c>
    </row>
    <row r="1494">
      <c r="A1494" s="1">
        <f>Hyperlink("https://www.wallsandfloors.co.uk/marvel-tiles-gravel-dark-grey-matt-tiles","Product")</f>
        <v/>
      </c>
      <c r="B1494" s="1" t="inlineStr">
        <is>
          <t>13680</t>
        </is>
      </c>
      <c r="C1494" s="1" t="inlineStr">
        <is>
          <t>Marvel Matt Gravel Dark Grey Wall Tiles</t>
        </is>
      </c>
      <c r="D1494" s="1" t="inlineStr">
        <is>
          <t>148x148x6mm</t>
        </is>
      </c>
      <c r="E1494" s="1" t="n">
        <v>23.95</v>
      </c>
      <c r="F1494" s="1" t="n">
        <v>0</v>
      </c>
      <c r="G1494" s="1" t="inlineStr">
        <is>
          <t>SQM</t>
        </is>
      </c>
      <c r="H1494" s="1" t="inlineStr">
        <is>
          <t>Ceramic</t>
        </is>
      </c>
      <c r="I1494" s="1" t="inlineStr">
        <is>
          <t>Matt</t>
        </is>
      </c>
      <c r="J1494" t="inlineStr"/>
      <c r="K1494" t="inlineStr"/>
      <c r="L1494" t="inlineStr">
        <is>
          <t>In Stock</t>
        </is>
      </c>
    </row>
    <row r="1495">
      <c r="A1495" s="1">
        <f>Hyperlink("https://www.wallsandfloors.co.uk/marvel-tiles-gravel-dark-grey-gloss-tiles","Product")</f>
        <v/>
      </c>
      <c r="B1495" s="1" t="inlineStr">
        <is>
          <t>13679</t>
        </is>
      </c>
      <c r="C1495" s="1" t="inlineStr">
        <is>
          <t>Marvel Gloss Gravel Dark Grey Wall Tiles</t>
        </is>
      </c>
      <c r="D1495" s="1" t="inlineStr">
        <is>
          <t>148x148x6mm</t>
        </is>
      </c>
      <c r="E1495" s="1" t="n">
        <v>19.95</v>
      </c>
      <c r="F1495" s="1" t="n">
        <v>0</v>
      </c>
      <c r="G1495" s="1" t="inlineStr">
        <is>
          <t>SQM</t>
        </is>
      </c>
      <c r="H1495" s="1" t="inlineStr">
        <is>
          <t>Ceramic</t>
        </is>
      </c>
      <c r="I1495" s="1" t="inlineStr">
        <is>
          <t>Gloss</t>
        </is>
      </c>
      <c r="J1495" t="inlineStr">
        <is>
          <t>In Stock</t>
        </is>
      </c>
      <c r="K1495" t="inlineStr"/>
      <c r="L1495" t="inlineStr">
        <is>
          <t>In Stock</t>
        </is>
      </c>
    </row>
    <row r="1496">
      <c r="A1496" s="1">
        <f>Hyperlink("https://www.wallsandfloors.co.uk/marvel-tiles-fiery-red-gloss-tiles","Product")</f>
        <v/>
      </c>
      <c r="B1496" s="1" t="inlineStr">
        <is>
          <t>13703</t>
        </is>
      </c>
      <c r="C1496" s="1" t="inlineStr">
        <is>
          <t>Marvel Fiery Gloss Red Wall Tiles</t>
        </is>
      </c>
      <c r="D1496" s="1" t="inlineStr">
        <is>
          <t>148x148x6mm</t>
        </is>
      </c>
      <c r="E1496" s="1" t="n">
        <v>23.95</v>
      </c>
      <c r="F1496" s="1" t="n">
        <v>0</v>
      </c>
      <c r="G1496" s="1" t="inlineStr">
        <is>
          <t>SQM</t>
        </is>
      </c>
      <c r="H1496" s="1" t="inlineStr">
        <is>
          <t>Ceramic</t>
        </is>
      </c>
      <c r="I1496" s="1" t="inlineStr">
        <is>
          <t>Gloss</t>
        </is>
      </c>
      <c r="J1496" t="inlineStr"/>
      <c r="K1496" t="inlineStr">
        <is>
          <t>In Stock</t>
        </is>
      </c>
      <c r="L1496" t="inlineStr">
        <is>
          <t>In Stock</t>
        </is>
      </c>
    </row>
    <row r="1497">
      <c r="A1497" s="1">
        <f>Hyperlink("https://www.wallsandfloors.co.uk/marvel-tiles-creamy-tea-cream-gloss-tiles","Product")</f>
        <v/>
      </c>
      <c r="B1497" s="1" t="inlineStr">
        <is>
          <t>13677</t>
        </is>
      </c>
      <c r="C1497" s="1" t="inlineStr">
        <is>
          <t>Marvel Gloss Creamy Tea Cream Wall Tiles</t>
        </is>
      </c>
      <c r="D1497" s="1" t="inlineStr">
        <is>
          <t>148x148x6mm</t>
        </is>
      </c>
      <c r="E1497" s="1" t="n">
        <v>23.95</v>
      </c>
      <c r="F1497" s="1" t="n">
        <v>0</v>
      </c>
      <c r="G1497" s="1" t="inlineStr">
        <is>
          <t>SQM</t>
        </is>
      </c>
      <c r="H1497" s="1" t="inlineStr">
        <is>
          <t>Ceramic</t>
        </is>
      </c>
      <c r="I1497" s="1" t="inlineStr">
        <is>
          <t>Gloss</t>
        </is>
      </c>
      <c r="J1497" t="inlineStr">
        <is>
          <t>In Stock</t>
        </is>
      </c>
      <c r="K1497" t="inlineStr"/>
      <c r="L1497" t="inlineStr">
        <is>
          <t>Out of Stock</t>
        </is>
      </c>
    </row>
    <row r="1498">
      <c r="A1498" s="1">
        <f>Hyperlink("https://www.wallsandfloors.co.uk/marvel-tiles-blue-skies-matt-tiles","Product")</f>
        <v/>
      </c>
      <c r="B1498" s="1" t="inlineStr">
        <is>
          <t>13706</t>
        </is>
      </c>
      <c r="C1498" s="1" t="inlineStr">
        <is>
          <t>Marvel Matt Blue Skies Wall Tiles</t>
        </is>
      </c>
      <c r="D1498" s="1" t="inlineStr">
        <is>
          <t>148x148x6mm</t>
        </is>
      </c>
      <c r="E1498" s="1" t="n">
        <v>23.95</v>
      </c>
      <c r="F1498" s="1" t="n">
        <v>0</v>
      </c>
      <c r="G1498" s="1" t="inlineStr">
        <is>
          <t>SQM</t>
        </is>
      </c>
      <c r="H1498" s="1" t="inlineStr">
        <is>
          <t>Ceramic</t>
        </is>
      </c>
      <c r="I1498" s="1" t="inlineStr">
        <is>
          <t>Matt</t>
        </is>
      </c>
      <c r="J1498" t="inlineStr">
        <is>
          <t>In Stock</t>
        </is>
      </c>
      <c r="K1498" t="inlineStr">
        <is>
          <t>In Stock</t>
        </is>
      </c>
      <c r="L1498" t="inlineStr">
        <is>
          <t>Out of Stock</t>
        </is>
      </c>
    </row>
    <row r="1499">
      <c r="A1499" s="1">
        <f>Hyperlink("https://www.wallsandfloors.co.uk/marvel-tiles-blue-skies-gloss-tiles","Product")</f>
        <v/>
      </c>
      <c r="B1499" s="1" t="inlineStr">
        <is>
          <t>13705</t>
        </is>
      </c>
      <c r="C1499" s="1" t="inlineStr">
        <is>
          <t>Marvel Gloss Blue Skies Wall Tiles</t>
        </is>
      </c>
      <c r="D1499" s="1" t="inlineStr">
        <is>
          <t>148x148x6mm</t>
        </is>
      </c>
      <c r="E1499" s="1" t="n">
        <v>23.95</v>
      </c>
      <c r="F1499" s="1" t="n">
        <v>0</v>
      </c>
      <c r="G1499" s="1" t="inlineStr">
        <is>
          <t>SQM</t>
        </is>
      </c>
      <c r="H1499" s="1" t="inlineStr">
        <is>
          <t>Ceramic</t>
        </is>
      </c>
      <c r="I1499" s="1" t="inlineStr">
        <is>
          <t>Gloss</t>
        </is>
      </c>
      <c r="J1499" t="inlineStr">
        <is>
          <t>Out of Stock</t>
        </is>
      </c>
      <c r="K1499" t="inlineStr"/>
      <c r="L1499" t="inlineStr">
        <is>
          <t>Out of Stock</t>
        </is>
      </c>
    </row>
    <row r="1500">
      <c r="A1500" s="1">
        <f>Hyperlink("https://www.wallsandfloors.co.uk/marvel-tiles-almond-milk-matt-tiles","Product")</f>
        <v/>
      </c>
      <c r="B1500" s="1" t="inlineStr">
        <is>
          <t>13674</t>
        </is>
      </c>
      <c r="C1500" s="1" t="inlineStr">
        <is>
          <t>Marvel Matt Almond Milk Wall Tiles</t>
        </is>
      </c>
      <c r="D1500" s="1" t="inlineStr">
        <is>
          <t>148x148x6mm</t>
        </is>
      </c>
      <c r="E1500" s="1" t="n">
        <v>23.95</v>
      </c>
      <c r="F1500" s="1" t="n">
        <v>0</v>
      </c>
      <c r="G1500" s="1" t="inlineStr">
        <is>
          <t>SQM</t>
        </is>
      </c>
      <c r="H1500" s="1" t="inlineStr">
        <is>
          <t>Ceramic</t>
        </is>
      </c>
      <c r="I1500" s="1" t="inlineStr">
        <is>
          <t>Matt</t>
        </is>
      </c>
      <c r="J1500" t="n">
        <v>87</v>
      </c>
      <c r="K1500" t="n">
        <v>87</v>
      </c>
      <c r="L1500" t="n">
        <v>87</v>
      </c>
    </row>
    <row r="1501">
      <c r="A1501" s="1">
        <f>Hyperlink("https://www.wallsandfloors.co.uk/marvel-tiles-almond-milk-gloss-tiles","Product")</f>
        <v/>
      </c>
      <c r="B1501" s="1" t="inlineStr">
        <is>
          <t>13673</t>
        </is>
      </c>
      <c r="C1501" s="1" t="inlineStr">
        <is>
          <t>Marvel Gloss Almond Milk Wall Tiles</t>
        </is>
      </c>
      <c r="D1501" s="1" t="inlineStr">
        <is>
          <t>148x148x6mm</t>
        </is>
      </c>
      <c r="E1501" s="1" t="n">
        <v>23.95</v>
      </c>
      <c r="F1501" s="1" t="n">
        <v>0</v>
      </c>
      <c r="G1501" s="1" t="inlineStr"/>
      <c r="H1501" s="1" t="inlineStr">
        <is>
          <t>Ceramic</t>
        </is>
      </c>
      <c r="I1501" s="1" t="inlineStr">
        <is>
          <t>Gloss</t>
        </is>
      </c>
      <c r="J1501" t="inlineStr">
        <is>
          <t>In Stock</t>
        </is>
      </c>
      <c r="K1501" t="inlineStr">
        <is>
          <t>In Stock</t>
        </is>
      </c>
      <c r="L1501" t="inlineStr">
        <is>
          <t>In Stock</t>
        </is>
      </c>
    </row>
    <row r="1502">
      <c r="A1502" s="1">
        <f>Hyperlink("https://www.wallsandfloors.co.uk/marvel-plus-wild-mushroom-matt-tiles","Product")</f>
        <v/>
      </c>
      <c r="B1502" s="1" t="inlineStr">
        <is>
          <t>39307</t>
        </is>
      </c>
      <c r="C1502" s="1" t="inlineStr">
        <is>
          <t>Marvel Plus Wild Mushroom Matt Tiles</t>
        </is>
      </c>
      <c r="D1502" s="1" t="inlineStr">
        <is>
          <t>598x298x10mm</t>
        </is>
      </c>
      <c r="E1502" s="1" t="n">
        <v>17.95</v>
      </c>
      <c r="F1502" s="1" t="n">
        <v>0</v>
      </c>
      <c r="G1502" s="1" t="inlineStr">
        <is>
          <t>SQM</t>
        </is>
      </c>
      <c r="H1502" s="1" t="inlineStr">
        <is>
          <t>Ceramic</t>
        </is>
      </c>
      <c r="I1502" s="1" t="inlineStr">
        <is>
          <t>Matt</t>
        </is>
      </c>
      <c r="J1502" t="n">
        <v>62</v>
      </c>
      <c r="K1502" t="n">
        <v>62</v>
      </c>
      <c r="L1502" t="n">
        <v>62</v>
      </c>
    </row>
    <row r="1503">
      <c r="A1503" s="1">
        <f>Hyperlink("https://www.wallsandfloors.co.uk/marvel-plus-wild-mushroom-gloss-tiles","Product")</f>
        <v/>
      </c>
      <c r="B1503" s="1" t="inlineStr">
        <is>
          <t>39308</t>
        </is>
      </c>
      <c r="C1503" s="1" t="inlineStr">
        <is>
          <t>Marvel Plus Wild Mushroom Gloss Tiles</t>
        </is>
      </c>
      <c r="D1503" s="1" t="inlineStr">
        <is>
          <t>598x298x10mm</t>
        </is>
      </c>
      <c r="E1503" s="1" t="n">
        <v>17.95</v>
      </c>
      <c r="F1503" s="1" t="n">
        <v>0</v>
      </c>
      <c r="G1503" s="1" t="inlineStr">
        <is>
          <t>SQM</t>
        </is>
      </c>
      <c r="H1503" s="1" t="inlineStr">
        <is>
          <t>Ceramic</t>
        </is>
      </c>
      <c r="I1503" s="1" t="inlineStr">
        <is>
          <t>Gloss</t>
        </is>
      </c>
      <c r="J1503" t="inlineStr">
        <is>
          <t>In Stock</t>
        </is>
      </c>
      <c r="K1503" t="inlineStr">
        <is>
          <t>In Stock</t>
        </is>
      </c>
      <c r="L1503" t="inlineStr">
        <is>
          <t>In Stock</t>
        </is>
      </c>
    </row>
    <row r="1504">
      <c r="A1504" s="1">
        <f>Hyperlink("https://www.wallsandfloors.co.uk/zoetic-marble-effect-tiles-french-vanilla-grey-marble-effect-wall-tiles","Product")</f>
        <v/>
      </c>
      <c r="B1504" s="1" t="inlineStr">
        <is>
          <t>14764</t>
        </is>
      </c>
      <c r="C1504" s="1" t="inlineStr">
        <is>
          <t>French Vanilla Grey Marble Effect Wall Tiles</t>
        </is>
      </c>
      <c r="D1504" s="1" t="inlineStr">
        <is>
          <t>550x333x8mm</t>
        </is>
      </c>
      <c r="E1504" s="1" t="n">
        <v>17.95</v>
      </c>
      <c r="F1504" s="1" t="n">
        <v>0</v>
      </c>
      <c r="G1504" s="1" t="inlineStr">
        <is>
          <t>SQM</t>
        </is>
      </c>
      <c r="H1504" s="1" t="inlineStr">
        <is>
          <t>Ceramic</t>
        </is>
      </c>
      <c r="I1504" s="1" t="inlineStr">
        <is>
          <t>Gloss</t>
        </is>
      </c>
      <c r="J1504" t="n">
        <v>198</v>
      </c>
      <c r="K1504" t="n">
        <v>198</v>
      </c>
      <c r="L1504" t="n">
        <v>198</v>
      </c>
    </row>
    <row r="1505">
      <c r="A1505" s="1">
        <f>Hyperlink("https://www.wallsandfloors.co.uk/marvel-plus-white-matt-decor-tiles","Product")</f>
        <v/>
      </c>
      <c r="B1505" s="1" t="inlineStr">
        <is>
          <t>39317</t>
        </is>
      </c>
      <c r="C1505" s="1" t="inlineStr">
        <is>
          <t>Marvel Plus White Matt Decor Tiles</t>
        </is>
      </c>
      <c r="D1505" s="1" t="inlineStr">
        <is>
          <t>598x298x10mm</t>
        </is>
      </c>
      <c r="E1505" s="1" t="n">
        <v>17.95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Matt</t>
        </is>
      </c>
      <c r="J1505" t="inlineStr">
        <is>
          <t>In Stock</t>
        </is>
      </c>
      <c r="K1505" t="inlineStr"/>
      <c r="L1505" t="inlineStr">
        <is>
          <t>In Stock</t>
        </is>
      </c>
    </row>
    <row r="1506">
      <c r="A1506" s="1">
        <f>Hyperlink("https://www.wallsandfloors.co.uk/marvel-plus-white-gloss-tiles","Product")</f>
        <v/>
      </c>
      <c r="B1506" s="1" t="inlineStr">
        <is>
          <t>39318</t>
        </is>
      </c>
      <c r="C1506" s="1" t="inlineStr">
        <is>
          <t>Marvel Plus White Gloss Tiles</t>
        </is>
      </c>
      <c r="D1506" s="1" t="inlineStr">
        <is>
          <t>598x298x10mm</t>
        </is>
      </c>
      <c r="E1506" s="1" t="n">
        <v>17.95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inlineStr">
        <is>
          <t>In Stock</t>
        </is>
      </c>
      <c r="K1506" t="inlineStr">
        <is>
          <t>In Stock</t>
        </is>
      </c>
      <c r="L1506" t="inlineStr">
        <is>
          <t>In Stock</t>
        </is>
      </c>
    </row>
    <row r="1507">
      <c r="A1507" s="1">
        <f>Hyperlink("https://www.wallsandfloors.co.uk/marvel-plus-white-gloss-decor-tiles","Product")</f>
        <v/>
      </c>
      <c r="B1507" s="1" t="inlineStr">
        <is>
          <t>39316</t>
        </is>
      </c>
      <c r="C1507" s="1" t="inlineStr">
        <is>
          <t>Marvel Plus White Gloss Decor Tiles</t>
        </is>
      </c>
      <c r="D1507" s="1" t="inlineStr">
        <is>
          <t>598x298x10mm</t>
        </is>
      </c>
      <c r="E1507" s="1" t="n">
        <v>17.95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/>
      <c r="K1507" t="n">
        <v>115</v>
      </c>
      <c r="L1507" t="n">
        <v>115</v>
      </c>
    </row>
    <row r="1508">
      <c r="A1508" s="1">
        <f>Hyperlink("https://www.wallsandfloors.co.uk/marvel-plus-smokey-black-matt-decor-tiles","Product")</f>
        <v/>
      </c>
      <c r="B1508" s="1" t="inlineStr">
        <is>
          <t>39309</t>
        </is>
      </c>
      <c r="C1508" s="1" t="inlineStr">
        <is>
          <t>Marvel Plus Smokey Black Matt Decor Tiles</t>
        </is>
      </c>
      <c r="D1508" s="1" t="inlineStr">
        <is>
          <t>598x298x10mm</t>
        </is>
      </c>
      <c r="E1508" s="1" t="n">
        <v>17.95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Matt</t>
        </is>
      </c>
      <c r="J1508" t="inlineStr">
        <is>
          <t>In Stock</t>
        </is>
      </c>
      <c r="K1508" t="inlineStr">
        <is>
          <t>In Stock</t>
        </is>
      </c>
      <c r="L1508" t="inlineStr">
        <is>
          <t>In Stock</t>
        </is>
      </c>
    </row>
    <row r="1509">
      <c r="A1509" s="1">
        <f>Hyperlink("https://www.wallsandfloors.co.uk/marvel-plus-pebble-matt-tiles","Product")</f>
        <v/>
      </c>
      <c r="B1509" s="1" t="inlineStr">
        <is>
          <t>39310</t>
        </is>
      </c>
      <c r="C1509" s="1" t="inlineStr">
        <is>
          <t>Marvel Plus Pebble Matt Tiles</t>
        </is>
      </c>
      <c r="D1509" s="1" t="inlineStr">
        <is>
          <t>598x298x10mm</t>
        </is>
      </c>
      <c r="E1509" s="1" t="n">
        <v>20.95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Matt</t>
        </is>
      </c>
      <c r="J1509" t="n">
        <v>91</v>
      </c>
      <c r="K1509" t="inlineStr"/>
      <c r="L1509" t="n">
        <v>91</v>
      </c>
    </row>
    <row r="1510">
      <c r="A1510" s="1">
        <f>Hyperlink("https://www.wallsandfloors.co.uk/marvel-plus-pebble-gloss-tiles","Product")</f>
        <v/>
      </c>
      <c r="B1510" s="1" t="inlineStr">
        <is>
          <t>39311</t>
        </is>
      </c>
      <c r="C1510" s="1" t="inlineStr">
        <is>
          <t>Marvel Plus Pebble Gloss Tiles</t>
        </is>
      </c>
      <c r="D1510" s="1" t="inlineStr">
        <is>
          <t>598x298x10mm</t>
        </is>
      </c>
      <c r="E1510" s="1" t="n">
        <v>17.95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inlineStr">
        <is>
          <t>Out of Stock</t>
        </is>
      </c>
      <c r="K1510" t="inlineStr">
        <is>
          <t>Out of Stock</t>
        </is>
      </c>
      <c r="L1510" t="inlineStr">
        <is>
          <t>Out of Stock</t>
        </is>
      </c>
    </row>
    <row r="1511">
      <c r="A1511" s="1">
        <f>Hyperlink("https://www.wallsandfloors.co.uk/marvel-plus-almond-milk-matt-tiles","Product")</f>
        <v/>
      </c>
      <c r="B1511" s="1" t="inlineStr">
        <is>
          <t>39312</t>
        </is>
      </c>
      <c r="C1511" s="1" t="inlineStr">
        <is>
          <t>Marvel Plus Almond Milk Matt Tiles</t>
        </is>
      </c>
      <c r="D1511" s="1" t="inlineStr">
        <is>
          <t>598x298x10mm</t>
        </is>
      </c>
      <c r="E1511" s="1" t="n">
        <v>17.95</v>
      </c>
      <c r="F1511" s="1" t="n">
        <v>0</v>
      </c>
      <c r="G1511" s="1" t="inlineStr">
        <is>
          <t>SQM</t>
        </is>
      </c>
      <c r="H1511" s="1" t="inlineStr">
        <is>
          <t>Ceramic</t>
        </is>
      </c>
      <c r="I1511" s="1" t="inlineStr">
        <is>
          <t>Matt</t>
        </is>
      </c>
      <c r="J1511" t="inlineStr">
        <is>
          <t>In Stock</t>
        </is>
      </c>
      <c r="K1511" t="inlineStr"/>
      <c r="L1511" t="inlineStr">
        <is>
          <t>In Stock</t>
        </is>
      </c>
    </row>
    <row r="1512">
      <c r="A1512" s="1">
        <f>Hyperlink("https://www.wallsandfloors.co.uk/marvel-plus-almond-milk-gloss-tiles","Product")</f>
        <v/>
      </c>
      <c r="B1512" s="1" t="inlineStr">
        <is>
          <t>39315</t>
        </is>
      </c>
      <c r="C1512" s="1" t="inlineStr">
        <is>
          <t>Marvel Plus Almond Milk Gloss Tiles</t>
        </is>
      </c>
      <c r="D1512" s="1" t="inlineStr">
        <is>
          <t>598x298x10mm</t>
        </is>
      </c>
      <c r="E1512" s="1" t="n">
        <v>17.95</v>
      </c>
      <c r="F1512" s="1" t="n">
        <v>0</v>
      </c>
      <c r="G1512" s="1" t="inlineStr">
        <is>
          <t>SQM</t>
        </is>
      </c>
      <c r="H1512" s="1" t="inlineStr">
        <is>
          <t>Ceramic</t>
        </is>
      </c>
      <c r="I1512" s="1" t="inlineStr">
        <is>
          <t>Gloss</t>
        </is>
      </c>
      <c r="J1512" t="inlineStr"/>
      <c r="K1512" t="inlineStr"/>
      <c r="L1512" t="inlineStr">
        <is>
          <t>In Stock</t>
        </is>
      </c>
    </row>
    <row r="1513">
      <c r="A1513" s="1">
        <f>Hyperlink("https://www.wallsandfloors.co.uk/marvel-tiles-pebble-grey-gloss-tiles","Product")</f>
        <v/>
      </c>
      <c r="B1513" s="1" t="inlineStr">
        <is>
          <t>13671</t>
        </is>
      </c>
      <c r="C1513" s="1" t="inlineStr">
        <is>
          <t>Marvel Gloss Pebble Grey Wall Tiles</t>
        </is>
      </c>
      <c r="D1513" s="1" t="inlineStr">
        <is>
          <t>148x148x6mm</t>
        </is>
      </c>
      <c r="E1513" s="1" t="n">
        <v>23.95</v>
      </c>
      <c r="F1513" s="1" t="n">
        <v>0</v>
      </c>
      <c r="G1513" s="1" t="inlineStr">
        <is>
          <t>SQM</t>
        </is>
      </c>
      <c r="H1513" s="1" t="inlineStr">
        <is>
          <t>Ceramic</t>
        </is>
      </c>
      <c r="I1513" s="1" t="inlineStr">
        <is>
          <t>Gloss</t>
        </is>
      </c>
      <c r="J1513" t="n">
        <v>366</v>
      </c>
      <c r="K1513" t="inlineStr"/>
      <c r="L1513" t="n">
        <v>366</v>
      </c>
    </row>
    <row r="1514">
      <c r="A1514" s="1">
        <f>Hyperlink("https://www.wallsandfloors.co.uk/marron-glass-brick-tiles","Product")</f>
        <v/>
      </c>
      <c r="B1514" s="1" t="inlineStr">
        <is>
          <t>37270</t>
        </is>
      </c>
      <c r="C1514" s="1" t="inlineStr">
        <is>
          <t>Marron Glass Brick Tiles</t>
        </is>
      </c>
      <c r="D1514" s="1" t="inlineStr">
        <is>
          <t>300x75x8mm</t>
        </is>
      </c>
      <c r="E1514" s="1" t="n">
        <v>1.55</v>
      </c>
      <c r="F1514" s="1" t="n">
        <v>0</v>
      </c>
      <c r="G1514" s="1" t="inlineStr">
        <is>
          <t>SQM</t>
        </is>
      </c>
      <c r="H1514" s="1" t="inlineStr">
        <is>
          <t>Glass</t>
        </is>
      </c>
      <c r="I1514" s="1" t="inlineStr">
        <is>
          <t>Gloss</t>
        </is>
      </c>
      <c r="J1514" t="n">
        <v>41</v>
      </c>
      <c r="K1514" t="n">
        <v>41</v>
      </c>
      <c r="L1514" t="n">
        <v>41</v>
      </c>
    </row>
    <row r="1515">
      <c r="A1515" s="1">
        <f>Hyperlink("https://www.wallsandfloors.co.uk/marvel-tiles-pebble-grey-matt-tiles","Product")</f>
        <v/>
      </c>
      <c r="B1515" s="1" t="inlineStr">
        <is>
          <t>13672</t>
        </is>
      </c>
      <c r="C1515" s="1" t="inlineStr">
        <is>
          <t>Marvel Matt Pebble Grey Wall Tiles</t>
        </is>
      </c>
      <c r="D1515" s="1" t="inlineStr">
        <is>
          <t>148x148x6mm</t>
        </is>
      </c>
      <c r="E1515" s="1" t="n">
        <v>20.95</v>
      </c>
      <c r="F1515" s="1" t="n">
        <v>0</v>
      </c>
      <c r="G1515" s="1" t="inlineStr">
        <is>
          <t>SQM</t>
        </is>
      </c>
      <c r="H1515" s="1" t="inlineStr">
        <is>
          <t>Ceramic</t>
        </is>
      </c>
      <c r="I1515" s="1" t="inlineStr">
        <is>
          <t>Matt</t>
        </is>
      </c>
      <c r="J1515" t="n">
        <v>65</v>
      </c>
      <c r="K1515" t="n">
        <v>65</v>
      </c>
      <c r="L1515" t="n">
        <v>65</v>
      </c>
    </row>
    <row r="1516">
      <c r="A1516" s="1">
        <f>Hyperlink("https://www.wallsandfloors.co.uk/marvel-tiles-sapphire-dark-blue-gloss-tiles","Product")</f>
        <v/>
      </c>
      <c r="B1516" s="1" t="inlineStr">
        <is>
          <t>13675</t>
        </is>
      </c>
      <c r="C1516" s="1" t="inlineStr">
        <is>
          <t>Marvel Gloss Sapphire Dark Blue Wall Tiles</t>
        </is>
      </c>
      <c r="D1516" s="1" t="inlineStr">
        <is>
          <t>148x148x6mm</t>
        </is>
      </c>
      <c r="E1516" s="1" t="n">
        <v>23.95</v>
      </c>
      <c r="F1516" s="1" t="n">
        <v>0</v>
      </c>
      <c r="G1516" s="1" t="inlineStr">
        <is>
          <t>SQM</t>
        </is>
      </c>
      <c r="H1516" s="1" t="inlineStr">
        <is>
          <t>Ceramic</t>
        </is>
      </c>
      <c r="I1516" s="1" t="inlineStr">
        <is>
          <t>Gloss</t>
        </is>
      </c>
      <c r="J1516" t="n">
        <v>95</v>
      </c>
      <c r="K1516" t="n">
        <v>95</v>
      </c>
      <c r="L1516" t="n">
        <v>95</v>
      </c>
    </row>
    <row r="1517">
      <c r="A1517" s="1">
        <f>Hyperlink("https://www.wallsandfloors.co.uk/mediterranean-marble-effect-tiles-light-tan-gloss-marble-effect-tiles","Product")</f>
        <v/>
      </c>
      <c r="B1517" s="1" t="inlineStr">
        <is>
          <t>12826</t>
        </is>
      </c>
      <c r="C1517" s="1" t="inlineStr">
        <is>
          <t>Mediterranean Light Tan Marble Effect Tiles</t>
        </is>
      </c>
      <c r="D1517" s="1" t="inlineStr">
        <is>
          <t>500x250x8mm</t>
        </is>
      </c>
      <c r="E1517" s="1" t="n">
        <v>13.95</v>
      </c>
      <c r="F1517" s="1" t="n">
        <v>0</v>
      </c>
      <c r="G1517" s="1" t="inlineStr">
        <is>
          <t>SQM</t>
        </is>
      </c>
      <c r="H1517" s="1" t="inlineStr">
        <is>
          <t>Ceramic</t>
        </is>
      </c>
      <c r="I1517" s="1" t="inlineStr">
        <is>
          <t>Gloss</t>
        </is>
      </c>
      <c r="J1517" t="n">
        <v>154</v>
      </c>
      <c r="K1517" t="n">
        <v>154</v>
      </c>
      <c r="L1517" t="n">
        <v>154</v>
      </c>
    </row>
    <row r="1518">
      <c r="A1518" s="1">
        <f>Hyperlink("https://www.wallsandfloors.co.uk/mediterranean-marble-effect-tiles-light-grey-gloss-marble-effect-tiles","Product")</f>
        <v/>
      </c>
      <c r="B1518" s="1" t="inlineStr">
        <is>
          <t>12827</t>
        </is>
      </c>
      <c r="C1518" s="1" t="inlineStr">
        <is>
          <t>Mediterranean Light Grey Marble Effect Wall Tiles</t>
        </is>
      </c>
      <c r="D1518" s="1" t="inlineStr">
        <is>
          <t>500x250x8mm</t>
        </is>
      </c>
      <c r="E1518" s="1" t="n">
        <v>15.95</v>
      </c>
      <c r="F1518" s="1" t="n">
        <v>0</v>
      </c>
      <c r="G1518" s="1" t="inlineStr">
        <is>
          <t>SQM</t>
        </is>
      </c>
      <c r="H1518" s="1" t="inlineStr">
        <is>
          <t>Ceramic</t>
        </is>
      </c>
      <c r="I1518" s="1" t="inlineStr">
        <is>
          <t>Gloss</t>
        </is>
      </c>
      <c r="J1518" t="n">
        <v>177</v>
      </c>
      <c r="K1518" t="n">
        <v>177</v>
      </c>
      <c r="L1518" t="n">
        <v>177</v>
      </c>
    </row>
    <row r="1519">
      <c r="A1519" s="1">
        <f>Hyperlink("https://www.wallsandfloors.co.uk/mediterranean-marble-effect-tiles-grey-mix-gloss-mosaic-marble-effect-tiles","Product")</f>
        <v/>
      </c>
      <c r="B1519" s="1" t="inlineStr">
        <is>
          <t>13264</t>
        </is>
      </c>
      <c r="C1519" s="1" t="inlineStr">
        <is>
          <t>Mediterranean Grey Mix Marble Effect Tiles</t>
        </is>
      </c>
      <c r="D1519" s="1" t="inlineStr">
        <is>
          <t>500x250x8mm</t>
        </is>
      </c>
      <c r="E1519" s="1" t="n">
        <v>16.95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Gloss</t>
        </is>
      </c>
      <c r="J1519" t="inlineStr"/>
      <c r="K1519" t="inlineStr">
        <is>
          <t>In Stock</t>
        </is>
      </c>
      <c r="L1519" t="inlineStr">
        <is>
          <t>In Stock</t>
        </is>
      </c>
    </row>
    <row r="1520">
      <c r="A1520" s="1">
        <f>Hyperlink("https://www.wallsandfloors.co.uk/mediterranean-marble-effect-tiles-dark-grey-gloss-marble-effect-tiles","Product")</f>
        <v/>
      </c>
      <c r="B1520" s="1" t="inlineStr">
        <is>
          <t>12829</t>
        </is>
      </c>
      <c r="C1520" s="1" t="inlineStr">
        <is>
          <t>Dark Grey Gloss Marble Effect Wall Tiles</t>
        </is>
      </c>
      <c r="D1520" s="1" t="inlineStr">
        <is>
          <t>500x250x8mm</t>
        </is>
      </c>
      <c r="E1520" s="1" t="n">
        <v>13.95</v>
      </c>
      <c r="F1520" s="1" t="n">
        <v>0</v>
      </c>
      <c r="G1520" s="1" t="inlineStr">
        <is>
          <t>SQM</t>
        </is>
      </c>
      <c r="H1520" s="1" t="inlineStr">
        <is>
          <t>Ceramic</t>
        </is>
      </c>
      <c r="I1520" s="1" t="inlineStr">
        <is>
          <t>Gloss</t>
        </is>
      </c>
      <c r="J1520" t="inlineStr"/>
      <c r="K1520" t="n">
        <v>382</v>
      </c>
      <c r="L1520" t="n">
        <v>382</v>
      </c>
    </row>
    <row r="1521">
      <c r="A1521" s="1">
        <f>Hyperlink("https://www.wallsandfloors.co.uk/mediterranean-marble-effect-tiles-cream-gloss-mix-mosaic-marble-effect-tiles","Product")</f>
        <v/>
      </c>
      <c r="B1521" s="1" t="inlineStr">
        <is>
          <t>14145</t>
        </is>
      </c>
      <c r="C1521" s="1" t="inlineStr">
        <is>
          <t>Mediterranean Cream Mix Marble Effect Tiles</t>
        </is>
      </c>
      <c r="D1521" s="1" t="inlineStr">
        <is>
          <t>500x250x8mm</t>
        </is>
      </c>
      <c r="E1521" s="1" t="n">
        <v>16.95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64</v>
      </c>
      <c r="K1521" t="n">
        <v>64</v>
      </c>
      <c r="L1521" t="n">
        <v>64</v>
      </c>
    </row>
    <row r="1522">
      <c r="A1522" s="1">
        <f>Hyperlink("https://www.wallsandfloors.co.uk/mediterranean-marble-effect-tiles-cream-gloss-marble-effect-tiles","Product")</f>
        <v/>
      </c>
      <c r="B1522" s="1" t="inlineStr">
        <is>
          <t>12831</t>
        </is>
      </c>
      <c r="C1522" s="1" t="inlineStr">
        <is>
          <t>Mediterranean Cream Marble Effect Wall Tiles</t>
        </is>
      </c>
      <c r="D1522" s="1" t="inlineStr">
        <is>
          <t>500x250x8mm</t>
        </is>
      </c>
      <c r="E1522" s="1" t="n">
        <v>10.95</v>
      </c>
      <c r="F1522" s="1" t="n">
        <v>0</v>
      </c>
      <c r="G1522" s="1" t="inlineStr">
        <is>
          <t>SQM</t>
        </is>
      </c>
      <c r="H1522" s="1" t="inlineStr">
        <is>
          <t>Ceramic</t>
        </is>
      </c>
      <c r="I1522" s="1" t="inlineStr">
        <is>
          <t>Gloss</t>
        </is>
      </c>
      <c r="J1522" t="n">
        <v>153</v>
      </c>
      <c r="K1522" t="n">
        <v>153</v>
      </c>
      <c r="L1522" t="n">
        <v>153</v>
      </c>
    </row>
    <row r="1523">
      <c r="A1523" s="1">
        <f>Hyperlink("https://www.wallsandfloors.co.uk/medici-plus-natural-600x600x20-tiles","Product")</f>
        <v/>
      </c>
      <c r="B1523" s="1" t="inlineStr">
        <is>
          <t>44179</t>
        </is>
      </c>
      <c r="C1523" s="1" t="inlineStr">
        <is>
          <t>Medici Plus Natural Porcelain Paving Slabs</t>
        </is>
      </c>
      <c r="D1523" s="1" t="inlineStr">
        <is>
          <t>595x595x20mm</t>
        </is>
      </c>
      <c r="E1523" s="1" t="n">
        <v>25.95</v>
      </c>
      <c r="F1523" s="1" t="n">
        <v>0</v>
      </c>
      <c r="G1523" s="1" t="inlineStr">
        <is>
          <t>SQM</t>
        </is>
      </c>
      <c r="H1523" s="1" t="inlineStr">
        <is>
          <t>Porcelain</t>
        </is>
      </c>
      <c r="I1523" s="1" t="inlineStr">
        <is>
          <t>Matt</t>
        </is>
      </c>
      <c r="J1523" t="n">
        <v>1877</v>
      </c>
      <c r="K1523" t="n">
        <v>1877</v>
      </c>
      <c r="L1523" t="n">
        <v>1877</v>
      </c>
    </row>
    <row r="1524">
      <c r="A1524" s="1">
        <f>Hyperlink("https://www.wallsandfloors.co.uk/mazurka-mosaic-tiles-pepite-tiles","Product")</f>
        <v/>
      </c>
      <c r="B1524" s="1" t="inlineStr">
        <is>
          <t>10563</t>
        </is>
      </c>
      <c r="C1524" s="1" t="inlineStr">
        <is>
          <t>Mazurka Pepite Yellow Mosaic Tiles</t>
        </is>
      </c>
      <c r="D1524" s="1" t="inlineStr">
        <is>
          <t>348x348x4mm</t>
        </is>
      </c>
      <c r="E1524" s="1" t="n">
        <v>29.95</v>
      </c>
      <c r="F1524" s="1" t="n">
        <v>0</v>
      </c>
      <c r="G1524" s="1" t="inlineStr">
        <is>
          <t>Sheet</t>
        </is>
      </c>
      <c r="H1524" s="1" t="inlineStr">
        <is>
          <t>Porcelain</t>
        </is>
      </c>
      <c r="I1524" s="1" t="inlineStr">
        <is>
          <t>Matt</t>
        </is>
      </c>
      <c r="J1524" t="inlineStr">
        <is>
          <t>In Stock</t>
        </is>
      </c>
      <c r="K1524" t="inlineStr">
        <is>
          <t>In Stock</t>
        </is>
      </c>
      <c r="L1524" t="inlineStr">
        <is>
          <t>In Stock</t>
        </is>
      </c>
    </row>
    <row r="1525">
      <c r="A1525" s="1">
        <f>Hyperlink("https://www.wallsandfloors.co.uk/mazurka-mosaic-tiles-malachite-tiles","Product")</f>
        <v/>
      </c>
      <c r="B1525" s="1" t="inlineStr">
        <is>
          <t>10568</t>
        </is>
      </c>
      <c r="C1525" s="1" t="inlineStr">
        <is>
          <t>Mazurka Malachite Teal Mosaic Tiles</t>
        </is>
      </c>
      <c r="D1525" s="1" t="inlineStr">
        <is>
          <t>348x348x4mm</t>
        </is>
      </c>
      <c r="E1525" s="1" t="n">
        <v>26.95</v>
      </c>
      <c r="F1525" s="1" t="n">
        <v>0</v>
      </c>
      <c r="G1525" s="1" t="inlineStr">
        <is>
          <t>Sheet</t>
        </is>
      </c>
      <c r="H1525" s="1" t="inlineStr">
        <is>
          <t>Porcelain</t>
        </is>
      </c>
      <c r="I1525" s="1" t="inlineStr">
        <is>
          <t>Matt</t>
        </is>
      </c>
      <c r="J1525" t="inlineStr">
        <is>
          <t>In Stock</t>
        </is>
      </c>
      <c r="K1525" t="inlineStr">
        <is>
          <t>In Stock</t>
        </is>
      </c>
      <c r="L1525" t="inlineStr">
        <is>
          <t>In Stock</t>
        </is>
      </c>
    </row>
    <row r="1526">
      <c r="A1526" s="1">
        <f>Hyperlink("https://www.wallsandfloors.co.uk/mazurka-mosaic-tiles-lave-tiles","Product")</f>
        <v/>
      </c>
      <c r="B1526" s="1" t="inlineStr">
        <is>
          <t>10555</t>
        </is>
      </c>
      <c r="C1526" s="1" t="inlineStr">
        <is>
          <t>Mazurka Lave Grey Mosaic Tiles</t>
        </is>
      </c>
      <c r="D1526" s="1" t="inlineStr">
        <is>
          <t>348x348x4mm</t>
        </is>
      </c>
      <c r="E1526" s="1" t="n">
        <v>26.95</v>
      </c>
      <c r="F1526" s="1" t="n">
        <v>0</v>
      </c>
      <c r="G1526" s="1" t="inlineStr">
        <is>
          <t>Sheet</t>
        </is>
      </c>
      <c r="H1526" s="1" t="inlineStr">
        <is>
          <t>Porcelain</t>
        </is>
      </c>
      <c r="I1526" s="1" t="inlineStr">
        <is>
          <t>Matt</t>
        </is>
      </c>
      <c r="J1526" t="inlineStr">
        <is>
          <t>In Stock</t>
        </is>
      </c>
      <c r="K1526" t="inlineStr">
        <is>
          <t>In Stock</t>
        </is>
      </c>
      <c r="L1526" t="inlineStr">
        <is>
          <t>In Stock</t>
        </is>
      </c>
    </row>
    <row r="1527">
      <c r="A1527" s="1">
        <f>Hyperlink("https://www.wallsandfloors.co.uk/mazurka-mosaic-tiles-cobalt-tiles","Product")</f>
        <v/>
      </c>
      <c r="B1527" s="1" t="inlineStr">
        <is>
          <t>10574</t>
        </is>
      </c>
      <c r="C1527" s="1" t="inlineStr">
        <is>
          <t>Mazurka Cobalt Dark Blue Mosaic Tiles</t>
        </is>
      </c>
      <c r="D1527" s="1" t="inlineStr">
        <is>
          <t>348x348x4mm</t>
        </is>
      </c>
      <c r="E1527" s="1" t="n">
        <v>29.95</v>
      </c>
      <c r="F1527" s="1" t="n">
        <v>0</v>
      </c>
      <c r="G1527" s="1" t="inlineStr">
        <is>
          <t>Sheet</t>
        </is>
      </c>
      <c r="H1527" s="1" t="inlineStr">
        <is>
          <t>Porcelain</t>
        </is>
      </c>
      <c r="I1527" s="1" t="inlineStr">
        <is>
          <t>Matt</t>
        </is>
      </c>
      <c r="J1527" t="inlineStr">
        <is>
          <t>In Stock</t>
        </is>
      </c>
      <c r="K1527" t="inlineStr">
        <is>
          <t>In Stock</t>
        </is>
      </c>
      <c r="L1527" t="inlineStr">
        <is>
          <t>In Stock</t>
        </is>
      </c>
    </row>
    <row r="1528">
      <c r="A1528" s="1">
        <f>Hyperlink("https://www.wallsandfloors.co.uk/matt-carrara-marble-effect-60x60-tiles","Product")</f>
        <v/>
      </c>
      <c r="B1528" s="1" t="inlineStr">
        <is>
          <t>36583</t>
        </is>
      </c>
      <c r="C1528" s="1" t="inlineStr">
        <is>
          <t>Cappella Matt Carrara Marble Effect Tiles</t>
        </is>
      </c>
      <c r="D1528" s="1" t="inlineStr">
        <is>
          <t>605x605x8mm</t>
        </is>
      </c>
      <c r="E1528" s="1" t="n">
        <v>17.95</v>
      </c>
      <c r="F1528" s="1" t="n">
        <v>0</v>
      </c>
      <c r="G1528" s="1" t="inlineStr">
        <is>
          <t>SQM</t>
        </is>
      </c>
      <c r="H1528" s="1" t="inlineStr">
        <is>
          <t>Porcelain</t>
        </is>
      </c>
      <c r="I1528" s="1" t="inlineStr">
        <is>
          <t>Matt</t>
        </is>
      </c>
      <c r="J1528" t="inlineStr"/>
      <c r="K1528" t="inlineStr"/>
      <c r="L1528" t="n">
        <v>1245</v>
      </c>
    </row>
    <row r="1529">
      <c r="A1529" s="1">
        <f>Hyperlink("https://www.wallsandfloors.co.uk/matt-black-white-floor-tiles-black-floor-tiles-15071","Product")</f>
        <v/>
      </c>
      <c r="B1529" s="1" t="inlineStr">
        <is>
          <t>15071</t>
        </is>
      </c>
      <c r="C1529" s="1" t="inlineStr">
        <is>
          <t>Matt Black Floor Tiles</t>
        </is>
      </c>
      <c r="D1529" s="1" t="inlineStr">
        <is>
          <t>333x333x7mm</t>
        </is>
      </c>
      <c r="E1529" s="1" t="n">
        <v>13.95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72</v>
      </c>
      <c r="K1529" t="inlineStr"/>
      <c r="L1529" t="n">
        <v>205</v>
      </c>
    </row>
    <row r="1530">
      <c r="A1530" s="1">
        <f>Hyperlink("https://www.wallsandfloors.co.uk/matt-black-white-floor-tiles-black-floor-tiles","Product")</f>
        <v/>
      </c>
      <c r="B1530" s="1" t="inlineStr">
        <is>
          <t>15628</t>
        </is>
      </c>
      <c r="C1530" s="1" t="inlineStr">
        <is>
          <t>Chroma Black Anti Slip Floor Tiles</t>
        </is>
      </c>
      <c r="D1530" s="1" t="inlineStr">
        <is>
          <t>338x338x7mm</t>
        </is>
      </c>
      <c r="E1530" s="1" t="n">
        <v>18.95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Matt</t>
        </is>
      </c>
      <c r="J1530" t="inlineStr">
        <is>
          <t>In Stock</t>
        </is>
      </c>
      <c r="K1530" t="inlineStr">
        <is>
          <t>In Stock</t>
        </is>
      </c>
      <c r="L1530" t="inlineStr">
        <is>
          <t>In Stock</t>
        </is>
      </c>
    </row>
    <row r="1531">
      <c r="A1531" s="1">
        <f>Hyperlink("https://www.wallsandfloors.co.uk/matt-black-200x200-tiles","Product")</f>
        <v/>
      </c>
      <c r="B1531" s="1" t="inlineStr">
        <is>
          <t>14915</t>
        </is>
      </c>
      <c r="C1531" s="1" t="inlineStr">
        <is>
          <t>Spellbound Matt Black Tiles</t>
        </is>
      </c>
      <c r="D1531" s="1" t="inlineStr">
        <is>
          <t>197x197x6mm</t>
        </is>
      </c>
      <c r="E1531" s="1" t="n">
        <v>25.95</v>
      </c>
      <c r="F1531" s="1" t="n">
        <v>0</v>
      </c>
      <c r="G1531" s="1" t="inlineStr">
        <is>
          <t>SQM</t>
        </is>
      </c>
      <c r="H1531" s="1" t="inlineStr">
        <is>
          <t>Porcelain</t>
        </is>
      </c>
      <c r="I1531" s="1" t="inlineStr">
        <is>
          <t>Matt</t>
        </is>
      </c>
      <c r="J1531" t="n">
        <v>380</v>
      </c>
      <c r="K1531" t="n">
        <v>380</v>
      </c>
      <c r="L1531" t="n">
        <v>380</v>
      </c>
    </row>
    <row r="1532">
      <c r="A1532" s="1">
        <f>Hyperlink("https://www.wallsandfloors.co.uk/matlock-tiles-cream-marble-gloss-tiles","Product")</f>
        <v/>
      </c>
      <c r="B1532" s="1" t="inlineStr">
        <is>
          <t>7262</t>
        </is>
      </c>
      <c r="C1532" s="1" t="inlineStr">
        <is>
          <t>Cream Marble Gloss Tiles</t>
        </is>
      </c>
      <c r="D1532" s="1" t="inlineStr">
        <is>
          <t>300x200x8mm</t>
        </is>
      </c>
      <c r="E1532" s="1" t="n">
        <v>27.75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n">
        <v>64</v>
      </c>
      <c r="K1532" t="n">
        <v>64</v>
      </c>
      <c r="L1532" t="n">
        <v>64</v>
      </c>
    </row>
    <row r="1533">
      <c r="A1533" s="1">
        <f>Hyperlink("https://www.wallsandfloors.co.uk/marvel-tiles-timber-wolf-pale-grey-matt-tiles","Product")</f>
        <v/>
      </c>
      <c r="B1533" s="1" t="inlineStr">
        <is>
          <t>13698</t>
        </is>
      </c>
      <c r="C1533" s="1" t="inlineStr">
        <is>
          <t>Marvel Matt Timber Wolf Pale Grey Wall Tiles</t>
        </is>
      </c>
      <c r="D1533" s="1" t="inlineStr">
        <is>
          <t>148x148x6mm</t>
        </is>
      </c>
      <c r="E1533" s="1" t="n">
        <v>23.95</v>
      </c>
      <c r="F1533" s="1" t="n">
        <v>0</v>
      </c>
      <c r="G1533" s="1" t="inlineStr"/>
      <c r="H1533" s="1" t="inlineStr">
        <is>
          <t>Ceramic</t>
        </is>
      </c>
      <c r="I1533" s="1" t="inlineStr">
        <is>
          <t>Matt</t>
        </is>
      </c>
      <c r="J1533" t="inlineStr">
        <is>
          <t>In Stock</t>
        </is>
      </c>
      <c r="K1533" t="inlineStr"/>
      <c r="L1533" t="inlineStr">
        <is>
          <t>In Stock</t>
        </is>
      </c>
    </row>
    <row r="1534">
      <c r="A1534" s="1">
        <f>Hyperlink("https://www.wallsandfloors.co.uk/marvel-tiles-steel-blue-matt-tiles","Product")</f>
        <v/>
      </c>
      <c r="B1534" s="1" t="inlineStr">
        <is>
          <t>13668</t>
        </is>
      </c>
      <c r="C1534" s="1" t="inlineStr">
        <is>
          <t>Marvel Matt Steel Blue Wall Tiles</t>
        </is>
      </c>
      <c r="D1534" s="1" t="inlineStr">
        <is>
          <t>148x148x6mm</t>
        </is>
      </c>
      <c r="E1534" s="1" t="n">
        <v>23.95</v>
      </c>
      <c r="F1534" s="1" t="n">
        <v>0</v>
      </c>
      <c r="G1534" s="1" t="inlineStr">
        <is>
          <t>SQM</t>
        </is>
      </c>
      <c r="H1534" s="1" t="inlineStr">
        <is>
          <t>Ceramic</t>
        </is>
      </c>
      <c r="I1534" s="1" t="inlineStr">
        <is>
          <t>Matt</t>
        </is>
      </c>
      <c r="J1534" t="inlineStr"/>
      <c r="K1534" t="n">
        <v>96</v>
      </c>
      <c r="L1534" t="n">
        <v>96</v>
      </c>
    </row>
    <row r="1535">
      <c r="A1535" s="1">
        <f>Hyperlink("https://www.wallsandfloors.co.uk/marvel-tiles-steel-blue-gloss-tiles","Product")</f>
        <v/>
      </c>
      <c r="B1535" s="1" t="inlineStr">
        <is>
          <t>13667</t>
        </is>
      </c>
      <c r="C1535" s="1" t="inlineStr">
        <is>
          <t>Marvel Gloss Steel Blue Wall Tiles</t>
        </is>
      </c>
      <c r="D1535" s="1" t="inlineStr">
        <is>
          <t>148x148x6mm</t>
        </is>
      </c>
      <c r="E1535" s="1" t="n">
        <v>23.95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n">
        <v>60</v>
      </c>
      <c r="K1535" t="n">
        <v>60</v>
      </c>
      <c r="L1535" t="n">
        <v>60</v>
      </c>
    </row>
    <row r="1536">
      <c r="A1536" s="1">
        <f>Hyperlink("https://www.wallsandfloors.co.uk/marvel-tiles-smokey-black-matt-tiles","Product")</f>
        <v/>
      </c>
      <c r="B1536" s="1" t="inlineStr">
        <is>
          <t>13666</t>
        </is>
      </c>
      <c r="C1536" s="1" t="inlineStr">
        <is>
          <t>Marvel Matt Smokey Black Wall Tiles</t>
        </is>
      </c>
      <c r="D1536" s="1" t="inlineStr">
        <is>
          <t>148x148x6mm</t>
        </is>
      </c>
      <c r="E1536" s="1" t="n">
        <v>23.95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Matt</t>
        </is>
      </c>
      <c r="J1536" t="inlineStr"/>
      <c r="K1536" t="n">
        <v>65</v>
      </c>
      <c r="L1536" t="n">
        <v>65</v>
      </c>
    </row>
    <row r="1537">
      <c r="A1537" s="1">
        <f>Hyperlink("https://www.wallsandfloors.co.uk/marvel-tiles-smokey-black-gloss-tiles","Product")</f>
        <v/>
      </c>
      <c r="B1537" s="1" t="inlineStr">
        <is>
          <t>13665</t>
        </is>
      </c>
      <c r="C1537" s="1" t="inlineStr">
        <is>
          <t>Marvel Gloss Smokey Black Wall Tiles</t>
        </is>
      </c>
      <c r="D1537" s="1" t="inlineStr">
        <is>
          <t>148x148x6mm</t>
        </is>
      </c>
      <c r="E1537" s="1" t="n">
        <v>23.95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Gloss</t>
        </is>
      </c>
      <c r="J1537" t="n">
        <v>116</v>
      </c>
      <c r="K1537" t="n">
        <v>116</v>
      </c>
      <c r="L1537" t="n">
        <v>123</v>
      </c>
    </row>
    <row r="1538">
      <c r="A1538" s="1">
        <f>Hyperlink("https://www.wallsandfloors.co.uk/marvel-tiles-sea-green-gloss-tiles","Product")</f>
        <v/>
      </c>
      <c r="B1538" s="1" t="inlineStr">
        <is>
          <t>13683</t>
        </is>
      </c>
      <c r="C1538" s="1" t="inlineStr">
        <is>
          <t>Marvel Gloss Sea Green Wall Tiles</t>
        </is>
      </c>
      <c r="D1538" s="1" t="inlineStr">
        <is>
          <t>148x148x6mm</t>
        </is>
      </c>
      <c r="E1538" s="1" t="n">
        <v>23.95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inlineStr">
        <is>
          <t>In Stock</t>
        </is>
      </c>
      <c r="K1538" t="inlineStr">
        <is>
          <t>In Stock</t>
        </is>
      </c>
      <c r="L1538" t="inlineStr">
        <is>
          <t>In Stock</t>
        </is>
      </c>
    </row>
    <row r="1539">
      <c r="A1539" s="1">
        <f>Hyperlink("https://www.wallsandfloors.co.uk/marvel-tiles-sapphire-dark-blue-matt-tiles","Product")</f>
        <v/>
      </c>
      <c r="B1539" s="1" t="inlineStr">
        <is>
          <t>13676</t>
        </is>
      </c>
      <c r="C1539" s="1" t="inlineStr">
        <is>
          <t>Marvel Matt Sapphire Dark Blue Wall Tiles</t>
        </is>
      </c>
      <c r="D1539" s="1" t="inlineStr">
        <is>
          <t>148x148x6mm</t>
        </is>
      </c>
      <c r="E1539" s="1" t="n">
        <v>23.95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Matt</t>
        </is>
      </c>
      <c r="J1539" t="inlineStr">
        <is>
          <t>In Stock</t>
        </is>
      </c>
      <c r="K1539" t="inlineStr">
        <is>
          <t>In Stock</t>
        </is>
      </c>
      <c r="L1539" t="inlineStr">
        <is>
          <t>In Stock</t>
        </is>
      </c>
    </row>
    <row r="1540">
      <c r="A1540" s="1">
        <f>Hyperlink("https://www.wallsandfloors.co.uk/marvel-tiles-sable-grey-anthracite-matt-tiles","Product")</f>
        <v/>
      </c>
      <c r="B1540" s="1" t="inlineStr">
        <is>
          <t>13664</t>
        </is>
      </c>
      <c r="C1540" s="1" t="inlineStr">
        <is>
          <t>Marvel Matt Sable Grey Anthracite Wall Tiles</t>
        </is>
      </c>
      <c r="D1540" s="1" t="inlineStr">
        <is>
          <t>148x148x6mm</t>
        </is>
      </c>
      <c r="E1540" s="1" t="n">
        <v>23.95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Matt</t>
        </is>
      </c>
      <c r="J1540" t="inlineStr">
        <is>
          <t>In Stock</t>
        </is>
      </c>
      <c r="K1540" t="inlineStr"/>
      <c r="L1540" t="inlineStr">
        <is>
          <t>In Stock</t>
        </is>
      </c>
    </row>
    <row r="1541">
      <c r="A1541" s="1">
        <f>Hyperlink("https://www.wallsandfloors.co.uk/lagoon-mosaics-tiles-cobalto-tiles","Product")</f>
        <v/>
      </c>
      <c r="B1541" s="1" t="inlineStr">
        <is>
          <t>188</t>
        </is>
      </c>
      <c r="C1541" s="1" t="inlineStr">
        <is>
          <t>Lagoon Cobalto Purple Mosaic Tiles</t>
        </is>
      </c>
      <c r="D1541" s="1" t="inlineStr">
        <is>
          <t>327x327x4mm</t>
        </is>
      </c>
      <c r="E1541" s="1" t="n">
        <v>1.95</v>
      </c>
      <c r="F1541" s="1" t="n">
        <v>0</v>
      </c>
      <c r="G1541" s="1" t="inlineStr">
        <is>
          <t>Sheet</t>
        </is>
      </c>
      <c r="H1541" s="1" t="inlineStr">
        <is>
          <t>Glass</t>
        </is>
      </c>
      <c r="I1541" s="1" t="inlineStr">
        <is>
          <t>Matt</t>
        </is>
      </c>
      <c r="J1541" t="inlineStr"/>
      <c r="K1541" t="inlineStr"/>
      <c r="L1541" t="n">
        <v>78</v>
      </c>
    </row>
    <row r="1542">
      <c r="A1542" s="1">
        <f>Hyperlink("https://www.wallsandfloors.co.uk/marquina-black-matt-marble-effect-tiles","Product")</f>
        <v/>
      </c>
      <c r="B1542" s="1" t="inlineStr">
        <is>
          <t>39306</t>
        </is>
      </c>
      <c r="C1542" s="1" t="inlineStr">
        <is>
          <t>Marquina Black Matt Marble Effect Tiles</t>
        </is>
      </c>
      <c r="D1542" s="1" t="inlineStr">
        <is>
          <t>585x585x8mm</t>
        </is>
      </c>
      <c r="E1542" s="1" t="n">
        <v>30.95</v>
      </c>
      <c r="F1542" s="1" t="n">
        <v>0</v>
      </c>
      <c r="G1542" s="1" t="inlineStr">
        <is>
          <t>SQM</t>
        </is>
      </c>
      <c r="H1542" s="1" t="inlineStr">
        <is>
          <t>Porcelain</t>
        </is>
      </c>
      <c r="I1542" s="1" t="inlineStr">
        <is>
          <t>Matt</t>
        </is>
      </c>
      <c r="J1542" t="n">
        <v>79</v>
      </c>
      <c r="K1542" t="inlineStr"/>
      <c r="L1542" t="n">
        <v>79</v>
      </c>
    </row>
    <row r="1543">
      <c r="A1543" s="1">
        <f>Hyperlink("https://www.wallsandfloors.co.uk/marble-and-glass-mosaics-tiles-copper-bronze-brick-bond-mosaic-tiles","Product")</f>
        <v/>
      </c>
      <c r="B1543" s="1" t="inlineStr">
        <is>
          <t>11476</t>
        </is>
      </c>
      <c r="C1543" s="1" t="inlineStr">
        <is>
          <t>Copper Bronze Brick Bond Mosaic</t>
        </is>
      </c>
      <c r="D1543" s="1" t="inlineStr">
        <is>
          <t>320x295x8mm</t>
        </is>
      </c>
      <c r="E1543" s="1" t="n">
        <v>5.15</v>
      </c>
      <c r="F1543" s="1" t="n">
        <v>0</v>
      </c>
      <c r="G1543" s="1" t="inlineStr">
        <is>
          <t>Sheet</t>
        </is>
      </c>
      <c r="H1543" s="1" t="inlineStr">
        <is>
          <t>Glass, Marble</t>
        </is>
      </c>
      <c r="I1543" s="1" t="inlineStr">
        <is>
          <t>Mixed</t>
        </is>
      </c>
      <c r="J1543" t="n">
        <v>15</v>
      </c>
      <c r="K1543" t="n">
        <v>15</v>
      </c>
      <c r="L1543" t="n">
        <v>15</v>
      </c>
    </row>
    <row r="1544">
      <c r="A1544" s="1">
        <f>Hyperlink("https://www.wallsandfloors.co.uk/mapei-ultracolour-plus-grout-ultracolour-plus-120-black-tile-grout-12935","Product")</f>
        <v/>
      </c>
      <c r="B1544" s="1" t="inlineStr">
        <is>
          <t>12935</t>
        </is>
      </c>
      <c r="C1544" s="1" t="inlineStr">
        <is>
          <t>Mapei Ultracolour Plus 120 Black Tile Grout 2 Kg Per Unit</t>
        </is>
      </c>
      <c r="D1544" s="1" t="inlineStr">
        <is>
          <t>2 Kg</t>
        </is>
      </c>
      <c r="E1544" s="1" t="n">
        <v>8.949999999999999</v>
      </c>
      <c r="F1544" s="1" t="n">
        <v>0</v>
      </c>
      <c r="G1544" s="1" t="inlineStr">
        <is>
          <t>Unit</t>
        </is>
      </c>
      <c r="H1544" s="1" t="inlineStr">
        <is>
          <t>Floor Grout</t>
        </is>
      </c>
      <c r="I1544" s="1" t="inlineStr">
        <is>
          <t>-</t>
        </is>
      </c>
      <c r="J1544" t="inlineStr">
        <is>
          <t>In Stock</t>
        </is>
      </c>
      <c r="K1544" t="inlineStr">
        <is>
          <t>In Stock</t>
        </is>
      </c>
      <c r="L1544" t="inlineStr">
        <is>
          <t>In Stock</t>
        </is>
      </c>
    </row>
    <row r="1545">
      <c r="A1545" s="1">
        <f>Hyperlink("https://www.wallsandfloors.co.uk/mapei-ultracolour-plus-grout-ultracolour-plus-114-anthracite-tile-grout-12934","Product")</f>
        <v/>
      </c>
      <c r="B1545" s="1" t="inlineStr">
        <is>
          <t>12934</t>
        </is>
      </c>
      <c r="C1545" s="1" t="inlineStr">
        <is>
          <t>Mapei Ultracolour Plus 114 Anthracite Tile Grout 2 Kg Per Unit</t>
        </is>
      </c>
      <c r="D1545" s="1" t="inlineStr">
        <is>
          <t>2 Kg</t>
        </is>
      </c>
      <c r="E1545" s="1" t="n">
        <v>8.949999999999999</v>
      </c>
      <c r="F1545" s="1" t="n">
        <v>0</v>
      </c>
      <c r="G1545" s="1" t="inlineStr">
        <is>
          <t>Unit</t>
        </is>
      </c>
      <c r="H1545" s="1" t="inlineStr">
        <is>
          <t>Floor Grout</t>
        </is>
      </c>
      <c r="I1545" s="1" t="inlineStr">
        <is>
          <t>-</t>
        </is>
      </c>
      <c r="J1545" t="n">
        <v>51</v>
      </c>
      <c r="K1545" t="n">
        <v>51</v>
      </c>
      <c r="L1545" t="n">
        <v>51</v>
      </c>
    </row>
    <row r="1546">
      <c r="A1546" s="1">
        <f>Hyperlink("https://www.wallsandfloors.co.uk/mapei-ultracolour-plus-grout-ultracolour-plus-114-anthracite-tile-grout","Product")</f>
        <v/>
      </c>
      <c r="B1546" s="1" t="inlineStr">
        <is>
          <t>10664</t>
        </is>
      </c>
      <c r="C1546" s="1" t="inlineStr">
        <is>
          <t>Mapei Ultracolour Plus 114 Anthracite Tile Grout 5 Kg Per Unit</t>
        </is>
      </c>
      <c r="D1546" s="1" t="inlineStr">
        <is>
          <t>5 Kg</t>
        </is>
      </c>
      <c r="E1546" s="1" t="n">
        <v>13.95</v>
      </c>
      <c r="F1546" s="1" t="n">
        <v>0</v>
      </c>
      <c r="G1546" s="1" t="inlineStr">
        <is>
          <t>Unit</t>
        </is>
      </c>
      <c r="H1546" s="1" t="inlineStr">
        <is>
          <t>Floor Grout</t>
        </is>
      </c>
      <c r="I1546" s="1" t="inlineStr">
        <is>
          <t>-</t>
        </is>
      </c>
      <c r="J1546" t="inlineStr"/>
      <c r="K1546" t="inlineStr"/>
      <c r="L1546" t="n">
        <v>136</v>
      </c>
    </row>
    <row r="1547">
      <c r="A1547" s="1">
        <f>Hyperlink("https://www.wallsandfloors.co.uk/mapei-ultracolour-plus-grout-ultracolour-plus-113-cement-grey-tile-grout-12933","Product")</f>
        <v/>
      </c>
      <c r="B1547" s="1" t="inlineStr">
        <is>
          <t>12933</t>
        </is>
      </c>
      <c r="C1547" s="1" t="inlineStr">
        <is>
          <t>Mapei Ultracolour Plus 113 Cement Grey Tile Grout 2 Kg Per Unit</t>
        </is>
      </c>
      <c r="D1547" s="1" t="inlineStr">
        <is>
          <t>2 Kg</t>
        </is>
      </c>
      <c r="E1547" s="1" t="n">
        <v>8.949999999999999</v>
      </c>
      <c r="F1547" s="1" t="n">
        <v>0</v>
      </c>
      <c r="G1547" s="1" t="inlineStr">
        <is>
          <t>Unit</t>
        </is>
      </c>
      <c r="H1547" s="1" t="inlineStr">
        <is>
          <t>Floor Grout</t>
        </is>
      </c>
      <c r="I1547" s="1" t="inlineStr">
        <is>
          <t>-</t>
        </is>
      </c>
      <c r="J1547" t="inlineStr">
        <is>
          <t>In Stock</t>
        </is>
      </c>
      <c r="K1547" t="inlineStr">
        <is>
          <t>In Stock</t>
        </is>
      </c>
      <c r="L1547" t="inlineStr">
        <is>
          <t>In Stock</t>
        </is>
      </c>
    </row>
    <row r="1548">
      <c r="A1548" s="1">
        <f>Hyperlink("https://www.wallsandfloors.co.uk/mapei-ultracolour-plus-grout-ultracolour-plus-112-medium-grey-tile-grout-12932","Product")</f>
        <v/>
      </c>
      <c r="B1548" s="1" t="inlineStr">
        <is>
          <t>12932</t>
        </is>
      </c>
      <c r="C1548" s="1" t="inlineStr">
        <is>
          <t>Mapei Ultracolour Plus 112 Medium Grey Tile Grout 2 Kg Per Unit</t>
        </is>
      </c>
      <c r="D1548" s="1" t="inlineStr">
        <is>
          <t>2 Kg</t>
        </is>
      </c>
      <c r="E1548" s="1" t="n">
        <v>8.949999999999999</v>
      </c>
      <c r="F1548" s="1" t="n">
        <v>0</v>
      </c>
      <c r="G1548" s="1" t="inlineStr">
        <is>
          <t>Unit</t>
        </is>
      </c>
      <c r="H1548" s="1" t="inlineStr">
        <is>
          <t>Floor Grout</t>
        </is>
      </c>
      <c r="I1548" s="1" t="inlineStr">
        <is>
          <t>-</t>
        </is>
      </c>
      <c r="J1548" t="inlineStr">
        <is>
          <t>In Stock</t>
        </is>
      </c>
      <c r="K1548" t="inlineStr">
        <is>
          <t>In Stock</t>
        </is>
      </c>
      <c r="L1548" t="inlineStr">
        <is>
          <t>In Stock</t>
        </is>
      </c>
    </row>
    <row r="1549">
      <c r="A1549" s="1">
        <f>Hyperlink("https://www.wallsandfloors.co.uk/mapei-ultracolour-plus-grout-ultracolour-plus-112-medium-grey-tile-grout","Product")</f>
        <v/>
      </c>
      <c r="B1549" s="1" t="inlineStr">
        <is>
          <t>12931</t>
        </is>
      </c>
      <c r="C1549" s="1" t="inlineStr">
        <is>
          <t>Ultracolour Plus 112 Medium Grey Tile Grout</t>
        </is>
      </c>
      <c r="D1549" s="1" t="inlineStr">
        <is>
          <t>5 Kg</t>
        </is>
      </c>
      <c r="E1549" s="1" t="n">
        <v>13.95</v>
      </c>
      <c r="F1549" s="1" t="n">
        <v>0</v>
      </c>
      <c r="G1549" s="1" t="inlineStr">
        <is>
          <t>Unit</t>
        </is>
      </c>
      <c r="H1549" s="1" t="inlineStr">
        <is>
          <t>Floor Grout</t>
        </is>
      </c>
      <c r="I1549" s="1" t="inlineStr">
        <is>
          <t>-</t>
        </is>
      </c>
      <c r="J1549" t="inlineStr"/>
      <c r="K1549" t="inlineStr"/>
      <c r="L1549" t="inlineStr">
        <is>
          <t>Out of Stock</t>
        </is>
      </c>
    </row>
    <row r="1550">
      <c r="A1550" s="1">
        <f>Hyperlink("https://www.wallsandfloors.co.uk/mapei-ultracolour-plus-grout-ultracolour-plus-111-silver-tile-grout-12930","Product")</f>
        <v/>
      </c>
      <c r="B1550" s="1" t="inlineStr">
        <is>
          <t>12930</t>
        </is>
      </c>
      <c r="C1550" s="1" t="inlineStr">
        <is>
          <t>Mapei Ultracolour Plus 111 Silver Tile Grout 2 Kg Per Unit</t>
        </is>
      </c>
      <c r="D1550" s="1" t="inlineStr">
        <is>
          <t>2 Kg</t>
        </is>
      </c>
      <c r="E1550" s="1" t="n">
        <v>8.949999999999999</v>
      </c>
      <c r="F1550" s="1" t="n">
        <v>0</v>
      </c>
      <c r="G1550" s="1" t="inlineStr">
        <is>
          <t>Unit</t>
        </is>
      </c>
      <c r="H1550" s="1" t="inlineStr">
        <is>
          <t>Floor Grout</t>
        </is>
      </c>
      <c r="I1550" s="1" t="inlineStr">
        <is>
          <t>-</t>
        </is>
      </c>
      <c r="J1550" t="inlineStr"/>
      <c r="K1550" t="inlineStr">
        <is>
          <t>In Stock</t>
        </is>
      </c>
      <c r="L1550" t="inlineStr">
        <is>
          <t>In Stock</t>
        </is>
      </c>
    </row>
    <row r="1551">
      <c r="A1551" s="1">
        <f>Hyperlink("https://www.wallsandfloors.co.uk/mapei-ultracolour-plus-grout-ultracolour-plus-110-manhattan-grey-tile-grout-12927","Product")</f>
        <v/>
      </c>
      <c r="B1551" s="1" t="inlineStr">
        <is>
          <t>12927</t>
        </is>
      </c>
      <c r="C1551" s="1" t="inlineStr">
        <is>
          <t>Mapei Ultracolour Plus 110 Manhattan Grey Tile Grout 2 Kg Per Unit</t>
        </is>
      </c>
      <c r="D1551" s="1" t="inlineStr">
        <is>
          <t>2 Kg</t>
        </is>
      </c>
      <c r="E1551" s="1" t="n">
        <v>9.949999999999999</v>
      </c>
      <c r="F1551" s="1" t="n">
        <v>0</v>
      </c>
      <c r="G1551" s="1" t="inlineStr">
        <is>
          <t>Unit</t>
        </is>
      </c>
      <c r="H1551" s="1" t="inlineStr">
        <is>
          <t>Floor Grout</t>
        </is>
      </c>
      <c r="I1551" s="1" t="inlineStr">
        <is>
          <t>-</t>
        </is>
      </c>
      <c r="J1551" t="inlineStr"/>
      <c r="K1551" t="inlineStr">
        <is>
          <t>In Stock</t>
        </is>
      </c>
      <c r="L1551" t="inlineStr">
        <is>
          <t>In Stock</t>
        </is>
      </c>
    </row>
    <row r="1552">
      <c r="A1552" s="1">
        <f>Hyperlink("https://www.wallsandfloors.co.uk/mapei-ultracolour-plus-grout-ultracolour-plus-110-manhattan-grey-tile-grout","Product")</f>
        <v/>
      </c>
      <c r="B1552" s="1" t="inlineStr">
        <is>
          <t>12383</t>
        </is>
      </c>
      <c r="C1552" s="1" t="inlineStr">
        <is>
          <t>Ultracolour Plus 110 Manhattan Grey Tile Grout</t>
        </is>
      </c>
      <c r="D1552" s="1" t="inlineStr">
        <is>
          <t>5 Kg</t>
        </is>
      </c>
      <c r="E1552" s="1" t="n">
        <v>13.95</v>
      </c>
      <c r="F1552" s="1" t="n">
        <v>0</v>
      </c>
      <c r="G1552" s="1" t="inlineStr">
        <is>
          <t>Unit</t>
        </is>
      </c>
      <c r="H1552" s="1" t="inlineStr">
        <is>
          <t>Floor Grout</t>
        </is>
      </c>
      <c r="I1552" s="1" t="inlineStr">
        <is>
          <t>-</t>
        </is>
      </c>
      <c r="J1552" t="inlineStr"/>
      <c r="K1552" t="inlineStr">
        <is>
          <t>Out of Stock</t>
        </is>
      </c>
      <c r="L1552" t="inlineStr">
        <is>
          <t>Out of Stock</t>
        </is>
      </c>
    </row>
    <row r="1553">
      <c r="A1553" s="1">
        <f>Hyperlink("https://www.wallsandfloors.co.uk/mapei-ultracolour-plus-grout-ultracolour-plus-103-moon-white-tile-grout","Product")</f>
        <v/>
      </c>
      <c r="B1553" s="1" t="inlineStr">
        <is>
          <t>15440</t>
        </is>
      </c>
      <c r="C1553" s="1" t="inlineStr">
        <is>
          <t>Mapei Ultracolour Plus 103 Moon White Tile Grout 5 Kg Per Unit</t>
        </is>
      </c>
      <c r="D1553" s="1" t="inlineStr">
        <is>
          <t>5 Kg</t>
        </is>
      </c>
      <c r="E1553" s="1" t="n">
        <v>13.95</v>
      </c>
      <c r="F1553" s="1" t="n">
        <v>0</v>
      </c>
      <c r="G1553" s="1" t="inlineStr">
        <is>
          <t>Unit</t>
        </is>
      </c>
      <c r="H1553" s="1" t="inlineStr">
        <is>
          <t>Floor Grout</t>
        </is>
      </c>
      <c r="I1553" s="1" t="inlineStr">
        <is>
          <t>-</t>
        </is>
      </c>
      <c r="J1553" t="inlineStr">
        <is>
          <t>In Stock</t>
        </is>
      </c>
      <c r="K1553" t="inlineStr">
        <is>
          <t>In Stock</t>
        </is>
      </c>
      <c r="L1553" t="inlineStr">
        <is>
          <t>In Stock</t>
        </is>
      </c>
    </row>
    <row r="1554">
      <c r="A1554" s="1">
        <f>Hyperlink("https://www.wallsandfloors.co.uk/mapei-ultracolour-plus-grout-ultracolour-plus-100-white-tile-grout","Product")</f>
        <v/>
      </c>
      <c r="B1554" s="1" t="inlineStr">
        <is>
          <t>10662</t>
        </is>
      </c>
      <c r="C1554" s="1" t="inlineStr">
        <is>
          <t>Ultracolour Plus 100 White Tile Grout</t>
        </is>
      </c>
      <c r="D1554" s="1" t="inlineStr">
        <is>
          <t>5 Kg</t>
        </is>
      </c>
      <c r="E1554" s="1" t="n">
        <v>12.95</v>
      </c>
      <c r="F1554" s="1" t="n">
        <v>0</v>
      </c>
      <c r="G1554" s="1" t="inlineStr">
        <is>
          <t>Unit</t>
        </is>
      </c>
      <c r="H1554" s="1" t="inlineStr">
        <is>
          <t>Floor Grout</t>
        </is>
      </c>
      <c r="I1554" s="1" t="inlineStr">
        <is>
          <t>-</t>
        </is>
      </c>
      <c r="J1554" t="n">
        <v>148</v>
      </c>
      <c r="K1554" t="n">
        <v>148</v>
      </c>
      <c r="L1554" t="n">
        <v>148</v>
      </c>
    </row>
    <row r="1555">
      <c r="A1555" s="1">
        <f>Hyperlink("https://www.wallsandfloors.co.uk/mapei-ultracolour-plus-138-almond-tile-grout","Product")</f>
        <v/>
      </c>
      <c r="B1555" s="1" t="inlineStr">
        <is>
          <t>39279</t>
        </is>
      </c>
      <c r="C1555" s="1" t="inlineStr">
        <is>
          <t>Ultracolour Plus 138 Almond Tile Grout</t>
        </is>
      </c>
      <c r="D1555" s="1" t="inlineStr">
        <is>
          <t>5 Kg</t>
        </is>
      </c>
      <c r="E1555" s="1" t="n">
        <v>14.95</v>
      </c>
      <c r="F1555" s="1" t="n">
        <v>0</v>
      </c>
      <c r="G1555" s="1" t="inlineStr">
        <is>
          <t>Unit</t>
        </is>
      </c>
      <c r="H1555" s="1" t="inlineStr">
        <is>
          <t>Floor Grout</t>
        </is>
      </c>
      <c r="I1555" s="1" t="inlineStr">
        <is>
          <t>-</t>
        </is>
      </c>
      <c r="J1555" t="inlineStr">
        <is>
          <t>In Stock</t>
        </is>
      </c>
      <c r="K1555" t="inlineStr">
        <is>
          <t>In Stock</t>
        </is>
      </c>
      <c r="L1555" t="inlineStr">
        <is>
          <t>In Stock</t>
        </is>
      </c>
    </row>
    <row r="1556">
      <c r="A1556" s="1">
        <f>Hyperlink("https://www.wallsandfloors.co.uk/mapei-ultracolor-plus-299-limestone-tile-grout","Product")</f>
        <v/>
      </c>
      <c r="B1556" s="1" t="inlineStr">
        <is>
          <t>33374</t>
        </is>
      </c>
      <c r="C1556" s="1" t="inlineStr">
        <is>
          <t>Ultracolour Plus 299 Limestone Tile Grout</t>
        </is>
      </c>
      <c r="D1556" s="1" t="inlineStr">
        <is>
          <t>5 Kg</t>
        </is>
      </c>
      <c r="E1556" s="1" t="n">
        <v>13.95</v>
      </c>
      <c r="F1556" s="1" t="n">
        <v>0</v>
      </c>
      <c r="G1556" s="1" t="inlineStr">
        <is>
          <t>Unit</t>
        </is>
      </c>
      <c r="H1556" s="1" t="inlineStr">
        <is>
          <t>Grout</t>
        </is>
      </c>
      <c r="I1556" s="1" t="inlineStr">
        <is>
          <t>-</t>
        </is>
      </c>
      <c r="J1556" t="inlineStr">
        <is>
          <t>In Stock</t>
        </is>
      </c>
      <c r="K1556" t="inlineStr">
        <is>
          <t>In Stock</t>
        </is>
      </c>
      <c r="L1556" t="inlineStr">
        <is>
          <t>In Stock</t>
        </is>
      </c>
    </row>
    <row r="1557">
      <c r="A1557" s="1">
        <f>Hyperlink("https://www.wallsandfloors.co.uk/mapei-ultracolor-plus-174-tornado-grey-tile-grout","Product")</f>
        <v/>
      </c>
      <c r="B1557" s="1" t="inlineStr">
        <is>
          <t>12958</t>
        </is>
      </c>
      <c r="C1557" s="1" t="inlineStr">
        <is>
          <t>Mapei Ultracolour Plus 174 Tornado Grey Tile Grout 5Kg Per Unit</t>
        </is>
      </c>
      <c r="D1557" s="1" t="inlineStr">
        <is>
          <t>5 Kg</t>
        </is>
      </c>
      <c r="E1557" s="1" t="n">
        <v>13.95</v>
      </c>
      <c r="F1557" s="1" t="n">
        <v>0</v>
      </c>
      <c r="G1557" s="1" t="inlineStr">
        <is>
          <t>Unit</t>
        </is>
      </c>
      <c r="H1557" s="1" t="inlineStr">
        <is>
          <t>Grout</t>
        </is>
      </c>
      <c r="I1557" s="1" t="inlineStr">
        <is>
          <t>-</t>
        </is>
      </c>
      <c r="J1557" t="inlineStr">
        <is>
          <t>In Stock</t>
        </is>
      </c>
      <c r="K1557" t="inlineStr"/>
      <c r="L1557" t="inlineStr">
        <is>
          <t>In Stock</t>
        </is>
      </c>
    </row>
    <row r="1558">
      <c r="A1558" s="1">
        <f>Hyperlink("https://www.wallsandfloors.co.uk/mapei-tile-preparation-sealants-ultraplan-renovation-screed-levelling-compound","Product")</f>
        <v/>
      </c>
      <c r="B1558" s="1" t="inlineStr">
        <is>
          <t>10666</t>
        </is>
      </c>
      <c r="C1558" s="1" t="inlineStr">
        <is>
          <t>Ultraplan Renovation Screed Levelling Compound</t>
        </is>
      </c>
      <c r="D1558" s="1" t="inlineStr">
        <is>
          <t>25 Kg</t>
        </is>
      </c>
      <c r="E1558" s="1" t="n">
        <v>19.94</v>
      </c>
      <c r="F1558" s="1" t="n">
        <v>0</v>
      </c>
      <c r="G1558" s="1" t="inlineStr">
        <is>
          <t>Unit</t>
        </is>
      </c>
      <c r="H1558" s="1" t="inlineStr">
        <is>
          <t>Preparation Products</t>
        </is>
      </c>
      <c r="I1558" s="1" t="inlineStr">
        <is>
          <t>-</t>
        </is>
      </c>
      <c r="J1558" t="n">
        <v>324</v>
      </c>
      <c r="K1558" t="n">
        <v>324</v>
      </c>
      <c r="L1558" t="n">
        <v>324</v>
      </c>
    </row>
    <row r="1559">
      <c r="A1559" s="1">
        <f>Hyperlink("https://www.wallsandfloors.co.uk/mapei-tile-preparation-sealants-primer-g-substrate","Product")</f>
        <v/>
      </c>
      <c r="B1559" s="1" t="inlineStr">
        <is>
          <t>10657</t>
        </is>
      </c>
      <c r="C1559" s="1" t="inlineStr">
        <is>
          <t>Mapei Primer G Substrate 1kg</t>
        </is>
      </c>
      <c r="D1559" s="1" t="inlineStr">
        <is>
          <t>1 Kg</t>
        </is>
      </c>
      <c r="E1559" s="1" t="n">
        <v>8.949999999999999</v>
      </c>
      <c r="F1559" s="1" t="n">
        <v>0</v>
      </c>
      <c r="G1559" s="1" t="inlineStr"/>
      <c r="H1559" s="1" t="inlineStr">
        <is>
          <t>Priming and Bonding Agents</t>
        </is>
      </c>
      <c r="I1559" s="1" t="inlineStr">
        <is>
          <t>-</t>
        </is>
      </c>
      <c r="J1559" t="inlineStr"/>
      <c r="K1559" t="inlineStr">
        <is>
          <t>In Stock</t>
        </is>
      </c>
      <c r="L1559" t="inlineStr">
        <is>
          <t>In Stock</t>
        </is>
      </c>
    </row>
    <row r="1560">
      <c r="A1560" s="1">
        <f>Hyperlink("https://www.wallsandfloors.co.uk/mapei-tile-preparation-sealants-mapesil-ac-130-jasmine","Product")</f>
        <v/>
      </c>
      <c r="B1560" s="1" t="inlineStr">
        <is>
          <t>10661</t>
        </is>
      </c>
      <c r="C1560" s="1" t="inlineStr">
        <is>
          <t>Mapesil AC 130 Jasmine</t>
        </is>
      </c>
      <c r="D1560" s="1" t="inlineStr">
        <is>
          <t>310ml</t>
        </is>
      </c>
      <c r="E1560" s="1" t="n">
        <v>6.45</v>
      </c>
      <c r="F1560" s="1" t="n">
        <v>0</v>
      </c>
      <c r="G1560" s="1" t="inlineStr">
        <is>
          <t>Unit</t>
        </is>
      </c>
      <c r="H1560" s="1" t="inlineStr">
        <is>
          <t>Silicone</t>
        </is>
      </c>
      <c r="I1560" s="1" t="inlineStr">
        <is>
          <t>-</t>
        </is>
      </c>
      <c r="J1560" t="inlineStr"/>
      <c r="K1560" t="inlineStr">
        <is>
          <t>In Stock</t>
        </is>
      </c>
      <c r="L1560" t="inlineStr">
        <is>
          <t>In Stock</t>
        </is>
      </c>
    </row>
    <row r="1561">
      <c r="A1561" s="1">
        <f>Hyperlink("https://www.wallsandfloors.co.uk/mapei-tile-preparation-sealants-mapesil-ac-114-anthracite","Product")</f>
        <v/>
      </c>
      <c r="B1561" s="1" t="inlineStr">
        <is>
          <t>10660</t>
        </is>
      </c>
      <c r="C1561" s="1" t="inlineStr">
        <is>
          <t>Mapesil AC 114 Anthracite</t>
        </is>
      </c>
      <c r="D1561" s="1" t="inlineStr">
        <is>
          <t>310ml</t>
        </is>
      </c>
      <c r="E1561" s="1" t="n">
        <v>6.45</v>
      </c>
      <c r="F1561" s="1" t="n">
        <v>0</v>
      </c>
      <c r="G1561" s="1" t="inlineStr">
        <is>
          <t>Unit</t>
        </is>
      </c>
      <c r="H1561" s="1" t="inlineStr">
        <is>
          <t>Silicone</t>
        </is>
      </c>
      <c r="I1561" s="1" t="inlineStr">
        <is>
          <t>-</t>
        </is>
      </c>
      <c r="J1561" t="inlineStr">
        <is>
          <t>In Stock</t>
        </is>
      </c>
      <c r="K1561" t="inlineStr"/>
      <c r="L1561" t="inlineStr">
        <is>
          <t>In Stock</t>
        </is>
      </c>
    </row>
    <row r="1562">
      <c r="A1562" s="1">
        <f>Hyperlink("https://www.wallsandfloors.co.uk/mapei-tile-preparation-sealants-mapesil-ac-113-cement-grey","Product")</f>
        <v/>
      </c>
      <c r="B1562" s="1" t="inlineStr">
        <is>
          <t>10659</t>
        </is>
      </c>
      <c r="C1562" s="1" t="inlineStr">
        <is>
          <t>Mapesil AC 113 Cement Grey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inlineStr">
        <is>
          <t>In Stock</t>
        </is>
      </c>
      <c r="K1562" t="inlineStr"/>
      <c r="L1562" t="inlineStr">
        <is>
          <t>In Stock</t>
        </is>
      </c>
    </row>
    <row r="1563">
      <c r="A1563" s="1">
        <f>Hyperlink("https://www.wallsandfloors.co.uk/mapei-tile-preparation-sealants-mapesil-ac-112-medium-grey","Product")</f>
        <v/>
      </c>
      <c r="B1563" s="1" t="inlineStr">
        <is>
          <t>33314</t>
        </is>
      </c>
      <c r="C1563" s="1" t="inlineStr">
        <is>
          <t>Mapesil AC 112 Medium Grey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n">
        <v>58</v>
      </c>
      <c r="K1563" t="n">
        <v>58</v>
      </c>
      <c r="L1563" t="n">
        <v>58</v>
      </c>
    </row>
    <row r="1564">
      <c r="A1564" s="1">
        <f>Hyperlink("https://www.wallsandfloors.co.uk/mapei-tile-preparation-sealants-mapesil-ac-100-white","Product")</f>
        <v/>
      </c>
      <c r="B1564" s="1" t="inlineStr">
        <is>
          <t>10658</t>
        </is>
      </c>
      <c r="C1564" s="1" t="inlineStr">
        <is>
          <t>Mapesil AC 100 White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inlineStr">
        <is>
          <t>In Stock</t>
        </is>
      </c>
      <c r="K1564" t="inlineStr">
        <is>
          <t>In Stock</t>
        </is>
      </c>
      <c r="L1564" t="inlineStr">
        <is>
          <t>In Stock</t>
        </is>
      </c>
    </row>
    <row r="1565">
      <c r="A1565" s="1">
        <f>Hyperlink("https://www.wallsandfloors.co.uk/mapei-tile-preparation-sealants-latex-plus-additive","Product")</f>
        <v/>
      </c>
      <c r="B1565" s="1" t="inlineStr">
        <is>
          <t>10652</t>
        </is>
      </c>
      <c r="C1565" s="1" t="inlineStr">
        <is>
          <t>Latex Plus Additive</t>
        </is>
      </c>
      <c r="D1565" s="1" t="inlineStr">
        <is>
          <t>6 Kg</t>
        </is>
      </c>
      <c r="E1565" s="1" t="n">
        <v>30.53</v>
      </c>
      <c r="F1565" s="1" t="n">
        <v>0</v>
      </c>
      <c r="G1565" s="1" t="inlineStr">
        <is>
          <t>Unit</t>
        </is>
      </c>
      <c r="H1565" s="1" t="inlineStr">
        <is>
          <t>Latex and Screeds</t>
        </is>
      </c>
      <c r="I1565" s="1" t="inlineStr">
        <is>
          <t>-</t>
        </is>
      </c>
      <c r="J1565" t="inlineStr">
        <is>
          <t>In Stock</t>
        </is>
      </c>
      <c r="K1565" t="inlineStr"/>
      <c r="L1565" t="inlineStr">
        <is>
          <t>In Stock</t>
        </is>
      </c>
    </row>
    <row r="1566">
      <c r="A1566" s="1">
        <f>Hyperlink("https://www.wallsandfloors.co.uk/mapei-starlike-adhesive-grout-mapeglitter-silver-tile-grout-additive","Product")</f>
        <v/>
      </c>
      <c r="B1566" s="1" t="inlineStr">
        <is>
          <t>11442</t>
        </is>
      </c>
      <c r="C1566" s="1" t="inlineStr">
        <is>
          <t>Mapeglitter Silver Tile Grout Additive</t>
        </is>
      </c>
      <c r="D1566" s="1" t="inlineStr">
        <is>
          <t>100g</t>
        </is>
      </c>
      <c r="E1566" s="1" t="n">
        <v>12.88</v>
      </c>
      <c r="F1566" s="1" t="n">
        <v>0</v>
      </c>
      <c r="G1566" s="1" t="inlineStr">
        <is>
          <t>Unit</t>
        </is>
      </c>
      <c r="H1566" s="1" t="inlineStr">
        <is>
          <t>Grout</t>
        </is>
      </c>
      <c r="I1566" s="1" t="inlineStr">
        <is>
          <t>-</t>
        </is>
      </c>
      <c r="J1566" t="inlineStr">
        <is>
          <t>In Stock</t>
        </is>
      </c>
      <c r="K1566" t="inlineStr">
        <is>
          <t>In Stock</t>
        </is>
      </c>
      <c r="L1566" t="inlineStr">
        <is>
          <t>In Stock</t>
        </is>
      </c>
    </row>
    <row r="1567">
      <c r="A1567" s="1">
        <f>Hyperlink("https://www.wallsandfloors.co.uk/mapei-ultracolour-plus-grout-ultracolour-plus-130-jasmine-tile-grout","Product")</f>
        <v/>
      </c>
      <c r="B1567" s="1" t="inlineStr">
        <is>
          <t>10665</t>
        </is>
      </c>
      <c r="C1567" s="1" t="inlineStr">
        <is>
          <t>Ultracolour Plus 130 Jasmine Tile Grout</t>
        </is>
      </c>
      <c r="D1567" s="1" t="inlineStr">
        <is>
          <t>5 Kg</t>
        </is>
      </c>
      <c r="E1567" s="1" t="n">
        <v>13.95</v>
      </c>
      <c r="F1567" s="1" t="n">
        <v>0</v>
      </c>
      <c r="G1567" s="1" t="inlineStr">
        <is>
          <t>Unit</t>
        </is>
      </c>
      <c r="H1567" s="1" t="inlineStr">
        <is>
          <t>Floor Grout</t>
        </is>
      </c>
      <c r="I1567" s="1" t="inlineStr">
        <is>
          <t>-</t>
        </is>
      </c>
      <c r="J1567" t="inlineStr"/>
      <c r="K1567" t="inlineStr">
        <is>
          <t>In Stock</t>
        </is>
      </c>
      <c r="L1567" t="inlineStr">
        <is>
          <t>In Stock</t>
        </is>
      </c>
    </row>
    <row r="1568">
      <c r="A1568" s="1">
        <f>Hyperlink("https://www.wallsandfloors.co.uk/marquina-black-gloss-marble-effect-tiles","Product")</f>
        <v/>
      </c>
      <c r="B1568" s="1" t="inlineStr">
        <is>
          <t>39305</t>
        </is>
      </c>
      <c r="C1568" s="1" t="inlineStr">
        <is>
          <t>Marquina Black Gloss Marble Effect Tiles</t>
        </is>
      </c>
      <c r="D1568" s="1" t="inlineStr">
        <is>
          <t>585x585x8mm</t>
        </is>
      </c>
      <c r="E1568" s="1" t="n">
        <v>30.95</v>
      </c>
      <c r="F1568" s="1" t="n">
        <v>0</v>
      </c>
      <c r="G1568" s="1" t="inlineStr">
        <is>
          <t>SQM</t>
        </is>
      </c>
      <c r="H1568" s="1" t="inlineStr">
        <is>
          <t>Porcelain</t>
        </is>
      </c>
      <c r="I1568" s="1" t="inlineStr">
        <is>
          <t>Gloss</t>
        </is>
      </c>
      <c r="J1568" t="inlineStr">
        <is>
          <t>Out of Stock</t>
        </is>
      </c>
      <c r="K1568" t="inlineStr"/>
      <c r="L1568" t="inlineStr">
        <is>
          <t>Out of Stock</t>
        </is>
      </c>
    </row>
    <row r="1569">
      <c r="A1569" s="1">
        <f>Hyperlink("https://www.wallsandfloors.co.uk/mapei-ultracolour-plus-grout-ultracolour-plus-130-jasmine-tile-grout-12936","Product")</f>
        <v/>
      </c>
      <c r="B1569" s="1" t="inlineStr">
        <is>
          <t>12936</t>
        </is>
      </c>
      <c r="C1569" s="1" t="inlineStr">
        <is>
          <t>Mapei Ultracolour Plus 130 Jasmine Tile Grout 2 Kg</t>
        </is>
      </c>
      <c r="D1569" s="1" t="inlineStr">
        <is>
          <t>2 Kg</t>
        </is>
      </c>
      <c r="E1569" s="1" t="n">
        <v>8.949999999999999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inlineStr">
        <is>
          <t>In Stock</t>
        </is>
      </c>
      <c r="K1569" t="inlineStr">
        <is>
          <t>In Stock</t>
        </is>
      </c>
      <c r="L1569" t="inlineStr">
        <is>
          <t>In Stock</t>
        </is>
      </c>
    </row>
    <row r="1570">
      <c r="A1570" s="1">
        <f>Hyperlink("https://www.wallsandfloors.co.uk/mapei-ultracolour-plus-grout-ultracolour-plus-131-vanilla-tile-grout-12939","Product")</f>
        <v/>
      </c>
      <c r="B1570" s="1" t="inlineStr">
        <is>
          <t>12939</t>
        </is>
      </c>
      <c r="C1570" s="1" t="inlineStr">
        <is>
          <t>Mapei Ultracolour Plus 131 Vanilla Tile Grout 2 Kg Per Unit</t>
        </is>
      </c>
      <c r="D1570" s="1" t="inlineStr">
        <is>
          <t>2 Kg</t>
        </is>
      </c>
      <c r="E1570" s="1" t="n">
        <v>8.949999999999999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inlineStr">
        <is>
          <t>In Stock</t>
        </is>
      </c>
      <c r="K1570" t="inlineStr">
        <is>
          <t>In Stock</t>
        </is>
      </c>
      <c r="L1570" t="inlineStr">
        <is>
          <t>In Stock</t>
        </is>
      </c>
    </row>
    <row r="1571">
      <c r="A1571" s="1">
        <f>Hyperlink("https://www.wallsandfloors.co.uk/mapesil-ac-299-limestone","Product")</f>
        <v/>
      </c>
      <c r="B1571" s="1" t="inlineStr">
        <is>
          <t>33337</t>
        </is>
      </c>
      <c r="C1571" s="1" t="inlineStr">
        <is>
          <t>Mapesil AC 299 Limestone</t>
        </is>
      </c>
      <c r="D1571" s="1" t="inlineStr">
        <is>
          <t>310ml</t>
        </is>
      </c>
      <c r="E1571" s="1" t="n">
        <v>6.45</v>
      </c>
      <c r="F1571" s="1" t="n">
        <v>0</v>
      </c>
      <c r="G1571" s="1" t="inlineStr">
        <is>
          <t>Unit</t>
        </is>
      </c>
      <c r="H1571" s="1" t="inlineStr">
        <is>
          <t>Silicone</t>
        </is>
      </c>
      <c r="I1571" s="1" t="inlineStr">
        <is>
          <t>-</t>
        </is>
      </c>
      <c r="J1571" t="inlineStr"/>
      <c r="K1571" t="inlineStr">
        <is>
          <t>Out of Stock</t>
        </is>
      </c>
      <c r="L1571" t="inlineStr">
        <is>
          <t>Out of Stock</t>
        </is>
      </c>
    </row>
    <row r="1572">
      <c r="A1572" s="1">
        <f>Hyperlink("https://www.wallsandfloors.co.uk/mapesil-ac-174-tornado","Product")</f>
        <v/>
      </c>
      <c r="B1572" s="1" t="inlineStr">
        <is>
          <t>36526</t>
        </is>
      </c>
      <c r="C1572" s="1" t="inlineStr">
        <is>
          <t>Mapesil AC 174 Tornado Grey Silicone Sealant</t>
        </is>
      </c>
      <c r="D1572" s="1" t="inlineStr">
        <is>
          <t>310ml</t>
        </is>
      </c>
      <c r="E1572" s="1" t="n">
        <v>6.45</v>
      </c>
      <c r="F1572" s="1" t="n">
        <v>0</v>
      </c>
      <c r="G1572" s="1" t="inlineStr">
        <is>
          <t>Unit</t>
        </is>
      </c>
      <c r="H1572" s="1" t="inlineStr">
        <is>
          <t>Silicone</t>
        </is>
      </c>
      <c r="I1572" s="1" t="inlineStr">
        <is>
          <t>-</t>
        </is>
      </c>
      <c r="J1572" t="inlineStr">
        <is>
          <t>Out of Stock</t>
        </is>
      </c>
      <c r="K1572" t="inlineStr">
        <is>
          <t>Out of Stock</t>
        </is>
      </c>
      <c r="L1572" t="inlineStr">
        <is>
          <t>Out of Stock</t>
        </is>
      </c>
    </row>
    <row r="1573">
      <c r="A1573" s="1">
        <f>Hyperlink("https://www.wallsandfloors.co.uk/mapesil-ac-172-space-blue","Product")</f>
        <v/>
      </c>
      <c r="B1573" s="1" t="inlineStr">
        <is>
          <t>33333</t>
        </is>
      </c>
      <c r="C1573" s="1" t="inlineStr">
        <is>
          <t>Mapesil AC 172 Space Blue</t>
        </is>
      </c>
      <c r="D1573" s="1" t="inlineStr">
        <is>
          <t>310ml</t>
        </is>
      </c>
      <c r="E1573" s="1" t="n">
        <v>6.45</v>
      </c>
      <c r="F1573" s="1" t="n">
        <v>0</v>
      </c>
      <c r="G1573" s="1" t="inlineStr">
        <is>
          <t>Unit</t>
        </is>
      </c>
      <c r="H1573" s="1" t="inlineStr">
        <is>
          <t>Silicone</t>
        </is>
      </c>
      <c r="I1573" s="1" t="inlineStr">
        <is>
          <t>-</t>
        </is>
      </c>
      <c r="J1573" t="inlineStr">
        <is>
          <t>In Stock</t>
        </is>
      </c>
      <c r="K1573" t="inlineStr"/>
      <c r="L1573" t="inlineStr">
        <is>
          <t>In Stock</t>
        </is>
      </c>
    </row>
    <row r="1574">
      <c r="A1574" s="1">
        <f>Hyperlink("https://www.wallsandfloors.co.uk/mapesil-ac-144-chocolate","Product")</f>
        <v/>
      </c>
      <c r="B1574" s="1" t="inlineStr">
        <is>
          <t>33326</t>
        </is>
      </c>
      <c r="C1574" s="1" t="inlineStr">
        <is>
          <t>Mapesil AC 144 Chocolate</t>
        </is>
      </c>
      <c r="D1574" s="1" t="inlineStr">
        <is>
          <t>310ml</t>
        </is>
      </c>
      <c r="E1574" s="1" t="n">
        <v>6.45</v>
      </c>
      <c r="F1574" s="1" t="n">
        <v>0</v>
      </c>
      <c r="G1574" s="1" t="inlineStr">
        <is>
          <t>Unit</t>
        </is>
      </c>
      <c r="H1574" s="1" t="inlineStr">
        <is>
          <t>Silicone</t>
        </is>
      </c>
      <c r="I1574" s="1" t="inlineStr">
        <is>
          <t>-</t>
        </is>
      </c>
      <c r="J1574" t="inlineStr"/>
      <c r="K1574" t="inlineStr">
        <is>
          <t>In Stock</t>
        </is>
      </c>
      <c r="L1574" t="inlineStr">
        <is>
          <t>In Stock</t>
        </is>
      </c>
    </row>
    <row r="1575">
      <c r="A1575" s="1">
        <f>Hyperlink("https://www.wallsandfloors.co.uk/mapesil-ac-132-beige","Product")</f>
        <v/>
      </c>
      <c r="B1575" s="1" t="inlineStr">
        <is>
          <t>33317</t>
        </is>
      </c>
      <c r="C1575" s="1" t="inlineStr">
        <is>
          <t>Mapesil AC 132 Beige</t>
        </is>
      </c>
      <c r="D1575" s="1" t="inlineStr">
        <is>
          <t>310ml</t>
        </is>
      </c>
      <c r="E1575" s="1" t="n">
        <v>6.45</v>
      </c>
      <c r="F1575" s="1" t="n">
        <v>0</v>
      </c>
      <c r="G1575" s="1" t="inlineStr">
        <is>
          <t>Unit</t>
        </is>
      </c>
      <c r="H1575" s="1" t="inlineStr">
        <is>
          <t>Silicone</t>
        </is>
      </c>
      <c r="I1575" s="1" t="inlineStr">
        <is>
          <t>-</t>
        </is>
      </c>
      <c r="J1575" t="inlineStr">
        <is>
          <t>In Stock</t>
        </is>
      </c>
      <c r="K1575" t="inlineStr">
        <is>
          <t>In Stock</t>
        </is>
      </c>
      <c r="L1575" t="inlineStr">
        <is>
          <t>In Stock</t>
        </is>
      </c>
    </row>
    <row r="1576">
      <c r="A1576" s="1">
        <f>Hyperlink("https://www.wallsandfloors.co.uk/mapesil-ac-120-black","Product")</f>
        <v/>
      </c>
      <c r="B1576" s="1" t="inlineStr">
        <is>
          <t>33315</t>
        </is>
      </c>
      <c r="C1576" s="1" t="inlineStr">
        <is>
          <t>Mapesil AC 120 Black</t>
        </is>
      </c>
      <c r="D1576" s="1" t="inlineStr">
        <is>
          <t>310ml</t>
        </is>
      </c>
      <c r="E1576" s="1" t="n">
        <v>6.45</v>
      </c>
      <c r="F1576" s="1" t="n">
        <v>0</v>
      </c>
      <c r="G1576" s="1" t="inlineStr">
        <is>
          <t>Unit</t>
        </is>
      </c>
      <c r="H1576" s="1" t="inlineStr">
        <is>
          <t>Silicone</t>
        </is>
      </c>
      <c r="I1576" s="1" t="inlineStr">
        <is>
          <t>-</t>
        </is>
      </c>
      <c r="J1576" t="inlineStr">
        <is>
          <t>In Stock</t>
        </is>
      </c>
      <c r="K1576" t="inlineStr"/>
      <c r="L1576" t="inlineStr">
        <is>
          <t>In Stock</t>
        </is>
      </c>
    </row>
    <row r="1577">
      <c r="A1577" s="1">
        <f>Hyperlink("https://www.wallsandfloors.co.uk/mapesil-ac-119-london-grey","Product")</f>
        <v/>
      </c>
      <c r="B1577" s="1" t="inlineStr">
        <is>
          <t>39101</t>
        </is>
      </c>
      <c r="C1577" s="1" t="inlineStr">
        <is>
          <t>Mapesil AC 119 London Grey</t>
        </is>
      </c>
      <c r="D1577" s="1" t="inlineStr">
        <is>
          <t>310ml</t>
        </is>
      </c>
      <c r="E1577" s="1" t="n">
        <v>6.45</v>
      </c>
      <c r="F1577" s="1" t="n">
        <v>0</v>
      </c>
      <c r="G1577" s="1" t="inlineStr">
        <is>
          <t>Unit</t>
        </is>
      </c>
      <c r="H1577" s="1" t="inlineStr">
        <is>
          <t>Silicone</t>
        </is>
      </c>
      <c r="I1577" s="1" t="inlineStr">
        <is>
          <t>-</t>
        </is>
      </c>
      <c r="J1577" t="inlineStr">
        <is>
          <t>Out of Stock</t>
        </is>
      </c>
      <c r="K1577" t="inlineStr">
        <is>
          <t>Out of Stock</t>
        </is>
      </c>
      <c r="L1577" t="inlineStr">
        <is>
          <t>Out of Stock</t>
        </is>
      </c>
    </row>
    <row r="1578">
      <c r="A1578" s="1">
        <f>Hyperlink("https://www.wallsandfloors.co.uk/mapesil-ac-111-silver-grey","Product")</f>
        <v/>
      </c>
      <c r="B1578" s="1" t="inlineStr">
        <is>
          <t>33313</t>
        </is>
      </c>
      <c r="C1578" s="1" t="inlineStr">
        <is>
          <t>Mapesil AC 111 Silver Grey</t>
        </is>
      </c>
      <c r="D1578" s="1" t="inlineStr">
        <is>
          <t>310ml</t>
        </is>
      </c>
      <c r="E1578" s="1" t="n">
        <v>6.45</v>
      </c>
      <c r="F1578" s="1" t="n">
        <v>0</v>
      </c>
      <c r="G1578" s="1" t="inlineStr">
        <is>
          <t>Unit</t>
        </is>
      </c>
      <c r="H1578" s="1" t="inlineStr">
        <is>
          <t>Silicone</t>
        </is>
      </c>
      <c r="I1578" s="1" t="inlineStr">
        <is>
          <t>-</t>
        </is>
      </c>
      <c r="J1578" t="inlineStr">
        <is>
          <t>In Stock</t>
        </is>
      </c>
      <c r="K1578" t="inlineStr">
        <is>
          <t>In Stock</t>
        </is>
      </c>
      <c r="L1578" t="inlineStr">
        <is>
          <t>In Stock</t>
        </is>
      </c>
    </row>
    <row r="1579">
      <c r="A1579" s="1">
        <f>Hyperlink("https://www.wallsandfloors.co.uk/mapesil-ac-110-manhattan-grey","Product")</f>
        <v/>
      </c>
      <c r="B1579" s="1" t="inlineStr">
        <is>
          <t>33312</t>
        </is>
      </c>
      <c r="C1579" s="1" t="inlineStr">
        <is>
          <t>Mapesil AC 110  Manhattan Grey</t>
        </is>
      </c>
      <c r="D1579" s="1" t="inlineStr">
        <is>
          <t>310ml</t>
        </is>
      </c>
      <c r="E1579" s="1" t="n">
        <v>6.45</v>
      </c>
      <c r="F1579" s="1" t="n">
        <v>0</v>
      </c>
      <c r="G1579" s="1" t="inlineStr">
        <is>
          <t>Unit</t>
        </is>
      </c>
      <c r="H1579" s="1" t="inlineStr">
        <is>
          <t>Silicone</t>
        </is>
      </c>
      <c r="I1579" s="1" t="inlineStr">
        <is>
          <t>-</t>
        </is>
      </c>
      <c r="J1579" t="n">
        <v>58</v>
      </c>
      <c r="K1579" t="inlineStr"/>
      <c r="L1579" t="n">
        <v>58</v>
      </c>
    </row>
    <row r="1580">
      <c r="A1580" s="1">
        <f>Hyperlink("https://www.wallsandfloors.co.uk/mapesil-ac-103-moon-white","Product")</f>
        <v/>
      </c>
      <c r="B1580" s="1" t="inlineStr">
        <is>
          <t>33311</t>
        </is>
      </c>
      <c r="C1580" s="1" t="inlineStr">
        <is>
          <t>Mapesil AC 103 Moon White</t>
        </is>
      </c>
      <c r="D1580" s="1" t="inlineStr">
        <is>
          <t>310ml</t>
        </is>
      </c>
      <c r="E1580" s="1" t="n">
        <v>6.45</v>
      </c>
      <c r="F1580" s="1" t="n">
        <v>0</v>
      </c>
      <c r="G1580" s="1" t="inlineStr">
        <is>
          <t>Unit</t>
        </is>
      </c>
      <c r="H1580" s="1" t="inlineStr">
        <is>
          <t>Silicone</t>
        </is>
      </c>
      <c r="I1580" s="1" t="inlineStr">
        <is>
          <t>-</t>
        </is>
      </c>
      <c r="J1580" t="inlineStr">
        <is>
          <t>Out of Stock</t>
        </is>
      </c>
      <c r="K1580" t="inlineStr">
        <is>
          <t>Out of Stock</t>
        </is>
      </c>
      <c r="L1580" t="inlineStr">
        <is>
          <t>Out of Stock</t>
        </is>
      </c>
    </row>
    <row r="1581">
      <c r="A1581" s="1">
        <f>Hyperlink("https://www.wallsandfloors.co.uk/mapei-ultracolour-plus-grout-ultracolour-plus-172-space-blue-tile-grout","Product")</f>
        <v/>
      </c>
      <c r="B1581" s="1" t="inlineStr">
        <is>
          <t>12960</t>
        </is>
      </c>
      <c r="C1581" s="1" t="inlineStr">
        <is>
          <t>Mapei Ultracolour Plus 172 Space Blue Tile Grout 5Kg</t>
        </is>
      </c>
      <c r="D1581" s="1" t="inlineStr">
        <is>
          <t>5 Kg</t>
        </is>
      </c>
      <c r="E1581" s="1" t="n">
        <v>16.95</v>
      </c>
      <c r="F1581" s="1" t="n">
        <v>0</v>
      </c>
      <c r="G1581" s="1" t="inlineStr">
        <is>
          <t>Unit</t>
        </is>
      </c>
      <c r="H1581" s="1" t="inlineStr">
        <is>
          <t>Floor Grout</t>
        </is>
      </c>
      <c r="I1581" s="1" t="inlineStr">
        <is>
          <t>-</t>
        </is>
      </c>
      <c r="J1581" t="inlineStr">
        <is>
          <t>In Stock</t>
        </is>
      </c>
      <c r="K1581" t="inlineStr">
        <is>
          <t>In Stock</t>
        </is>
      </c>
      <c r="L1581" t="inlineStr">
        <is>
          <t>In Stock</t>
        </is>
      </c>
    </row>
    <row r="1582">
      <c r="A1582" s="1">
        <f>Hyperlink("https://www.wallsandfloors.co.uk/mapei-ultracolour-plus-grout-ultracolour-plus-145-terra-di-siena-tile-grout","Product")</f>
        <v/>
      </c>
      <c r="B1582" s="1" t="inlineStr">
        <is>
          <t>12955</t>
        </is>
      </c>
      <c r="C1582" s="1" t="inlineStr">
        <is>
          <t>Ultracolour Plus 145 Terra Di Siena Tile Grout</t>
        </is>
      </c>
      <c r="D1582" s="1" t="inlineStr">
        <is>
          <t>5 Kg</t>
        </is>
      </c>
      <c r="E1582" s="1" t="n">
        <v>16.95</v>
      </c>
      <c r="F1582" s="1" t="n">
        <v>0</v>
      </c>
      <c r="G1582" s="1" t="inlineStr"/>
      <c r="H1582" s="1" t="inlineStr">
        <is>
          <t>Floor Grout</t>
        </is>
      </c>
      <c r="I1582" s="1" t="inlineStr">
        <is>
          <t>-</t>
        </is>
      </c>
      <c r="J1582" t="inlineStr"/>
      <c r="K1582" t="inlineStr">
        <is>
          <t>In Stock</t>
        </is>
      </c>
      <c r="L1582" t="inlineStr">
        <is>
          <t>In Stock</t>
        </is>
      </c>
    </row>
    <row r="1583">
      <c r="A1583" s="1">
        <f>Hyperlink("https://www.wallsandfloors.co.uk/mapei-ultracolour-plus-grout-ultracolour-plus-144-chocolate-tile-grout-12954","Product")</f>
        <v/>
      </c>
      <c r="B1583" s="1" t="inlineStr">
        <is>
          <t>12954</t>
        </is>
      </c>
      <c r="C1583" s="1" t="inlineStr">
        <is>
          <t>Mapei Ultracolour Plus 144 Chocolate Tile Grout 2 Kg Per Unit</t>
        </is>
      </c>
      <c r="D1583" s="1" t="inlineStr">
        <is>
          <t>2 Kg</t>
        </is>
      </c>
      <c r="E1583" s="1" t="n">
        <v>8.949999999999999</v>
      </c>
      <c r="F1583" s="1" t="n">
        <v>0</v>
      </c>
      <c r="G1583" s="1" t="inlineStr">
        <is>
          <t>Unit</t>
        </is>
      </c>
      <c r="H1583" s="1" t="inlineStr">
        <is>
          <t>Floor Grout</t>
        </is>
      </c>
      <c r="I1583" s="1" t="inlineStr">
        <is>
          <t>-</t>
        </is>
      </c>
      <c r="J1583" t="inlineStr">
        <is>
          <t>In Stock</t>
        </is>
      </c>
      <c r="K1583" t="inlineStr">
        <is>
          <t>In Stock</t>
        </is>
      </c>
      <c r="L1583" t="inlineStr">
        <is>
          <t>In Stock</t>
        </is>
      </c>
    </row>
    <row r="1584">
      <c r="A1584" s="1">
        <f>Hyperlink("https://www.wallsandfloors.co.uk/mapei-ultracolour-plus-grout-ultracolour-plus-144-chocolate-tile-grout","Product")</f>
        <v/>
      </c>
      <c r="B1584" s="1" t="inlineStr">
        <is>
          <t>12952</t>
        </is>
      </c>
      <c r="C1584" s="1" t="inlineStr">
        <is>
          <t>Mapei Ultracolour Plus 144 Chocolate Tile Grout 5 Kg Per Unit</t>
        </is>
      </c>
      <c r="D1584" s="1" t="inlineStr">
        <is>
          <t>5 Kg</t>
        </is>
      </c>
      <c r="E1584" s="1" t="n">
        <v>13.95</v>
      </c>
      <c r="F1584" s="1" t="n">
        <v>0</v>
      </c>
      <c r="G1584" s="1" t="inlineStr">
        <is>
          <t>Unit</t>
        </is>
      </c>
      <c r="H1584" s="1" t="inlineStr">
        <is>
          <t>Floor Grout</t>
        </is>
      </c>
      <c r="I1584" s="1" t="inlineStr">
        <is>
          <t>-</t>
        </is>
      </c>
      <c r="J1584" t="inlineStr"/>
      <c r="K1584" t="inlineStr">
        <is>
          <t>In Stock</t>
        </is>
      </c>
      <c r="L1584" t="inlineStr">
        <is>
          <t>In Stock</t>
        </is>
      </c>
    </row>
    <row r="1585">
      <c r="A1585" s="1">
        <f>Hyperlink("https://www.wallsandfloors.co.uk/mapei-ultracolour-plus-grout-ultracolour-plus-143-terracotta-tile-grout","Product")</f>
        <v/>
      </c>
      <c r="B1585" s="1" t="inlineStr">
        <is>
          <t>12951</t>
        </is>
      </c>
      <c r="C1585" s="1" t="inlineStr">
        <is>
          <t>Mapei Ultracolour Plus 143 Terracotta Tile Grout 5 Kg</t>
        </is>
      </c>
      <c r="D1585" s="1" t="inlineStr">
        <is>
          <t>5 Kg</t>
        </is>
      </c>
      <c r="E1585" s="1" t="n">
        <v>13.95</v>
      </c>
      <c r="F1585" s="1" t="n">
        <v>0</v>
      </c>
      <c r="G1585" s="1" t="inlineStr">
        <is>
          <t>Unit</t>
        </is>
      </c>
      <c r="H1585" s="1" t="inlineStr">
        <is>
          <t>Floor Grout</t>
        </is>
      </c>
      <c r="I1585" s="1" t="inlineStr">
        <is>
          <t>-</t>
        </is>
      </c>
      <c r="J1585" t="inlineStr">
        <is>
          <t>In Stock</t>
        </is>
      </c>
      <c r="K1585" t="inlineStr"/>
      <c r="L1585" t="inlineStr">
        <is>
          <t>In Stock</t>
        </is>
      </c>
    </row>
    <row r="1586">
      <c r="A1586" s="1">
        <f>Hyperlink("https://www.wallsandfloors.co.uk/mapei-ultracolour-plus-grout-ultracolour-plus-142-brown-tile-grout-12950","Product")</f>
        <v/>
      </c>
      <c r="B1586" s="1" t="inlineStr">
        <is>
          <t>12950</t>
        </is>
      </c>
      <c r="C1586" s="1" t="inlineStr">
        <is>
          <t>Mapei Ultracolour Plus 142 Brown Tile Grout 2 Kg</t>
        </is>
      </c>
      <c r="D1586" s="1" t="inlineStr">
        <is>
          <t>2 Kg</t>
        </is>
      </c>
      <c r="E1586" s="1" t="n">
        <v>8.949999999999999</v>
      </c>
      <c r="F1586" s="1" t="n">
        <v>0</v>
      </c>
      <c r="G1586" s="1" t="inlineStr"/>
      <c r="H1586" s="1" t="inlineStr">
        <is>
          <t>Floor Grout</t>
        </is>
      </c>
      <c r="I1586" s="1" t="inlineStr">
        <is>
          <t>-</t>
        </is>
      </c>
      <c r="J1586" t="inlineStr">
        <is>
          <t>In Stock</t>
        </is>
      </c>
      <c r="K1586" t="inlineStr">
        <is>
          <t>In Stock</t>
        </is>
      </c>
      <c r="L1586" t="inlineStr">
        <is>
          <t>In Stock</t>
        </is>
      </c>
    </row>
    <row r="1587">
      <c r="A1587" s="1">
        <f>Hyperlink("https://www.wallsandfloors.co.uk/mapei-ultracolour-plus-grout-ultracolour-plus-142-brown-tile-grout","Product")</f>
        <v/>
      </c>
      <c r="B1587" s="1" t="inlineStr">
        <is>
          <t>12949</t>
        </is>
      </c>
      <c r="C1587" s="1" t="inlineStr">
        <is>
          <t>Ultracolour Plus 142 Brown Tile Grout</t>
        </is>
      </c>
      <c r="D1587" s="1" t="inlineStr">
        <is>
          <t>5 Kg</t>
        </is>
      </c>
      <c r="E1587" s="1" t="n">
        <v>13.95</v>
      </c>
      <c r="F1587" s="1" t="n">
        <v>0</v>
      </c>
      <c r="G1587" s="1" t="inlineStr">
        <is>
          <t>Unit</t>
        </is>
      </c>
      <c r="H1587" s="1" t="inlineStr">
        <is>
          <t>Floor Grout</t>
        </is>
      </c>
      <c r="I1587" s="1" t="inlineStr">
        <is>
          <t>-</t>
        </is>
      </c>
      <c r="J1587" t="inlineStr">
        <is>
          <t>In Stock</t>
        </is>
      </c>
      <c r="K1587" t="inlineStr">
        <is>
          <t>In Stock</t>
        </is>
      </c>
      <c r="L1587" t="inlineStr">
        <is>
          <t>In Stock</t>
        </is>
      </c>
    </row>
    <row r="1588">
      <c r="A1588" s="1">
        <f>Hyperlink("https://www.wallsandfloors.co.uk/mapei-ultracolour-plus-grout-ultracolour-plus-141-caramel-tile-grout","Product")</f>
        <v/>
      </c>
      <c r="B1588" s="1" t="inlineStr">
        <is>
          <t>12948</t>
        </is>
      </c>
      <c r="C1588" s="1" t="inlineStr">
        <is>
          <t>Ultracolour Plus 141 Caramel Tile Grout</t>
        </is>
      </c>
      <c r="D1588" s="1" t="inlineStr">
        <is>
          <t>5 Kg</t>
        </is>
      </c>
      <c r="E1588" s="1" t="n">
        <v>13.95</v>
      </c>
      <c r="F1588" s="1" t="n">
        <v>0</v>
      </c>
      <c r="G1588" s="1" t="inlineStr">
        <is>
          <t>Unit</t>
        </is>
      </c>
      <c r="H1588" s="1" t="inlineStr">
        <is>
          <t>Floor Grout</t>
        </is>
      </c>
      <c r="I1588" s="1" t="inlineStr">
        <is>
          <t>-</t>
        </is>
      </c>
      <c r="J1588" t="inlineStr">
        <is>
          <t>In Stock</t>
        </is>
      </c>
      <c r="K1588" t="inlineStr">
        <is>
          <t>In Stock</t>
        </is>
      </c>
      <c r="L1588" t="inlineStr">
        <is>
          <t>In Stock</t>
        </is>
      </c>
    </row>
    <row r="1589">
      <c r="A1589" s="1">
        <f>Hyperlink("https://www.wallsandfloors.co.uk/mapei-ultracolour-plus-grout-ultracolour-plus-136-mud-tile-grout","Product")</f>
        <v/>
      </c>
      <c r="B1589" s="1" t="inlineStr">
        <is>
          <t>15443</t>
        </is>
      </c>
      <c r="C1589" s="1" t="inlineStr">
        <is>
          <t>Mapei Ultracolour Plus 136 Mud Tile Grout 5 Kg Per Unit</t>
        </is>
      </c>
      <c r="D1589" s="1" t="inlineStr">
        <is>
          <t>5 Kg</t>
        </is>
      </c>
      <c r="E1589" s="1" t="n">
        <v>13.95</v>
      </c>
      <c r="F1589" s="1" t="n">
        <v>0</v>
      </c>
      <c r="G1589" s="1" t="inlineStr">
        <is>
          <t>Unit</t>
        </is>
      </c>
      <c r="H1589" s="1" t="inlineStr">
        <is>
          <t>Floor Grout</t>
        </is>
      </c>
      <c r="I1589" s="1" t="inlineStr">
        <is>
          <t>-</t>
        </is>
      </c>
      <c r="J1589" t="inlineStr">
        <is>
          <t>In Stock</t>
        </is>
      </c>
      <c r="K1589" t="inlineStr"/>
      <c r="L1589" t="inlineStr">
        <is>
          <t>In Stock</t>
        </is>
      </c>
    </row>
    <row r="1590">
      <c r="A1590" s="1">
        <f>Hyperlink("https://www.wallsandfloors.co.uk/mapei-ultracolour-plus-grout-ultracolour-plus-135-golden-dust-tile-grout","Product")</f>
        <v/>
      </c>
      <c r="B1590" s="1" t="inlineStr">
        <is>
          <t>15442</t>
        </is>
      </c>
      <c r="C1590" s="1" t="inlineStr">
        <is>
          <t>Mapei Ultracolour Plus 135 Golden Dust Tile Grout 5 Kg Per Unit</t>
        </is>
      </c>
      <c r="D1590" s="1" t="inlineStr">
        <is>
          <t>5 Kg</t>
        </is>
      </c>
      <c r="E1590" s="1" t="n">
        <v>13.95</v>
      </c>
      <c r="F1590" s="1" t="n">
        <v>0</v>
      </c>
      <c r="G1590" s="1" t="inlineStr">
        <is>
          <t>Unit</t>
        </is>
      </c>
      <c r="H1590" s="1" t="inlineStr">
        <is>
          <t>Floor Grout</t>
        </is>
      </c>
      <c r="I1590" s="1" t="inlineStr">
        <is>
          <t>-</t>
        </is>
      </c>
      <c r="J1590" t="inlineStr"/>
      <c r="K1590" t="inlineStr">
        <is>
          <t>In Stock</t>
        </is>
      </c>
      <c r="L1590" t="inlineStr">
        <is>
          <t>In Stock</t>
        </is>
      </c>
    </row>
    <row r="1591">
      <c r="A1591" s="1">
        <f>Hyperlink("https://www.wallsandfloors.co.uk/mapei-ultracolour-plus-grout-ultracolour-plus-133-sand-tile-grout","Product")</f>
        <v/>
      </c>
      <c r="B1591" s="1" t="inlineStr">
        <is>
          <t>15441</t>
        </is>
      </c>
      <c r="C1591" s="1" t="inlineStr">
        <is>
          <t>Mapei Ultracolour Plus 133 Sand Tile Grout 5 Kg Per Unit</t>
        </is>
      </c>
      <c r="D1591" s="1" t="inlineStr">
        <is>
          <t>5 Kg</t>
        </is>
      </c>
      <c r="E1591" s="1" t="n">
        <v>13.95</v>
      </c>
      <c r="F1591" s="1" t="n">
        <v>0</v>
      </c>
      <c r="G1591" s="1" t="inlineStr">
        <is>
          <t>Unit</t>
        </is>
      </c>
      <c r="H1591" s="1" t="inlineStr">
        <is>
          <t>Floor Grout</t>
        </is>
      </c>
      <c r="I1591" s="1" t="inlineStr">
        <is>
          <t>-</t>
        </is>
      </c>
      <c r="J1591" t="inlineStr">
        <is>
          <t>In Stock</t>
        </is>
      </c>
      <c r="K1591" t="inlineStr">
        <is>
          <t>In Stock</t>
        </is>
      </c>
      <c r="L1591" t="inlineStr">
        <is>
          <t>In Stock</t>
        </is>
      </c>
    </row>
    <row r="1592">
      <c r="A1592" s="1">
        <f>Hyperlink("https://www.wallsandfloors.co.uk/mapei-ultracolour-plus-grout-ultracolour-plus-132-beige-tile-grout-12947","Product")</f>
        <v/>
      </c>
      <c r="B1592" s="1" t="inlineStr">
        <is>
          <t>12947</t>
        </is>
      </c>
      <c r="C1592" s="1" t="inlineStr">
        <is>
          <t>Mapei Ultracolour Plus 132 Beige Tile Grout 2 Kg</t>
        </is>
      </c>
      <c r="D1592" s="1" t="inlineStr">
        <is>
          <t>2 Kg</t>
        </is>
      </c>
      <c r="E1592" s="1" t="n">
        <v>8.949999999999999</v>
      </c>
      <c r="F1592" s="1" t="n">
        <v>0</v>
      </c>
      <c r="G1592" s="1" t="inlineStr">
        <is>
          <t>Unit</t>
        </is>
      </c>
      <c r="H1592" s="1" t="inlineStr">
        <is>
          <t>Floor Grout</t>
        </is>
      </c>
      <c r="I1592" s="1" t="inlineStr">
        <is>
          <t>-</t>
        </is>
      </c>
      <c r="J1592" t="inlineStr">
        <is>
          <t>In Stock</t>
        </is>
      </c>
      <c r="K1592" t="inlineStr"/>
      <c r="L1592" t="inlineStr">
        <is>
          <t>In Stock</t>
        </is>
      </c>
    </row>
    <row r="1593">
      <c r="A1593" s="1">
        <f>Hyperlink("https://www.wallsandfloors.co.uk/mapei-ultracolour-plus-grout-ultracolour-plus-132-beige-tile-grout","Product")</f>
        <v/>
      </c>
      <c r="B1593" s="1" t="inlineStr">
        <is>
          <t>12940</t>
        </is>
      </c>
      <c r="C1593" s="1" t="inlineStr">
        <is>
          <t>Ultracolour Plus 132 Beige Tile Grout</t>
        </is>
      </c>
      <c r="D1593" s="1" t="inlineStr">
        <is>
          <t>5 Kg</t>
        </is>
      </c>
      <c r="E1593" s="1" t="n">
        <v>13.95</v>
      </c>
      <c r="F1593" s="1" t="n">
        <v>0</v>
      </c>
      <c r="G1593" s="1" t="inlineStr">
        <is>
          <t>Unit</t>
        </is>
      </c>
      <c r="H1593" s="1" t="inlineStr">
        <is>
          <t>Floor Grout</t>
        </is>
      </c>
      <c r="I1593" s="1" t="inlineStr">
        <is>
          <t>-</t>
        </is>
      </c>
      <c r="J1593" t="inlineStr">
        <is>
          <t>In Stock</t>
        </is>
      </c>
      <c r="K1593" t="inlineStr">
        <is>
          <t>In Stock</t>
        </is>
      </c>
      <c r="L1593" t="inlineStr">
        <is>
          <t>In Stock</t>
        </is>
      </c>
    </row>
    <row r="1594">
      <c r="A1594" s="1">
        <f>Hyperlink("https://www.wallsandfloors.co.uk/mapei-ultracolour-plus-grout-ultracolour-plus-131-vanilla-tile-grout","Product")</f>
        <v/>
      </c>
      <c r="B1594" s="1" t="inlineStr">
        <is>
          <t>12938</t>
        </is>
      </c>
      <c r="C1594" s="1" t="inlineStr">
        <is>
          <t>Ultracolour Plus 131 Vanilla Tile Grout</t>
        </is>
      </c>
      <c r="D1594" s="1" t="inlineStr">
        <is>
          <t>5 Kg</t>
        </is>
      </c>
      <c r="E1594" s="1" t="n">
        <v>13.95</v>
      </c>
      <c r="F1594" s="1" t="n">
        <v>0</v>
      </c>
      <c r="G1594" s="1" t="inlineStr">
        <is>
          <t>Unit</t>
        </is>
      </c>
      <c r="H1594" s="1" t="inlineStr">
        <is>
          <t>Floor Grout</t>
        </is>
      </c>
      <c r="I1594" s="1" t="inlineStr">
        <is>
          <t>-</t>
        </is>
      </c>
      <c r="J1594" t="inlineStr">
        <is>
          <t>In Stock</t>
        </is>
      </c>
      <c r="K1594" t="inlineStr">
        <is>
          <t>In Stock</t>
        </is>
      </c>
      <c r="L1594" t="inlineStr">
        <is>
          <t>In Stock</t>
        </is>
      </c>
    </row>
    <row r="1595">
      <c r="A1595" s="1">
        <f>Hyperlink("https://www.wallsandfloors.co.uk/meknes-tiles-maalem-decor-matt-tiles","Product")</f>
        <v/>
      </c>
      <c r="B1595" s="1" t="inlineStr">
        <is>
          <t>13729</t>
        </is>
      </c>
      <c r="C1595" s="1" t="inlineStr">
        <is>
          <t>Meknes Maalem Decor Matt Pattern Tiles</t>
        </is>
      </c>
      <c r="D1595" s="1" t="inlineStr">
        <is>
          <t>442x442x10mm</t>
        </is>
      </c>
      <c r="E1595" s="1" t="n">
        <v>30.95</v>
      </c>
      <c r="F1595" s="1" t="n">
        <v>0</v>
      </c>
      <c r="G1595" s="1" t="inlineStr">
        <is>
          <t>SQM</t>
        </is>
      </c>
      <c r="H1595" s="1" t="inlineStr">
        <is>
          <t>Porcelain</t>
        </is>
      </c>
      <c r="I1595" s="1" t="inlineStr">
        <is>
          <t>Matt</t>
        </is>
      </c>
      <c r="J1595" t="inlineStr">
        <is>
          <t>In Stock</t>
        </is>
      </c>
      <c r="K1595" t="inlineStr">
        <is>
          <t>In Stock</t>
        </is>
      </c>
      <c r="L1595" t="inlineStr">
        <is>
          <t>Out of Stock</t>
        </is>
      </c>
    </row>
    <row r="1596">
      <c r="A1596" s="1">
        <f>Hyperlink("https://www.wallsandfloors.co.uk/lagoon-mosaics-tiles-azzurro-ghiaccio-tiles","Product")</f>
        <v/>
      </c>
      <c r="B1596" s="1" t="inlineStr">
        <is>
          <t>189</t>
        </is>
      </c>
      <c r="C1596" s="1" t="inlineStr">
        <is>
          <t>Lagoon Azzurro Ghiaccio Blue Mosaic Tiles</t>
        </is>
      </c>
      <c r="D1596" s="1" t="inlineStr">
        <is>
          <t>327x327x4mm</t>
        </is>
      </c>
      <c r="E1596" s="1" t="n">
        <v>15.75</v>
      </c>
      <c r="F1596" s="1" t="n">
        <v>0</v>
      </c>
      <c r="G1596" s="1" t="inlineStr">
        <is>
          <t>Sheet</t>
        </is>
      </c>
      <c r="H1596" s="1" t="inlineStr">
        <is>
          <t>Glass</t>
        </is>
      </c>
      <c r="I1596" s="1" t="inlineStr">
        <is>
          <t>Satin</t>
        </is>
      </c>
      <c r="J1596" t="n">
        <v>23</v>
      </c>
      <c r="K1596" t="n">
        <v>23</v>
      </c>
      <c r="L1596" t="n">
        <v>23</v>
      </c>
    </row>
    <row r="1597">
      <c r="A1597" s="1">
        <f>Hyperlink("https://www.wallsandfloors.co.uk/lagom-shale-oak-white-wood-effect-tiles","Product")</f>
        <v/>
      </c>
      <c r="B1597" s="1" t="inlineStr">
        <is>
          <t>35042</t>
        </is>
      </c>
      <c r="C1597" s="1" t="inlineStr">
        <is>
          <t>Shale Oak White Wood Effect Tiles</t>
        </is>
      </c>
      <c r="D1597" s="1" t="inlineStr">
        <is>
          <t>1200x233x10.8mm</t>
        </is>
      </c>
      <c r="E1597" s="1" t="n">
        <v>25.95</v>
      </c>
      <c r="F1597" s="1" t="n">
        <v>0</v>
      </c>
      <c r="G1597" s="1" t="inlineStr">
        <is>
          <t>SQM</t>
        </is>
      </c>
      <c r="H1597" s="1" t="inlineStr">
        <is>
          <t>Porcelain</t>
        </is>
      </c>
      <c r="I1597" s="1" t="inlineStr">
        <is>
          <t>Matt</t>
        </is>
      </c>
      <c r="J1597" t="n">
        <v>243</v>
      </c>
      <c r="K1597" t="inlineStr"/>
      <c r="L1597" t="n">
        <v>243</v>
      </c>
    </row>
    <row r="1598">
      <c r="A1598" s="1">
        <f>Hyperlink("https://www.wallsandfloors.co.uk/gorgon-tiles-medusa-floor-tiles","Product")</f>
        <v/>
      </c>
      <c r="B1598" s="1" t="inlineStr">
        <is>
          <t>12997</t>
        </is>
      </c>
      <c r="C1598" s="1" t="inlineStr">
        <is>
          <t>Gorgon Medusa Travertine Effect Floor Tiles</t>
        </is>
      </c>
      <c r="D1598" s="1" t="inlineStr">
        <is>
          <t>450x450x8mm</t>
        </is>
      </c>
      <c r="E1598" s="1" t="n">
        <v>15.95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n">
        <v>260</v>
      </c>
      <c r="K1598" t="n">
        <v>260</v>
      </c>
      <c r="L1598" t="n">
        <v>260</v>
      </c>
    </row>
    <row r="1599">
      <c r="A1599" s="1">
        <f>Hyperlink("https://www.wallsandfloors.co.uk/gondolin-stone-hexagon-tiles","Product")</f>
        <v/>
      </c>
      <c r="B1599" s="1" t="inlineStr">
        <is>
          <t>41715</t>
        </is>
      </c>
      <c r="C1599" s="1" t="inlineStr">
        <is>
          <t>Gondolin Stone Hexagon Tiles</t>
        </is>
      </c>
      <c r="D1599" s="1" t="inlineStr">
        <is>
          <t>330x280.5x10mm</t>
        </is>
      </c>
      <c r="E1599" s="1" t="n">
        <v>35.95</v>
      </c>
      <c r="F1599" s="1" t="n">
        <v>0</v>
      </c>
      <c r="G1599" s="1" t="inlineStr">
        <is>
          <t>SQM</t>
        </is>
      </c>
      <c r="H1599" s="1" t="inlineStr">
        <is>
          <t>Porcelain</t>
        </is>
      </c>
      <c r="I1599" s="1" t="inlineStr">
        <is>
          <t>Matt</t>
        </is>
      </c>
      <c r="J1599" t="n">
        <v>143</v>
      </c>
      <c r="K1599" t="n">
        <v>143</v>
      </c>
      <c r="L1599" t="n">
        <v>143</v>
      </c>
    </row>
    <row r="1600">
      <c r="A1600" s="1">
        <f>Hyperlink("https://www.wallsandfloors.co.uk/goldmine-glass-mosaics-tiles-mull-tiles","Product")</f>
        <v/>
      </c>
      <c r="B1600" s="1" t="inlineStr">
        <is>
          <t>8815</t>
        </is>
      </c>
      <c r="C1600" s="1" t="inlineStr">
        <is>
          <t>Goldmine Mull Mosaic Tiles</t>
        </is>
      </c>
      <c r="D1600" s="1" t="inlineStr">
        <is>
          <t>327x327x4mm</t>
        </is>
      </c>
      <c r="E1600" s="1" t="n">
        <v>11.95</v>
      </c>
      <c r="F1600" s="1" t="n">
        <v>0</v>
      </c>
      <c r="G1600" s="1" t="inlineStr"/>
      <c r="H1600" s="1" t="inlineStr">
        <is>
          <t>Glass</t>
        </is>
      </c>
      <c r="I1600" s="1" t="inlineStr">
        <is>
          <t>Semi-Polished</t>
        </is>
      </c>
      <c r="J1600" t="inlineStr">
        <is>
          <t>In Stock</t>
        </is>
      </c>
      <c r="K1600" t="inlineStr">
        <is>
          <t>In Stock</t>
        </is>
      </c>
      <c r="L1600" t="inlineStr">
        <is>
          <t>In Stock</t>
        </is>
      </c>
    </row>
    <row r="1601">
      <c r="A1601" s="1">
        <f>Hyperlink("https://www.wallsandfloors.co.uk/goldmine-glass-mosaics-tiles-kilda-mosaic-tiles","Product")</f>
        <v/>
      </c>
      <c r="B1601" s="1" t="inlineStr">
        <is>
          <t>12128</t>
        </is>
      </c>
      <c r="C1601" s="1" t="inlineStr">
        <is>
          <t>Goldmine Kilda Blue Mosaic Tiles</t>
        </is>
      </c>
      <c r="D1601" s="1" t="inlineStr">
        <is>
          <t>327x327x4mm</t>
        </is>
      </c>
      <c r="E1601" s="1" t="n">
        <v>11.95</v>
      </c>
      <c r="F1601" s="1" t="n">
        <v>0</v>
      </c>
      <c r="G1601" s="1" t="inlineStr">
        <is>
          <t>Sheet</t>
        </is>
      </c>
      <c r="H1601" s="1" t="inlineStr">
        <is>
          <t>Glass</t>
        </is>
      </c>
      <c r="I1601" s="1" t="inlineStr">
        <is>
          <t>Mixed</t>
        </is>
      </c>
      <c r="J1601" t="inlineStr">
        <is>
          <t>In Stock</t>
        </is>
      </c>
      <c r="K1601" t="inlineStr">
        <is>
          <t>In Stock</t>
        </is>
      </c>
      <c r="L1601" t="inlineStr">
        <is>
          <t>In Stock</t>
        </is>
      </c>
    </row>
    <row r="1602">
      <c r="A1602" s="1">
        <f>Hyperlink("https://www.wallsandfloors.co.uk/goldmine-glass-mosaics-tiles-jura-tiles","Product")</f>
        <v/>
      </c>
      <c r="B1602" s="1" t="inlineStr">
        <is>
          <t>8814</t>
        </is>
      </c>
      <c r="C1602" s="1" t="inlineStr">
        <is>
          <t>Goldmine Jura Blue Mosaic Tiles</t>
        </is>
      </c>
      <c r="D1602" s="1" t="inlineStr">
        <is>
          <t>327x327x4mm</t>
        </is>
      </c>
      <c r="E1602" s="1" t="n">
        <v>11.95</v>
      </c>
      <c r="F1602" s="1" t="n">
        <v>0</v>
      </c>
      <c r="G1602" s="1" t="inlineStr">
        <is>
          <t>Sheet</t>
        </is>
      </c>
      <c r="H1602" s="1" t="inlineStr">
        <is>
          <t>Glass</t>
        </is>
      </c>
      <c r="I1602" s="1" t="inlineStr">
        <is>
          <t>Semi-Polished</t>
        </is>
      </c>
      <c r="J1602" t="inlineStr">
        <is>
          <t>In Stock</t>
        </is>
      </c>
      <c r="K1602" t="inlineStr">
        <is>
          <t>In Stock</t>
        </is>
      </c>
      <c r="L1602" t="inlineStr">
        <is>
          <t>In Stock</t>
        </is>
      </c>
    </row>
    <row r="1603">
      <c r="A1603" s="1">
        <f>Hyperlink("https://www.wallsandfloors.co.uk/goldmine-glass-mosaics-tiles-barra-tiles","Product")</f>
        <v/>
      </c>
      <c r="B1603" s="1" t="inlineStr">
        <is>
          <t>8813</t>
        </is>
      </c>
      <c r="C1603" s="1" t="inlineStr">
        <is>
          <t>Goldmine Barra Blue and Green Mosaic Tiles</t>
        </is>
      </c>
      <c r="D1603" s="1" t="inlineStr">
        <is>
          <t>327x327x4mm</t>
        </is>
      </c>
      <c r="E1603" s="1" t="n">
        <v>11.95</v>
      </c>
      <c r="F1603" s="1" t="n">
        <v>0</v>
      </c>
      <c r="G1603" s="1" t="inlineStr">
        <is>
          <t>Sheet</t>
        </is>
      </c>
      <c r="H1603" s="1" t="inlineStr">
        <is>
          <t>Glass</t>
        </is>
      </c>
      <c r="I1603" s="1" t="inlineStr">
        <is>
          <t>Semi-Polished</t>
        </is>
      </c>
      <c r="J1603" t="inlineStr"/>
      <c r="K1603" t="inlineStr">
        <is>
          <t>In Stock</t>
        </is>
      </c>
      <c r="L1603" t="inlineStr">
        <is>
          <t>In Stock</t>
        </is>
      </c>
    </row>
    <row r="1604">
      <c r="A1604" s="1">
        <f>Hyperlink("https://www.wallsandfloors.co.uk/goldmine-glass-mosaics-tiles-arran-tiles","Product")</f>
        <v/>
      </c>
      <c r="B1604" s="1" t="inlineStr">
        <is>
          <t>8812</t>
        </is>
      </c>
      <c r="C1604" s="1" t="inlineStr">
        <is>
          <t>Goldmine Arran Aqua Mosaic Tiles</t>
        </is>
      </c>
      <c r="D1604" s="1" t="inlineStr">
        <is>
          <t>327x327x4mm</t>
        </is>
      </c>
      <c r="E1604" s="1" t="n">
        <v>11.95</v>
      </c>
      <c r="F1604" s="1" t="n">
        <v>0</v>
      </c>
      <c r="G1604" s="1" t="inlineStr">
        <is>
          <t>Sheet</t>
        </is>
      </c>
      <c r="H1604" s="1" t="inlineStr">
        <is>
          <t>Glass</t>
        </is>
      </c>
      <c r="I1604" s="1" t="inlineStr">
        <is>
          <t>Semi-Polished</t>
        </is>
      </c>
      <c r="J1604" t="inlineStr">
        <is>
          <t>In Stock</t>
        </is>
      </c>
      <c r="K1604" t="inlineStr">
        <is>
          <t>In Stock</t>
        </is>
      </c>
      <c r="L1604" t="inlineStr">
        <is>
          <t>In Stock</t>
        </is>
      </c>
    </row>
    <row r="1605">
      <c r="A1605" s="1">
        <f>Hyperlink("https://www.wallsandfloors.co.uk/gloss-elephant-castle-smooth-200x100-tiles","Product")</f>
        <v/>
      </c>
      <c r="B1605" s="1" t="inlineStr">
        <is>
          <t>44443</t>
        </is>
      </c>
      <c r="C1605" s="1" t="inlineStr">
        <is>
          <t>London Bridge Gloss Grey Flat Metro Tiles</t>
        </is>
      </c>
      <c r="D1605" s="1" t="inlineStr">
        <is>
          <t>200x100x7mm</t>
        </is>
      </c>
      <c r="E1605" s="1" t="n">
        <v>20.95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Gloss</t>
        </is>
      </c>
      <c r="J1605" t="inlineStr"/>
      <c r="K1605" t="n">
        <v>714</v>
      </c>
      <c r="L1605" t="n">
        <v>714</v>
      </c>
    </row>
    <row r="1606">
      <c r="A1606" s="1">
        <f>Hyperlink("https://www.wallsandfloors.co.uk/gloss-carrara-marble-effect-80x80-tiles","Product")</f>
        <v/>
      </c>
      <c r="B1606" s="1" t="inlineStr">
        <is>
          <t>40659</t>
        </is>
      </c>
      <c r="C1606" s="1" t="inlineStr">
        <is>
          <t>Cappella Gloss Carrara Marble Effect Tiles</t>
        </is>
      </c>
      <c r="D1606" s="1" t="inlineStr">
        <is>
          <t>800x800x10mm</t>
        </is>
      </c>
      <c r="E1606" s="1" t="n">
        <v>27.95</v>
      </c>
      <c r="F1606" s="1" t="n">
        <v>0</v>
      </c>
      <c r="G1606" s="1" t="inlineStr">
        <is>
          <t>SQM</t>
        </is>
      </c>
      <c r="H1606" s="1" t="inlineStr">
        <is>
          <t>Porcelain</t>
        </is>
      </c>
      <c r="I1606" s="1" t="inlineStr">
        <is>
          <t>Polished</t>
        </is>
      </c>
      <c r="J1606" t="inlineStr">
        <is>
          <t>Out of Stock</t>
        </is>
      </c>
      <c r="K1606" t="inlineStr">
        <is>
          <t>Out of Stock</t>
        </is>
      </c>
      <c r="L1606" t="inlineStr">
        <is>
          <t>Out of Stock</t>
        </is>
      </c>
    </row>
    <row r="1607">
      <c r="A1607" s="1">
        <f>Hyperlink("https://www.wallsandfloors.co.uk/gloss-200x100-manor-house-blue-smooth-metro-tiles","Product")</f>
        <v/>
      </c>
      <c r="B1607" s="1" t="inlineStr">
        <is>
          <t>44303</t>
        </is>
      </c>
      <c r="C1607" s="1" t="inlineStr">
        <is>
          <t>Manor House Gloss Blue Flat Metro Tiles</t>
        </is>
      </c>
      <c r="D1607" s="1" t="inlineStr">
        <is>
          <t>200x100x7mm</t>
        </is>
      </c>
      <c r="E1607" s="1" t="n">
        <v>23.95</v>
      </c>
      <c r="F1607" s="1" t="n">
        <v>0</v>
      </c>
      <c r="G1607" s="1" t="inlineStr">
        <is>
          <t>SQM</t>
        </is>
      </c>
      <c r="H1607" s="1" t="inlineStr">
        <is>
          <t>Ceramic</t>
        </is>
      </c>
      <c r="I1607" s="1" t="inlineStr">
        <is>
          <t>Gloss</t>
        </is>
      </c>
      <c r="J1607" t="n">
        <v>247</v>
      </c>
      <c r="K1607" t="inlineStr"/>
      <c r="L1607" t="n">
        <v>247</v>
      </c>
    </row>
    <row r="1608">
      <c r="A1608" s="1">
        <f>Hyperlink("https://www.wallsandfloors.co.uk/gorgon-tiles-sthenno-floor-tiles","Product")</f>
        <v/>
      </c>
      <c r="B1608" s="1" t="inlineStr">
        <is>
          <t>12993</t>
        </is>
      </c>
      <c r="C1608" s="1" t="inlineStr">
        <is>
          <t>Gorgon Sthenno Travertine Effect Floor Tiles</t>
        </is>
      </c>
      <c r="D1608" s="1" t="inlineStr">
        <is>
          <t>450x450x8mm</t>
        </is>
      </c>
      <c r="E1608" s="1" t="n">
        <v>15.95</v>
      </c>
      <c r="F1608" s="1" t="n">
        <v>0</v>
      </c>
      <c r="G1608" s="1" t="inlineStr">
        <is>
          <t>SQM</t>
        </is>
      </c>
      <c r="H1608" s="1" t="inlineStr">
        <is>
          <t>Ceramic</t>
        </is>
      </c>
      <c r="I1608" s="1" t="inlineStr">
        <is>
          <t>Matt</t>
        </is>
      </c>
      <c r="J1608" t="inlineStr"/>
      <c r="K1608" t="inlineStr">
        <is>
          <t>Out of Stock</t>
        </is>
      </c>
      <c r="L1608" t="inlineStr">
        <is>
          <t>Out of Stock</t>
        </is>
      </c>
    </row>
    <row r="1609">
      <c r="A1609" s="1">
        <f>Hyperlink("https://www.wallsandfloors.co.uk/glitzz-mix-mosaic-tiles","Product")</f>
        <v/>
      </c>
      <c r="B1609" s="1" t="inlineStr">
        <is>
          <t>37307</t>
        </is>
      </c>
      <c r="C1609" s="1" t="inlineStr">
        <is>
          <t>Glitzz Mix Mosaic Tiles</t>
        </is>
      </c>
      <c r="D1609" s="1" t="inlineStr">
        <is>
          <t>290x290x8mm</t>
        </is>
      </c>
      <c r="E1609" s="1" t="n">
        <v>5.65</v>
      </c>
      <c r="F1609" s="1" t="n">
        <v>0</v>
      </c>
      <c r="G1609" s="1" t="inlineStr">
        <is>
          <t>Sheet</t>
        </is>
      </c>
      <c r="H1609" s="1" t="inlineStr">
        <is>
          <t>Glass</t>
        </is>
      </c>
      <c r="I1609" s="1" t="inlineStr">
        <is>
          <t>Gloss</t>
        </is>
      </c>
      <c r="J1609" t="n">
        <v>31</v>
      </c>
      <c r="K1609" t="inlineStr"/>
      <c r="L1609" t="n">
        <v>31</v>
      </c>
    </row>
    <row r="1610">
      <c r="A1610" s="1">
        <f>Hyperlink("https://www.wallsandfloors.co.uk/glistening-mosaic-tiles-ivory-mix-tiles","Product")</f>
        <v/>
      </c>
      <c r="B1610" s="1" t="inlineStr">
        <is>
          <t>11292</t>
        </is>
      </c>
      <c r="C1610" s="1" t="inlineStr">
        <is>
          <t>Glistening Ivory Mix Mosaic Tiles</t>
        </is>
      </c>
      <c r="D1610" s="1" t="inlineStr">
        <is>
          <t>300x300x7mm</t>
        </is>
      </c>
      <c r="E1610" s="1" t="n">
        <v>6.15</v>
      </c>
      <c r="F1610" s="1" t="n">
        <v>0</v>
      </c>
      <c r="G1610" s="1" t="inlineStr">
        <is>
          <t>Sheet</t>
        </is>
      </c>
      <c r="H1610" s="1" t="inlineStr">
        <is>
          <t>Glass</t>
        </is>
      </c>
      <c r="I1610" s="1" t="inlineStr">
        <is>
          <t>Iridescent</t>
        </is>
      </c>
      <c r="J1610" t="n">
        <v>15</v>
      </c>
      <c r="K1610" t="n">
        <v>15</v>
      </c>
      <c r="L1610" t="n">
        <v>15</v>
      </c>
    </row>
    <row r="1611">
      <c r="A1611" s="1">
        <f>Hyperlink("https://www.wallsandfloors.co.uk/glass-brick-mosaic-tiles-starlight-white-tiles","Product")</f>
        <v/>
      </c>
      <c r="B1611" s="1" t="inlineStr">
        <is>
          <t>320</t>
        </is>
      </c>
      <c r="C1611" s="1" t="inlineStr">
        <is>
          <t>Glass Brick Starlight White Mosaic Tiles</t>
        </is>
      </c>
      <c r="D1611" s="1" t="inlineStr">
        <is>
          <t>320x310x8mm</t>
        </is>
      </c>
      <c r="E1611" s="1" t="n">
        <v>4.8</v>
      </c>
      <c r="F1611" s="1" t="n">
        <v>0</v>
      </c>
      <c r="G1611" s="1" t="inlineStr">
        <is>
          <t>Sheet</t>
        </is>
      </c>
      <c r="H1611" s="1" t="inlineStr">
        <is>
          <t>Glass</t>
        </is>
      </c>
      <c r="I1611" s="1" t="inlineStr">
        <is>
          <t>Matt</t>
        </is>
      </c>
      <c r="J1611" t="n">
        <v>23</v>
      </c>
      <c r="K1611" t="n">
        <v>23</v>
      </c>
      <c r="L1611" t="n">
        <v>23</v>
      </c>
    </row>
    <row r="1612">
      <c r="A1612" s="1">
        <f>Hyperlink("https://www.wallsandfloors.co.uk/glass-brick-mosaic-tiles-smoke-grey-tiles","Product")</f>
        <v/>
      </c>
      <c r="B1612" s="1" t="inlineStr">
        <is>
          <t>310</t>
        </is>
      </c>
      <c r="C1612" s="1" t="inlineStr">
        <is>
          <t>Glass Brick Smoke Grey Mosaic Tiles</t>
        </is>
      </c>
      <c r="D1612" s="1" t="inlineStr">
        <is>
          <t>320x310x8mm</t>
        </is>
      </c>
      <c r="E1612" s="1" t="n">
        <v>4.65</v>
      </c>
      <c r="F1612" s="1" t="n">
        <v>0</v>
      </c>
      <c r="G1612" s="1" t="inlineStr">
        <is>
          <t>Sheet</t>
        </is>
      </c>
      <c r="H1612" s="1" t="inlineStr">
        <is>
          <t>Glass</t>
        </is>
      </c>
      <c r="I1612" s="1" t="inlineStr">
        <is>
          <t>Matt</t>
        </is>
      </c>
      <c r="J1612" t="n">
        <v>10</v>
      </c>
      <c r="K1612" t="inlineStr"/>
      <c r="L1612" t="n">
        <v>10</v>
      </c>
    </row>
    <row r="1613">
      <c r="A1613" s="1">
        <f>Hyperlink("https://www.wallsandfloors.co.uk/glass-brick-mosaic-tiles-sapphire-blue-tiles","Product")</f>
        <v/>
      </c>
      <c r="B1613" s="1" t="inlineStr">
        <is>
          <t>304</t>
        </is>
      </c>
      <c r="C1613" s="1" t="inlineStr">
        <is>
          <t>Glass Brick Sapphire Blue Mosaic Tiles</t>
        </is>
      </c>
      <c r="D1613" s="1" t="inlineStr">
        <is>
          <t>320x310x8mm</t>
        </is>
      </c>
      <c r="E1613" s="1" t="n">
        <v>4.65</v>
      </c>
      <c r="F1613" s="1" t="n">
        <v>0</v>
      </c>
      <c r="G1613" s="1" t="inlineStr">
        <is>
          <t>Sheet</t>
        </is>
      </c>
      <c r="H1613" s="1" t="inlineStr">
        <is>
          <t>Glass</t>
        </is>
      </c>
      <c r="I1613" s="1" t="inlineStr">
        <is>
          <t>Matt</t>
        </is>
      </c>
      <c r="J1613" t="inlineStr"/>
      <c r="K1613" t="n">
        <v>8</v>
      </c>
      <c r="L1613" t="n">
        <v>8</v>
      </c>
    </row>
    <row r="1614">
      <c r="A1614" s="1">
        <f>Hyperlink("https://www.wallsandfloors.co.uk/glass-brick-mosaic-tiles-blue-mix-tiles","Product")</f>
        <v/>
      </c>
      <c r="B1614" s="1" t="inlineStr">
        <is>
          <t>6882</t>
        </is>
      </c>
      <c r="C1614" s="1" t="inlineStr">
        <is>
          <t>Glass Brick Blue Mix Mosaic Tiles</t>
        </is>
      </c>
      <c r="D1614" s="1" t="inlineStr">
        <is>
          <t>300x300x8mm</t>
        </is>
      </c>
      <c r="E1614" s="1" t="n">
        <v>4.95</v>
      </c>
      <c r="F1614" s="1" t="n">
        <v>0</v>
      </c>
      <c r="G1614" s="1" t="inlineStr">
        <is>
          <t>Sheet</t>
        </is>
      </c>
      <c r="H1614" s="1" t="inlineStr">
        <is>
          <t>Glass</t>
        </is>
      </c>
      <c r="I1614" s="1" t="inlineStr">
        <is>
          <t>Gloss</t>
        </is>
      </c>
      <c r="J1614" t="n">
        <v>14</v>
      </c>
      <c r="K1614" t="n">
        <v>14</v>
      </c>
      <c r="L1614" t="n">
        <v>14</v>
      </c>
    </row>
    <row r="1615">
      <c r="A1615" s="1">
        <f>Hyperlink("https://www.wallsandfloors.co.uk/glass-brick-mosaic-tiles-black-mix-tiles","Product")</f>
        <v/>
      </c>
      <c r="B1615" s="1" t="inlineStr">
        <is>
          <t>6881</t>
        </is>
      </c>
      <c r="C1615" s="1" t="inlineStr">
        <is>
          <t>Glass Brick Black Mix Mosaic Tiles</t>
        </is>
      </c>
      <c r="D1615" s="1" t="inlineStr">
        <is>
          <t>300x300x8mm</t>
        </is>
      </c>
      <c r="E1615" s="1" t="n">
        <v>4.8</v>
      </c>
      <c r="F1615" s="1" t="n">
        <v>0</v>
      </c>
      <c r="G1615" s="1" t="inlineStr">
        <is>
          <t>Sheet</t>
        </is>
      </c>
      <c r="H1615" s="1" t="inlineStr">
        <is>
          <t>Glass</t>
        </is>
      </c>
      <c r="I1615" s="1" t="inlineStr">
        <is>
          <t>Gloss</t>
        </is>
      </c>
      <c r="J1615" t="n">
        <v>15</v>
      </c>
      <c r="K1615" t="n">
        <v>15</v>
      </c>
      <c r="L1615" t="n">
        <v>15</v>
      </c>
    </row>
    <row r="1616">
      <c r="A1616" s="1">
        <f>Hyperlink("https://www.wallsandfloors.co.uk/gea-linen-tiles","Product")</f>
        <v/>
      </c>
      <c r="B1616" s="1" t="inlineStr">
        <is>
          <t>44224</t>
        </is>
      </c>
      <c r="C1616" s="1" t="inlineStr">
        <is>
          <t>Gea Linen Tiles</t>
        </is>
      </c>
      <c r="D1616" s="1" t="inlineStr">
        <is>
          <t>121x121x8.5mm</t>
        </is>
      </c>
      <c r="E1616" s="1" t="n">
        <v>40.95</v>
      </c>
      <c r="F1616" s="1" t="n">
        <v>0</v>
      </c>
      <c r="G1616" s="1" t="inlineStr">
        <is>
          <t>SQM</t>
        </is>
      </c>
      <c r="H1616" s="1" t="inlineStr">
        <is>
          <t>Porcelain</t>
        </is>
      </c>
      <c r="I1616" s="1" t="inlineStr">
        <is>
          <t>Matt</t>
        </is>
      </c>
      <c r="J1616" t="inlineStr"/>
      <c r="K1616" t="inlineStr"/>
      <c r="L1616" t="inlineStr">
        <is>
          <t>In Stock</t>
        </is>
      </c>
    </row>
    <row r="1617">
      <c r="A1617" s="1">
        <f>Hyperlink("https://www.wallsandfloors.co.uk/gea-grey-tiles","Product")</f>
        <v/>
      </c>
      <c r="B1617" s="1" t="inlineStr">
        <is>
          <t>44225</t>
        </is>
      </c>
      <c r="C1617" s="1" t="inlineStr">
        <is>
          <t>Gea Grey Tiles</t>
        </is>
      </c>
      <c r="D1617" s="1" t="inlineStr">
        <is>
          <t>121x121x8.5mm</t>
        </is>
      </c>
      <c r="E1617" s="1" t="n">
        <v>40.95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inlineStr"/>
      <c r="K1617" t="n">
        <v>83</v>
      </c>
      <c r="L1617" t="n">
        <v>83</v>
      </c>
    </row>
    <row r="1618">
      <c r="A1618" s="1">
        <f>Hyperlink("https://www.wallsandfloors.co.uk/gea-charcoal-tiles","Product")</f>
        <v/>
      </c>
      <c r="B1618" s="1" t="inlineStr">
        <is>
          <t>44226</t>
        </is>
      </c>
      <c r="C1618" s="1" t="inlineStr">
        <is>
          <t>Gea Charcoal Tiles</t>
        </is>
      </c>
      <c r="D1618" s="1" t="inlineStr">
        <is>
          <t>121x121x8.5mm</t>
        </is>
      </c>
      <c r="E1618" s="1" t="n">
        <v>40.95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109</v>
      </c>
      <c r="K1618" t="n">
        <v>109</v>
      </c>
      <c r="L1618" t="n">
        <v>109</v>
      </c>
    </row>
    <row r="1619">
      <c r="A1619" s="1">
        <f>Hyperlink("https://www.wallsandfloors.co.uk/gea-carved-linen-tiles","Product")</f>
        <v/>
      </c>
      <c r="B1619" s="1" t="inlineStr">
        <is>
          <t>44227</t>
        </is>
      </c>
      <c r="C1619" s="1" t="inlineStr">
        <is>
          <t>Gea Carved Linen Tiles</t>
        </is>
      </c>
      <c r="D1619" s="1" t="inlineStr">
        <is>
          <t>121x121x8.5mm</t>
        </is>
      </c>
      <c r="E1619" s="1" t="n">
        <v>43.95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Matt</t>
        </is>
      </c>
      <c r="J1619" t="inlineStr"/>
      <c r="K1619" t="inlineStr">
        <is>
          <t>In Stock</t>
        </is>
      </c>
      <c r="L1619" t="inlineStr">
        <is>
          <t>In Stock</t>
        </is>
      </c>
    </row>
    <row r="1620">
      <c r="A1620" s="1">
        <f>Hyperlink("https://www.wallsandfloors.co.uk/glistening-mosaic-tiles-red-mix-tiles","Product")</f>
        <v/>
      </c>
      <c r="B1620" s="1" t="inlineStr">
        <is>
          <t>11291</t>
        </is>
      </c>
      <c r="C1620" s="1" t="inlineStr">
        <is>
          <t>Glistening Red Mix Mosaic Tiles</t>
        </is>
      </c>
      <c r="D1620" s="1" t="inlineStr">
        <is>
          <t>300x300x7mm</t>
        </is>
      </c>
      <c r="E1620" s="1" t="n">
        <v>6.15</v>
      </c>
      <c r="F1620" s="1" t="n">
        <v>0</v>
      </c>
      <c r="G1620" s="1" t="inlineStr">
        <is>
          <t>Sheet</t>
        </is>
      </c>
      <c r="H1620" s="1" t="inlineStr">
        <is>
          <t>Glass</t>
        </is>
      </c>
      <c r="I1620" s="1" t="inlineStr">
        <is>
          <t>Iridescent</t>
        </is>
      </c>
      <c r="J1620" t="n">
        <v>20</v>
      </c>
      <c r="K1620" t="n">
        <v>20</v>
      </c>
      <c r="L1620" t="n">
        <v>20</v>
      </c>
    </row>
    <row r="1621">
      <c r="A1621" s="1">
        <f>Hyperlink("https://www.wallsandfloors.co.uk/gosford-tiles-beige-panel-tiles","Product")</f>
        <v/>
      </c>
      <c r="B1621" s="1" t="inlineStr">
        <is>
          <t>12460</t>
        </is>
      </c>
      <c r="C1621" s="1" t="inlineStr">
        <is>
          <t>Gosford Beige Panel Tiles</t>
        </is>
      </c>
      <c r="D1621" s="1" t="inlineStr">
        <is>
          <t>285x285x8mm</t>
        </is>
      </c>
      <c r="E1621" s="1" t="n">
        <v>18.95</v>
      </c>
      <c r="F1621" s="1" t="n">
        <v>0</v>
      </c>
      <c r="G1621" s="1" t="inlineStr">
        <is>
          <t>Sheet</t>
        </is>
      </c>
      <c r="H1621" s="1" t="inlineStr">
        <is>
          <t>Porcelain</t>
        </is>
      </c>
      <c r="I1621" s="1" t="inlineStr">
        <is>
          <t>Matt</t>
        </is>
      </c>
      <c r="J1621" t="inlineStr">
        <is>
          <t>In Stock</t>
        </is>
      </c>
      <c r="K1621" t="inlineStr">
        <is>
          <t>In Stock</t>
        </is>
      </c>
      <c r="L1621" t="inlineStr">
        <is>
          <t>In Stock</t>
        </is>
      </c>
    </row>
    <row r="1622">
      <c r="A1622" s="1">
        <f>Hyperlink("https://www.wallsandfloors.co.uk/gosford-tiles-beige-plain-tiles","Product")</f>
        <v/>
      </c>
      <c r="B1622" s="1" t="inlineStr">
        <is>
          <t>12991</t>
        </is>
      </c>
      <c r="C1622" s="1" t="inlineStr">
        <is>
          <t>Gosford Beige Plain Tiles</t>
        </is>
      </c>
      <c r="D1622" s="1" t="inlineStr">
        <is>
          <t>93x93x8mm</t>
        </is>
      </c>
      <c r="E1622" s="1" t="n">
        <v>100.95</v>
      </c>
      <c r="F1622" s="1" t="n">
        <v>0</v>
      </c>
      <c r="G1622" s="1" t="inlineStr">
        <is>
          <t>SQM</t>
        </is>
      </c>
      <c r="H1622" s="1" t="inlineStr">
        <is>
          <t>Porcelain</t>
        </is>
      </c>
      <c r="I1622" s="1" t="inlineStr">
        <is>
          <t>Matt</t>
        </is>
      </c>
      <c r="J1622" t="inlineStr">
        <is>
          <t>In Stock</t>
        </is>
      </c>
      <c r="K1622" t="inlineStr">
        <is>
          <t>In Stock</t>
        </is>
      </c>
      <c r="L1622" t="inlineStr">
        <is>
          <t>In Stock</t>
        </is>
      </c>
    </row>
    <row r="1623">
      <c r="A1623" s="1">
        <f>Hyperlink("https://www.wallsandfloors.co.uk/gosford-tiles-black-white-border-tiles","Product")</f>
        <v/>
      </c>
      <c r="B1623" s="1" t="inlineStr">
        <is>
          <t>11101</t>
        </is>
      </c>
      <c r="C1623" s="1" t="inlineStr">
        <is>
          <t>Gosford Black and White Border Tiles</t>
        </is>
      </c>
      <c r="D1623" s="1" t="inlineStr">
        <is>
          <t>285x95x9mm</t>
        </is>
      </c>
      <c r="E1623" s="1" t="n">
        <v>13.95</v>
      </c>
      <c r="F1623" s="1" t="n">
        <v>0</v>
      </c>
      <c r="G1623" s="1" t="inlineStr">
        <is>
          <t>Tile</t>
        </is>
      </c>
      <c r="H1623" s="1" t="inlineStr">
        <is>
          <t>Porcelain</t>
        </is>
      </c>
      <c r="I1623" s="1" t="inlineStr">
        <is>
          <t>Matt</t>
        </is>
      </c>
      <c r="J1623" t="inlineStr">
        <is>
          <t>In Stock</t>
        </is>
      </c>
      <c r="K1623" t="inlineStr"/>
      <c r="L1623" t="inlineStr">
        <is>
          <t>In Stock</t>
        </is>
      </c>
    </row>
    <row r="1624">
      <c r="A1624" s="1">
        <f>Hyperlink("https://www.wallsandfloors.co.uk/grey-kinder-60x60-tiles","Product")</f>
        <v/>
      </c>
      <c r="B1624" s="1" t="inlineStr">
        <is>
          <t>15660</t>
        </is>
      </c>
      <c r="C1624" s="1" t="inlineStr">
        <is>
          <t>Rebus Grey Kinder Tiles</t>
        </is>
      </c>
      <c r="D1624" s="1" t="inlineStr">
        <is>
          <t>600x600x10mm</t>
        </is>
      </c>
      <c r="E1624" s="1" t="n">
        <v>29.09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Matt</t>
        </is>
      </c>
      <c r="J1624" t="inlineStr"/>
      <c r="K1624" t="inlineStr">
        <is>
          <t>Out of Stock</t>
        </is>
      </c>
      <c r="L1624" t="inlineStr">
        <is>
          <t>Out of Stock</t>
        </is>
      </c>
    </row>
    <row r="1625">
      <c r="A1625" s="1">
        <f>Hyperlink("https://www.wallsandfloors.co.uk/grey-kinder-40x80-tiles","Product")</f>
        <v/>
      </c>
      <c r="B1625" s="1" t="inlineStr">
        <is>
          <t>15180</t>
        </is>
      </c>
      <c r="C1625" s="1" t="inlineStr">
        <is>
          <t>Grey Kinder Tiles</t>
        </is>
      </c>
      <c r="D1625" s="1" t="inlineStr">
        <is>
          <t>800x400x10mm</t>
        </is>
      </c>
      <c r="E1625" s="1" t="n">
        <v>31.54</v>
      </c>
      <c r="F1625" s="1" t="n">
        <v>0</v>
      </c>
      <c r="G1625" s="1" t="inlineStr">
        <is>
          <t>SQM</t>
        </is>
      </c>
      <c r="H1625" s="1" t="inlineStr">
        <is>
          <t>Porcelain</t>
        </is>
      </c>
      <c r="I1625" s="1" t="inlineStr">
        <is>
          <t>Matt</t>
        </is>
      </c>
      <c r="J1625" t="n">
        <v>48</v>
      </c>
      <c r="K1625" t="n">
        <v>48</v>
      </c>
      <c r="L1625" t="n">
        <v>48</v>
      </c>
    </row>
    <row r="1626">
      <c r="A1626" s="1">
        <f>Hyperlink("https://www.wallsandfloors.co.uk/grey-910x153-anti-slip-tiles","Product")</f>
        <v/>
      </c>
      <c r="B1626" s="1" t="inlineStr">
        <is>
          <t>36535</t>
        </is>
      </c>
      <c r="C1626" s="1" t="inlineStr">
        <is>
          <t>Muniellos Grey Anti-Slip Wood Effect Tiles</t>
        </is>
      </c>
      <c r="D1626" s="1" t="inlineStr">
        <is>
          <t>900x150x10.5mm</t>
        </is>
      </c>
      <c r="E1626" s="1" t="n">
        <v>33.95</v>
      </c>
      <c r="F1626" s="1" t="n">
        <v>0</v>
      </c>
      <c r="G1626" s="1" t="inlineStr">
        <is>
          <t>SQM</t>
        </is>
      </c>
      <c r="H1626" s="1" t="inlineStr">
        <is>
          <t>Porcelain</t>
        </is>
      </c>
      <c r="I1626" s="1" t="inlineStr">
        <is>
          <t>Matt</t>
        </is>
      </c>
      <c r="J1626" t="inlineStr"/>
      <c r="K1626" t="inlineStr"/>
      <c r="L1626" t="n">
        <v>369</v>
      </c>
    </row>
    <row r="1627">
      <c r="A1627" s="1">
        <f>Hyperlink("https://www.wallsandfloors.co.uk/grey-55x33-wall-tiles","Product")</f>
        <v/>
      </c>
      <c r="B1627" s="1" t="inlineStr">
        <is>
          <t>37986</t>
        </is>
      </c>
      <c r="C1627" s="1" t="inlineStr">
        <is>
          <t>Grey Wall Tiles</t>
        </is>
      </c>
      <c r="D1627" s="1" t="inlineStr">
        <is>
          <t>550x330x8mm</t>
        </is>
      </c>
      <c r="E1627" s="1" t="n">
        <v>10.95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Satin</t>
        </is>
      </c>
      <c r="J1627" t="inlineStr"/>
      <c r="K1627" t="inlineStr">
        <is>
          <t>Out of Stock</t>
        </is>
      </c>
      <c r="L1627" t="inlineStr">
        <is>
          <t>Out of Stock</t>
        </is>
      </c>
    </row>
    <row r="1628">
      <c r="A1628" s="1">
        <f>Hyperlink("https://www.wallsandfloors.co.uk/green-triangle-70x70x100mm-tiles","Product")</f>
        <v/>
      </c>
      <c r="B1628" s="1" t="inlineStr">
        <is>
          <t>990194</t>
        </is>
      </c>
      <c r="C1628" s="1" t="inlineStr">
        <is>
          <t>Green Triangle 70x70x100mm Tiles</t>
        </is>
      </c>
      <c r="D1628" s="1" t="inlineStr">
        <is>
          <t>70x70x100mm</t>
        </is>
      </c>
      <c r="E1628" s="1" t="n">
        <v>3.38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233</v>
      </c>
      <c r="K1628" t="n">
        <v>233</v>
      </c>
      <c r="L1628" t="n">
        <v>233</v>
      </c>
    </row>
    <row r="1629">
      <c r="A1629" s="1">
        <f>Hyperlink("https://www.wallsandfloors.co.uk/green-triangle-35x35x50mm-tiles","Product")</f>
        <v/>
      </c>
      <c r="B1629" s="1" t="inlineStr">
        <is>
          <t>990145</t>
        </is>
      </c>
      <c r="C1629" s="1" t="inlineStr">
        <is>
          <t>Green Triangle 35x35x50mm Tiles</t>
        </is>
      </c>
      <c r="D1629" s="1" t="inlineStr">
        <is>
          <t>35x35x50mm</t>
        </is>
      </c>
      <c r="E1629" s="1" t="n">
        <v>1.76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804</v>
      </c>
      <c r="K1629" t="n">
        <v>804</v>
      </c>
      <c r="L1629" t="n">
        <v>804</v>
      </c>
    </row>
    <row r="1630">
      <c r="A1630" s="1">
        <f>Hyperlink("https://www.wallsandfloors.co.uk/green-triangle-100x100x140mm-tiles","Product")</f>
        <v/>
      </c>
      <c r="B1630" s="1" t="inlineStr">
        <is>
          <t>990219</t>
        </is>
      </c>
      <c r="C1630" s="1" t="inlineStr">
        <is>
          <t>Green Triangle Tiles</t>
        </is>
      </c>
      <c r="D1630" s="1" t="inlineStr">
        <is>
          <t>100x100x1400mm</t>
        </is>
      </c>
      <c r="E1630" s="1" t="n">
        <v>4.46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n">
        <v>34</v>
      </c>
      <c r="K1630" t="n">
        <v>34</v>
      </c>
      <c r="L1630" t="n">
        <v>34</v>
      </c>
    </row>
    <row r="1631">
      <c r="A1631" s="1">
        <f>Hyperlink("https://www.wallsandfloors.co.uk/green-strip-150x50mm-tiles","Product")</f>
        <v/>
      </c>
      <c r="B1631" s="1" t="inlineStr">
        <is>
          <t>990269</t>
        </is>
      </c>
      <c r="C1631" s="1" t="inlineStr">
        <is>
          <t>Green Strip Tiles</t>
        </is>
      </c>
      <c r="D1631" s="1" t="inlineStr">
        <is>
          <t>150x50x9-10mm</t>
        </is>
      </c>
      <c r="E1631" s="1" t="n">
        <v>3.2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150</v>
      </c>
      <c r="K1631" t="n">
        <v>150</v>
      </c>
      <c r="L1631" t="n">
        <v>150</v>
      </c>
    </row>
    <row r="1632">
      <c r="A1632" s="1">
        <f>Hyperlink("https://www.wallsandfloors.co.uk/green-strip-150x25mm-tiles","Product")</f>
        <v/>
      </c>
      <c r="B1632" s="1" t="inlineStr">
        <is>
          <t>990244</t>
        </is>
      </c>
      <c r="C1632" s="1" t="inlineStr">
        <is>
          <t>Green Strip Tiles</t>
        </is>
      </c>
      <c r="D1632" s="1" t="inlineStr">
        <is>
          <t>150x25x9-10mm</t>
        </is>
      </c>
      <c r="E1632" s="1" t="n">
        <v>2.37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Matt</t>
        </is>
      </c>
      <c r="J1632" t="n">
        <v>183</v>
      </c>
      <c r="K1632" t="n">
        <v>183</v>
      </c>
      <c r="L1632" t="n">
        <v>183</v>
      </c>
    </row>
    <row r="1633">
      <c r="A1633" s="1">
        <f>Hyperlink("https://www.wallsandfloors.co.uk/green-squares-70mm-tiles","Product")</f>
        <v/>
      </c>
      <c r="B1633" s="1" t="inlineStr">
        <is>
          <t>990059</t>
        </is>
      </c>
      <c r="C1633" s="1" t="inlineStr">
        <is>
          <t>Green Squares 70mm Tiles</t>
        </is>
      </c>
      <c r="D1633" s="1" t="inlineStr">
        <is>
          <t>70x70x9-10mm</t>
        </is>
      </c>
      <c r="E1633" s="1" t="n">
        <v>0.85</v>
      </c>
      <c r="F1633" s="1" t="n">
        <v>0</v>
      </c>
      <c r="G1633" s="1" t="inlineStr">
        <is>
          <t>SQM</t>
        </is>
      </c>
      <c r="H1633" s="1" t="inlineStr">
        <is>
          <t>Porcelain</t>
        </is>
      </c>
      <c r="I1633" s="1" t="inlineStr">
        <is>
          <t>Matt</t>
        </is>
      </c>
      <c r="J1633" t="inlineStr"/>
      <c r="K1633" t="inlineStr"/>
      <c r="L1633" t="n">
        <v>42</v>
      </c>
    </row>
    <row r="1634">
      <c r="A1634" s="1">
        <f>Hyperlink("https://www.wallsandfloors.co.uk/green-squares-50mm-tiles","Product")</f>
        <v/>
      </c>
      <c r="B1634" s="1" t="inlineStr">
        <is>
          <t>990084</t>
        </is>
      </c>
      <c r="C1634" s="1" t="inlineStr">
        <is>
          <t>Green Squares 50mm Tiles</t>
        </is>
      </c>
      <c r="D1634" s="1" t="inlineStr">
        <is>
          <t>50x50x9-10mm</t>
        </is>
      </c>
      <c r="E1634" s="1" t="n">
        <v>1.3</v>
      </c>
      <c r="F1634" s="1" t="n">
        <v>0</v>
      </c>
      <c r="G1634" s="1" t="inlineStr">
        <is>
          <t>SQM</t>
        </is>
      </c>
      <c r="H1634" s="1" t="inlineStr">
        <is>
          <t>Porcelain</t>
        </is>
      </c>
      <c r="I1634" s="1" t="inlineStr">
        <is>
          <t>Matt</t>
        </is>
      </c>
      <c r="J1634" t="n">
        <v>898</v>
      </c>
      <c r="K1634" t="inlineStr"/>
      <c r="L1634" t="n">
        <v>898</v>
      </c>
    </row>
    <row r="1635">
      <c r="A1635" s="1">
        <f>Hyperlink("https://www.wallsandfloors.co.uk/green-octagon-150mm-tiles","Product")</f>
        <v/>
      </c>
      <c r="B1635" s="1" t="inlineStr">
        <is>
          <t>990131</t>
        </is>
      </c>
      <c r="C1635" s="1" t="inlineStr">
        <is>
          <t>Green Octagon Tiles</t>
        </is>
      </c>
      <c r="D1635" s="1" t="inlineStr">
        <is>
          <t>150x150x9-10mm</t>
        </is>
      </c>
      <c r="E1635" s="1" t="n">
        <v>2.66</v>
      </c>
      <c r="F1635" s="1" t="n">
        <v>0</v>
      </c>
      <c r="G1635" s="1" t="inlineStr">
        <is>
          <t>SQM</t>
        </is>
      </c>
      <c r="H1635" s="1" t="inlineStr">
        <is>
          <t>Porcelain</t>
        </is>
      </c>
      <c r="I1635" s="1" t="inlineStr">
        <is>
          <t>Matt</t>
        </is>
      </c>
      <c r="J1635" t="n">
        <v>27</v>
      </c>
      <c r="K1635" t="n">
        <v>27</v>
      </c>
      <c r="L1635" t="n">
        <v>27</v>
      </c>
    </row>
    <row r="1636">
      <c r="A1636" s="1">
        <f>Hyperlink("https://www.wallsandfloors.co.uk/grace-ornamental-glass-mosaic-tiles","Product")</f>
        <v/>
      </c>
      <c r="B1636" s="1" t="inlineStr">
        <is>
          <t>37258</t>
        </is>
      </c>
      <c r="C1636" s="1" t="inlineStr">
        <is>
          <t>Grace Ornamental Glass Mosaic Tiles</t>
        </is>
      </c>
      <c r="D1636" s="1" t="inlineStr">
        <is>
          <t>300x300x8mm</t>
        </is>
      </c>
      <c r="E1636" s="1" t="n">
        <v>8.5</v>
      </c>
      <c r="F1636" s="1" t="n">
        <v>0</v>
      </c>
      <c r="G1636" s="1" t="inlineStr">
        <is>
          <t>Sheet</t>
        </is>
      </c>
      <c r="H1636" s="1" t="inlineStr">
        <is>
          <t>Glass</t>
        </is>
      </c>
      <c r="I1636" s="1" t="inlineStr">
        <is>
          <t>Gloss</t>
        </is>
      </c>
      <c r="J1636" t="inlineStr">
        <is>
          <t>In Stock</t>
        </is>
      </c>
      <c r="K1636" t="inlineStr"/>
      <c r="L1636" t="inlineStr">
        <is>
          <t>In Stock</t>
        </is>
      </c>
    </row>
    <row r="1637">
      <c r="A1637" s="1">
        <f>Hyperlink("https://www.wallsandfloors.co.uk/gosford-tiles-yellow-panel-tiles","Product")</f>
        <v/>
      </c>
      <c r="B1637" s="1" t="inlineStr">
        <is>
          <t>12461</t>
        </is>
      </c>
      <c r="C1637" s="1" t="inlineStr">
        <is>
          <t>Gosford Yellow Panel Tiles</t>
        </is>
      </c>
      <c r="D1637" s="1" t="inlineStr">
        <is>
          <t>285x285x8mm</t>
        </is>
      </c>
      <c r="E1637" s="1" t="n">
        <v>10.75</v>
      </c>
      <c r="F1637" s="1" t="n">
        <v>0</v>
      </c>
      <c r="G1637" s="1" t="inlineStr">
        <is>
          <t>SQM</t>
        </is>
      </c>
      <c r="H1637" s="1" t="inlineStr">
        <is>
          <t>Porcelain</t>
        </is>
      </c>
      <c r="I1637" s="1" t="inlineStr">
        <is>
          <t>Matt</t>
        </is>
      </c>
      <c r="J1637" t="n">
        <v>2</v>
      </c>
      <c r="K1637" t="inlineStr"/>
      <c r="L1637" t="n">
        <v>2</v>
      </c>
    </row>
    <row r="1638">
      <c r="A1638" s="1">
        <f>Hyperlink("https://www.wallsandfloors.co.uk/gosford-tiles-red-panel-tiles","Product")</f>
        <v/>
      </c>
      <c r="B1638" s="1" t="inlineStr">
        <is>
          <t>12462</t>
        </is>
      </c>
      <c r="C1638" s="1" t="inlineStr">
        <is>
          <t>Gosford Red Panel Tiles</t>
        </is>
      </c>
      <c r="D1638" s="1" t="inlineStr">
        <is>
          <t>285x285x8mm</t>
        </is>
      </c>
      <c r="E1638" s="1" t="n">
        <v>18.95</v>
      </c>
      <c r="F1638" s="1" t="n">
        <v>0</v>
      </c>
      <c r="G1638" s="1" t="inlineStr"/>
      <c r="H1638" s="1" t="inlineStr">
        <is>
          <t>Porcelain</t>
        </is>
      </c>
      <c r="I1638" s="1" t="inlineStr">
        <is>
          <t>Matt</t>
        </is>
      </c>
      <c r="J1638" t="inlineStr">
        <is>
          <t>In Stock</t>
        </is>
      </c>
      <c r="K1638" t="inlineStr">
        <is>
          <t>In Stock</t>
        </is>
      </c>
      <c r="L1638" t="inlineStr">
        <is>
          <t>In Stock</t>
        </is>
      </c>
    </row>
    <row r="1639">
      <c r="A1639" s="1">
        <f>Hyperlink("https://www.wallsandfloors.co.uk/gosford-tiles-red-corner-tiles","Product")</f>
        <v/>
      </c>
      <c r="B1639" s="1" t="inlineStr">
        <is>
          <t>12464</t>
        </is>
      </c>
      <c r="C1639" s="1" t="inlineStr">
        <is>
          <t>Gosford Red Corner Tiles</t>
        </is>
      </c>
      <c r="D1639" s="1" t="inlineStr">
        <is>
          <t>120x95x9mm</t>
        </is>
      </c>
      <c r="E1639" s="1" t="n">
        <v>13.95</v>
      </c>
      <c r="F1639" s="1" t="n">
        <v>0</v>
      </c>
      <c r="G1639" s="1" t="inlineStr">
        <is>
          <t>Tile</t>
        </is>
      </c>
      <c r="H1639" s="1" t="inlineStr">
        <is>
          <t>Porcelain</t>
        </is>
      </c>
      <c r="I1639" s="1" t="inlineStr">
        <is>
          <t>Matt</t>
        </is>
      </c>
      <c r="J1639" t="inlineStr">
        <is>
          <t>In Stock</t>
        </is>
      </c>
      <c r="K1639" t="inlineStr">
        <is>
          <t>In Stock</t>
        </is>
      </c>
      <c r="L1639" t="inlineStr">
        <is>
          <t>In Stock</t>
        </is>
      </c>
    </row>
    <row r="1640">
      <c r="A1640" s="1">
        <f>Hyperlink("https://www.wallsandfloors.co.uk/gosford-tiles-red-border-tiles","Product")</f>
        <v/>
      </c>
      <c r="B1640" s="1" t="inlineStr">
        <is>
          <t>12463</t>
        </is>
      </c>
      <c r="C1640" s="1" t="inlineStr">
        <is>
          <t>Gosford Red Border Tiles</t>
        </is>
      </c>
      <c r="D1640" s="1" t="inlineStr">
        <is>
          <t>285x95x9mm</t>
        </is>
      </c>
      <c r="E1640" s="1" t="n">
        <v>12.95</v>
      </c>
      <c r="F1640" s="1" t="n">
        <v>0</v>
      </c>
      <c r="G1640" s="1" t="inlineStr">
        <is>
          <t>Tile</t>
        </is>
      </c>
      <c r="H1640" s="1" t="inlineStr">
        <is>
          <t>Porcelain</t>
        </is>
      </c>
      <c r="I1640" s="1" t="inlineStr">
        <is>
          <t>Matt</t>
        </is>
      </c>
      <c r="J1640" t="inlineStr"/>
      <c r="K1640" t="inlineStr">
        <is>
          <t>In Stock</t>
        </is>
      </c>
      <c r="L1640" t="inlineStr">
        <is>
          <t>In Stock</t>
        </is>
      </c>
    </row>
    <row r="1641">
      <c r="A1641" s="1">
        <f>Hyperlink("https://www.wallsandfloors.co.uk/gosford-tiles-plain-yellow-tiles","Product")</f>
        <v/>
      </c>
      <c r="B1641" s="1" t="inlineStr">
        <is>
          <t>13002</t>
        </is>
      </c>
      <c r="C1641" s="1" t="inlineStr">
        <is>
          <t>Gosford Plain Yellow Tiles</t>
        </is>
      </c>
      <c r="D1641" s="1" t="inlineStr">
        <is>
          <t>93x93x8mm</t>
        </is>
      </c>
      <c r="E1641" s="1" t="n">
        <v>100.95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Matt</t>
        </is>
      </c>
      <c r="J1641" t="inlineStr">
        <is>
          <t>In Stock</t>
        </is>
      </c>
      <c r="K1641" t="inlineStr">
        <is>
          <t>In Stock</t>
        </is>
      </c>
      <c r="L1641" t="inlineStr">
        <is>
          <t>In Stock</t>
        </is>
      </c>
    </row>
    <row r="1642">
      <c r="A1642" s="1">
        <f>Hyperlink("https://www.wallsandfloors.co.uk/gosford-tiles-plain-white-tiles","Product")</f>
        <v/>
      </c>
      <c r="B1642" s="1" t="inlineStr">
        <is>
          <t>12992</t>
        </is>
      </c>
      <c r="C1642" s="1" t="inlineStr">
        <is>
          <t>Gosford Plain White Tiles</t>
        </is>
      </c>
      <c r="D1642" s="1" t="inlineStr">
        <is>
          <t>93x93x8mm</t>
        </is>
      </c>
      <c r="E1642" s="1" t="n">
        <v>100.95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Matt</t>
        </is>
      </c>
      <c r="J1642" t="n">
        <v>69</v>
      </c>
      <c r="K1642" t="n">
        <v>69</v>
      </c>
      <c r="L1642" t="n">
        <v>69</v>
      </c>
    </row>
    <row r="1643">
      <c r="A1643" s="1">
        <f>Hyperlink("https://www.wallsandfloors.co.uk/gosford-tiles-plain-red-tiles","Product")</f>
        <v/>
      </c>
      <c r="B1643" s="1" t="inlineStr">
        <is>
          <t>12994</t>
        </is>
      </c>
      <c r="C1643" s="1" t="inlineStr">
        <is>
          <t>Gosford Plain Red Tiles</t>
        </is>
      </c>
      <c r="D1643" s="1" t="inlineStr">
        <is>
          <t>93x93x8mm</t>
        </is>
      </c>
      <c r="E1643" s="1" t="n">
        <v>100.95</v>
      </c>
      <c r="F1643" s="1" t="n">
        <v>0</v>
      </c>
      <c r="G1643" s="1" t="inlineStr">
        <is>
          <t>SQM</t>
        </is>
      </c>
      <c r="H1643" s="1" t="inlineStr">
        <is>
          <t>Porcelain</t>
        </is>
      </c>
      <c r="I1643" s="1" t="inlineStr">
        <is>
          <t>Matt</t>
        </is>
      </c>
      <c r="J1643" t="inlineStr">
        <is>
          <t>In Stock</t>
        </is>
      </c>
      <c r="K1643" t="inlineStr"/>
      <c r="L1643" t="inlineStr">
        <is>
          <t>Out of Stock</t>
        </is>
      </c>
    </row>
    <row r="1644">
      <c r="A1644" s="1">
        <f>Hyperlink("https://www.wallsandfloors.co.uk/gosford-tiles-plain-black-tiles","Product")</f>
        <v/>
      </c>
      <c r="B1644" s="1" t="inlineStr">
        <is>
          <t>13000</t>
        </is>
      </c>
      <c r="C1644" s="1" t="inlineStr">
        <is>
          <t>Gosford Plain Black Tiles</t>
        </is>
      </c>
      <c r="D1644" s="1" t="inlineStr">
        <is>
          <t>93x93x8mm</t>
        </is>
      </c>
      <c r="E1644" s="1" t="n">
        <v>100.95</v>
      </c>
      <c r="F1644" s="1" t="n">
        <v>0</v>
      </c>
      <c r="G1644" s="1" t="inlineStr">
        <is>
          <t>SQM</t>
        </is>
      </c>
      <c r="H1644" s="1" t="inlineStr">
        <is>
          <t>Porcelain</t>
        </is>
      </c>
      <c r="I1644" s="1" t="inlineStr">
        <is>
          <t>Matt</t>
        </is>
      </c>
      <c r="J1644" t="n">
        <v>52</v>
      </c>
      <c r="K1644" t="n">
        <v>52</v>
      </c>
      <c r="L1644" t="n">
        <v>52</v>
      </c>
    </row>
    <row r="1645">
      <c r="A1645" s="1">
        <f>Hyperlink("https://www.wallsandfloors.co.uk/gosford-tiles-black-white-panel-tiles","Product")</f>
        <v/>
      </c>
      <c r="B1645" s="1" t="inlineStr">
        <is>
          <t>11100</t>
        </is>
      </c>
      <c r="C1645" s="1" t="inlineStr">
        <is>
          <t>Gosford Black and White Panel Tiles</t>
        </is>
      </c>
      <c r="D1645" s="1" t="inlineStr">
        <is>
          <t>285x285x8mm</t>
        </is>
      </c>
      <c r="E1645" s="1" t="n">
        <v>18.95</v>
      </c>
      <c r="F1645" s="1" t="n">
        <v>0</v>
      </c>
      <c r="G1645" s="1" t="inlineStr">
        <is>
          <t>Sheet</t>
        </is>
      </c>
      <c r="H1645" s="1" t="inlineStr">
        <is>
          <t>Porcelain</t>
        </is>
      </c>
      <c r="I1645" s="1" t="inlineStr">
        <is>
          <t>Matt</t>
        </is>
      </c>
      <c r="J1645" t="inlineStr">
        <is>
          <t>In Stock</t>
        </is>
      </c>
      <c r="K1645" t="inlineStr">
        <is>
          <t>In Stock</t>
        </is>
      </c>
      <c r="L1645" t="inlineStr">
        <is>
          <t>In Stock</t>
        </is>
      </c>
    </row>
    <row r="1646">
      <c r="A1646" s="1">
        <f>Hyperlink("https://www.wallsandfloors.co.uk/gosford-tiles-black-white-corner-tiles","Product")</f>
        <v/>
      </c>
      <c r="B1646" s="1" t="inlineStr">
        <is>
          <t>11102</t>
        </is>
      </c>
      <c r="C1646" s="1" t="inlineStr">
        <is>
          <t>Gosford Black and White Corner Tiles</t>
        </is>
      </c>
      <c r="D1646" s="1" t="inlineStr">
        <is>
          <t>120x95x9mm</t>
        </is>
      </c>
      <c r="E1646" s="1" t="n">
        <v>13.95</v>
      </c>
      <c r="F1646" s="1" t="n">
        <v>0</v>
      </c>
      <c r="G1646" s="1" t="inlineStr">
        <is>
          <t>Tile</t>
        </is>
      </c>
      <c r="H1646" s="1" t="inlineStr">
        <is>
          <t>Porcelain</t>
        </is>
      </c>
      <c r="I1646" s="1" t="inlineStr">
        <is>
          <t>Matt</t>
        </is>
      </c>
      <c r="J1646" t="inlineStr">
        <is>
          <t>In Stock</t>
        </is>
      </c>
      <c r="K1646" t="inlineStr">
        <is>
          <t>In Stock</t>
        </is>
      </c>
      <c r="L1646" t="inlineStr">
        <is>
          <t>In Stock</t>
        </is>
      </c>
    </row>
    <row r="1647">
      <c r="A1647" s="1">
        <f>Hyperlink("https://www.wallsandfloors.co.uk/gea-carved-grey-tiles","Product")</f>
        <v/>
      </c>
      <c r="B1647" s="1" t="inlineStr">
        <is>
          <t>44228</t>
        </is>
      </c>
      <c r="C1647" s="1" t="inlineStr">
        <is>
          <t>Gea Carved Grey Tiles</t>
        </is>
      </c>
      <c r="D1647" s="1" t="inlineStr">
        <is>
          <t>121x121x8.5mm</t>
        </is>
      </c>
      <c r="E1647" s="1" t="n">
        <v>43.95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n">
        <v>51</v>
      </c>
      <c r="K1647" t="n">
        <v>51</v>
      </c>
      <c r="L1647" t="n">
        <v>51</v>
      </c>
    </row>
    <row r="1648">
      <c r="A1648" s="1">
        <f>Hyperlink("https://www.wallsandfloors.co.uk/gea-carved-charcoal-tiles","Product")</f>
        <v/>
      </c>
      <c r="B1648" s="1" t="inlineStr">
        <is>
          <t>44229</t>
        </is>
      </c>
      <c r="C1648" s="1" t="inlineStr">
        <is>
          <t>Gea Carved Charcoal Tiles</t>
        </is>
      </c>
      <c r="D1648" s="1" t="inlineStr">
        <is>
          <t>121x121x8.5mm</t>
        </is>
      </c>
      <c r="E1648" s="1" t="n">
        <v>43.95</v>
      </c>
      <c r="F1648" s="1" t="n">
        <v>0</v>
      </c>
      <c r="G1648" s="1" t="inlineStr">
        <is>
          <t>SQM</t>
        </is>
      </c>
      <c r="H1648" s="1" t="inlineStr">
        <is>
          <t>Porcelain</t>
        </is>
      </c>
      <c r="I1648" s="1" t="inlineStr">
        <is>
          <t>Matt</t>
        </is>
      </c>
      <c r="J1648" t="inlineStr">
        <is>
          <t>In Stock</t>
        </is>
      </c>
      <c r="K1648" t="inlineStr">
        <is>
          <t>In Stock</t>
        </is>
      </c>
      <c r="L1648" t="inlineStr">
        <is>
          <t>In Stock</t>
        </is>
      </c>
    </row>
    <row r="1649">
      <c r="A1649" s="1">
        <f>Hyperlink("https://www.wallsandfloors.co.uk/gea-carved-calacatta-tiles","Product")</f>
        <v/>
      </c>
      <c r="B1649" s="1" t="inlineStr">
        <is>
          <t>44230</t>
        </is>
      </c>
      <c r="C1649" s="1" t="inlineStr">
        <is>
          <t>Gea Carved Calacatta Tiles</t>
        </is>
      </c>
      <c r="D1649" s="1" t="inlineStr">
        <is>
          <t>121x121x8.5mm</t>
        </is>
      </c>
      <c r="E1649" s="1" t="n">
        <v>43.95</v>
      </c>
      <c r="F1649" s="1" t="n">
        <v>0</v>
      </c>
      <c r="G1649" s="1" t="inlineStr">
        <is>
          <t>SQM</t>
        </is>
      </c>
      <c r="H1649" s="1" t="inlineStr">
        <is>
          <t>Porcelain</t>
        </is>
      </c>
      <c r="I1649" s="1" t="inlineStr">
        <is>
          <t>Matt</t>
        </is>
      </c>
      <c r="J1649" t="n">
        <v>55</v>
      </c>
      <c r="K1649" t="n">
        <v>55</v>
      </c>
      <c r="L1649" t="n">
        <v>55</v>
      </c>
    </row>
    <row r="1650">
      <c r="A1650" s="1">
        <f>Hyperlink("https://www.wallsandfloors.co.uk/gea-calacatta-tiles","Product")</f>
        <v/>
      </c>
      <c r="B1650" s="1" t="inlineStr">
        <is>
          <t>44223</t>
        </is>
      </c>
      <c r="C1650" s="1" t="inlineStr">
        <is>
          <t>Gea Calacatta Tiles</t>
        </is>
      </c>
      <c r="D1650" s="1" t="inlineStr">
        <is>
          <t>121x121x8.5mm</t>
        </is>
      </c>
      <c r="E1650" s="1" t="n">
        <v>40.95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61</v>
      </c>
      <c r="K1650" t="inlineStr"/>
      <c r="L1650" t="n">
        <v>61</v>
      </c>
    </row>
    <row r="1651">
      <c r="A1651" s="1">
        <f>Hyperlink("https://www.wallsandfloors.co.uk/essence-glass-mosaic-tiles-midnight-square-mix-tiles","Product")</f>
        <v/>
      </c>
      <c r="B1651" s="1" t="inlineStr">
        <is>
          <t>14830</t>
        </is>
      </c>
      <c r="C1651" s="1" t="inlineStr">
        <is>
          <t>Midnight Square Mix Tiles</t>
        </is>
      </c>
      <c r="D1651" s="1" t="inlineStr">
        <is>
          <t>297x297x8mm</t>
        </is>
      </c>
      <c r="E1651" s="1" t="n">
        <v>6</v>
      </c>
      <c r="F1651" s="1" t="n">
        <v>0</v>
      </c>
      <c r="G1651" s="1" t="inlineStr">
        <is>
          <t>SQM</t>
        </is>
      </c>
      <c r="H1651" s="1" t="inlineStr">
        <is>
          <t>Glass</t>
        </is>
      </c>
      <c r="I1651" s="1" t="inlineStr">
        <is>
          <t>Gloss</t>
        </is>
      </c>
      <c r="J1651" t="n">
        <v>76</v>
      </c>
      <c r="K1651" t="n">
        <v>76</v>
      </c>
      <c r="L1651" t="n">
        <v>76</v>
      </c>
    </row>
    <row r="1652">
      <c r="A1652" s="1">
        <f>Hyperlink("https://www.wallsandfloors.co.uk/essence-glass-mosaic-tiles-midnight-brick-mix-tiles","Product")</f>
        <v/>
      </c>
      <c r="B1652" s="1" t="inlineStr">
        <is>
          <t>14828</t>
        </is>
      </c>
      <c r="C1652" s="1" t="inlineStr">
        <is>
          <t>Essence Midnight Brick Mix Mosaic Tiles</t>
        </is>
      </c>
      <c r="D1652" s="1" t="inlineStr">
        <is>
          <t>302x297x8mm</t>
        </is>
      </c>
      <c r="E1652" s="1" t="n">
        <v>6.7</v>
      </c>
      <c r="F1652" s="1" t="n">
        <v>0</v>
      </c>
      <c r="G1652" s="1" t="inlineStr">
        <is>
          <t>Sheet</t>
        </is>
      </c>
      <c r="H1652" s="1" t="inlineStr">
        <is>
          <t>Glass</t>
        </is>
      </c>
      <c r="I1652" s="1" t="inlineStr">
        <is>
          <t>Gloss</t>
        </is>
      </c>
      <c r="J1652" t="n">
        <v>2</v>
      </c>
      <c r="K1652" t="n">
        <v>2</v>
      </c>
      <c r="L1652" t="n">
        <v>2</v>
      </c>
    </row>
    <row r="1653">
      <c r="A1653" s="1">
        <f>Hyperlink("https://www.wallsandfloors.co.uk/essence-glass-mosaic-tiles-harvest-brick-mix-tiles","Product")</f>
        <v/>
      </c>
      <c r="B1653" s="1" t="inlineStr">
        <is>
          <t>14827</t>
        </is>
      </c>
      <c r="C1653" s="1" t="inlineStr">
        <is>
          <t>Essence Harvest Brick Mix Mosaic Tiles</t>
        </is>
      </c>
      <c r="D1653" s="1" t="inlineStr">
        <is>
          <t>302x297x8mm</t>
        </is>
      </c>
      <c r="E1653" s="1" t="n">
        <v>5.15</v>
      </c>
      <c r="F1653" s="1" t="n">
        <v>0</v>
      </c>
      <c r="G1653" s="1" t="inlineStr">
        <is>
          <t>Sheet</t>
        </is>
      </c>
      <c r="H1653" s="1" t="inlineStr">
        <is>
          <t>Glass</t>
        </is>
      </c>
      <c r="I1653" s="1" t="inlineStr">
        <is>
          <t>Gloss</t>
        </is>
      </c>
      <c r="J1653" t="inlineStr"/>
      <c r="K1653" t="inlineStr"/>
      <c r="L1653" t="n">
        <v>7</v>
      </c>
    </row>
    <row r="1654">
      <c r="A1654" s="1">
        <f>Hyperlink("https://www.wallsandfloors.co.uk/espresso-brown-40x25-tiles","Product")</f>
        <v/>
      </c>
      <c r="B1654" s="1" t="inlineStr">
        <is>
          <t>34681</t>
        </is>
      </c>
      <c r="C1654" s="1" t="inlineStr">
        <is>
          <t>Coalesce Espresso Brown Tiles</t>
        </is>
      </c>
      <c r="D1654" s="1" t="inlineStr">
        <is>
          <t>400x250x7.5mm</t>
        </is>
      </c>
      <c r="E1654" s="1" t="n">
        <v>12.95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Matt</t>
        </is>
      </c>
      <c r="J1654" t="n">
        <v>12</v>
      </c>
      <c r="K1654" t="n">
        <v>12</v>
      </c>
      <c r="L1654" t="n">
        <v>12</v>
      </c>
    </row>
    <row r="1655">
      <c r="A1655" s="1">
        <f>Hyperlink("https://www.wallsandfloors.co.uk/eloquence-tiles-sloe-black-tiles","Product")</f>
        <v/>
      </c>
      <c r="B1655" s="1" t="inlineStr">
        <is>
          <t>14541</t>
        </is>
      </c>
      <c r="C1655" s="1" t="inlineStr">
        <is>
          <t>Eloquence Sloe Black Tiles</t>
        </is>
      </c>
      <c r="D1655" s="1" t="inlineStr">
        <is>
          <t>600x200x8mm</t>
        </is>
      </c>
      <c r="E1655" s="1" t="n">
        <v>20.95</v>
      </c>
      <c r="F1655" s="1" t="n">
        <v>0</v>
      </c>
      <c r="G1655" s="1" t="inlineStr">
        <is>
          <t>SQM</t>
        </is>
      </c>
      <c r="H1655" s="1" t="inlineStr">
        <is>
          <t>Ceramic</t>
        </is>
      </c>
      <c r="I1655" s="1" t="inlineStr">
        <is>
          <t>Matt</t>
        </is>
      </c>
      <c r="J1655" t="n">
        <v>64</v>
      </c>
      <c r="K1655" t="n">
        <v>64</v>
      </c>
      <c r="L1655" t="n">
        <v>64</v>
      </c>
    </row>
    <row r="1656">
      <c r="A1656" s="1">
        <f>Hyperlink("https://www.wallsandfloors.co.uk/eloquence-tiles-daydream-blue-tiles","Product")</f>
        <v/>
      </c>
      <c r="B1656" s="1" t="inlineStr">
        <is>
          <t>14538</t>
        </is>
      </c>
      <c r="C1656" s="1" t="inlineStr">
        <is>
          <t>Daydream Blue Tiles</t>
        </is>
      </c>
      <c r="D1656" s="1" t="inlineStr">
        <is>
          <t>600x200x8mm</t>
        </is>
      </c>
      <c r="E1656" s="1" t="n">
        <v>20.95</v>
      </c>
      <c r="F1656" s="1" t="n">
        <v>0</v>
      </c>
      <c r="G1656" s="1" t="inlineStr">
        <is>
          <t>SQM</t>
        </is>
      </c>
      <c r="H1656" s="1" t="inlineStr">
        <is>
          <t>Ceramic</t>
        </is>
      </c>
      <c r="I1656" s="1" t="inlineStr">
        <is>
          <t>Matt</t>
        </is>
      </c>
      <c r="J1656" t="n">
        <v>89</v>
      </c>
      <c r="K1656" t="n">
        <v>89</v>
      </c>
      <c r="L1656" t="n">
        <v>89</v>
      </c>
    </row>
    <row r="1657">
      <c r="A1657" s="1">
        <f>Hyperlink("https://www.wallsandfloors.co.uk/elicit-tiles-woodland-semi-polished-60x60-tiles","Product")</f>
        <v/>
      </c>
      <c r="B1657" s="1" t="inlineStr">
        <is>
          <t>14124</t>
        </is>
      </c>
      <c r="C1657" s="1" t="inlineStr">
        <is>
          <t>Elicit Woodland Semi Polished Tiles</t>
        </is>
      </c>
      <c r="D1657" s="1" t="inlineStr">
        <is>
          <t>600x600x10.5mm</t>
        </is>
      </c>
      <c r="E1657" s="1" t="n">
        <v>45.95</v>
      </c>
      <c r="F1657" s="1" t="n">
        <v>0</v>
      </c>
      <c r="G1657" s="1" t="inlineStr">
        <is>
          <t>SQM</t>
        </is>
      </c>
      <c r="H1657" s="1" t="inlineStr">
        <is>
          <t>Porcelain</t>
        </is>
      </c>
      <c r="I1657" s="1" t="inlineStr">
        <is>
          <t>Semi-Polished</t>
        </is>
      </c>
      <c r="J1657" t="inlineStr"/>
      <c r="K1657" t="n">
        <v>93</v>
      </c>
      <c r="L1657" t="n">
        <v>93</v>
      </c>
    </row>
    <row r="1658">
      <c r="A1658" s="1">
        <f>Hyperlink("https://www.wallsandfloors.co.uk/elicit-tiles-woodland-semi-polished-30x60-tiles","Product")</f>
        <v/>
      </c>
      <c r="B1658" s="1" t="inlineStr">
        <is>
          <t>14123</t>
        </is>
      </c>
      <c r="C1658" s="1" t="inlineStr">
        <is>
          <t>Elicit Woodland Semi Polished Tiles</t>
        </is>
      </c>
      <c r="D1658" s="1" t="inlineStr">
        <is>
          <t>600x300x10.5mm</t>
        </is>
      </c>
      <c r="E1658" s="1" t="n">
        <v>45.95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Semi-Polished</t>
        </is>
      </c>
      <c r="J1658" t="inlineStr">
        <is>
          <t>In Stock</t>
        </is>
      </c>
      <c r="K1658" t="inlineStr">
        <is>
          <t>In Stock</t>
        </is>
      </c>
      <c r="L1658" t="inlineStr">
        <is>
          <t>In Stock</t>
        </is>
      </c>
    </row>
    <row r="1659">
      <c r="A1659" s="1">
        <f>Hyperlink("https://www.wallsandfloors.co.uk/elicit-tiles-woodland-matt-60x60-tiles","Product")</f>
        <v/>
      </c>
      <c r="B1659" s="1" t="inlineStr">
        <is>
          <t>14126</t>
        </is>
      </c>
      <c r="C1659" s="1" t="inlineStr">
        <is>
          <t>Elicit Woodland Matt Tiles</t>
        </is>
      </c>
      <c r="D1659" s="1" t="inlineStr">
        <is>
          <t>600x600x10.5mm</t>
        </is>
      </c>
      <c r="E1659" s="1" t="n">
        <v>40.95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inlineStr">
        <is>
          <t>In Stock</t>
        </is>
      </c>
      <c r="K1659" t="inlineStr"/>
      <c r="L1659" t="inlineStr">
        <is>
          <t>In Stock</t>
        </is>
      </c>
    </row>
    <row r="1660">
      <c r="A1660" s="1">
        <f>Hyperlink("https://www.wallsandfloors.co.uk/elicit-tiles-woodland-matt-30x60-tiles","Product")</f>
        <v/>
      </c>
      <c r="B1660" s="1" t="inlineStr">
        <is>
          <t>14125</t>
        </is>
      </c>
      <c r="C1660" s="1" t="inlineStr">
        <is>
          <t>Elicit Woodland Matt Tiles</t>
        </is>
      </c>
      <c r="D1660" s="1" t="inlineStr">
        <is>
          <t>600x300x10.5mm</t>
        </is>
      </c>
      <c r="E1660" s="1" t="n">
        <v>40.95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Matt</t>
        </is>
      </c>
      <c r="J1660" t="inlineStr">
        <is>
          <t>In Stock</t>
        </is>
      </c>
      <c r="K1660" t="inlineStr">
        <is>
          <t>In Stock</t>
        </is>
      </c>
      <c r="L1660" t="inlineStr">
        <is>
          <t>In Stock</t>
        </is>
      </c>
    </row>
    <row r="1661">
      <c r="A1661" s="1">
        <f>Hyperlink("https://www.wallsandfloors.co.uk/elicit-tiles-wheat-fields-matt-60x60-tiles","Product")</f>
        <v/>
      </c>
      <c r="B1661" s="1" t="inlineStr">
        <is>
          <t>14122</t>
        </is>
      </c>
      <c r="C1661" s="1" t="inlineStr">
        <is>
          <t>Elicit Wheat Fields Matt Tiles</t>
        </is>
      </c>
      <c r="D1661" s="1" t="inlineStr">
        <is>
          <t>600x600x10.5mm</t>
        </is>
      </c>
      <c r="E1661" s="1" t="n">
        <v>40.95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Matt</t>
        </is>
      </c>
      <c r="J1661" t="inlineStr">
        <is>
          <t>In Stock</t>
        </is>
      </c>
      <c r="K1661" t="inlineStr">
        <is>
          <t>In Stock</t>
        </is>
      </c>
      <c r="L1661" t="inlineStr">
        <is>
          <t>In Stock</t>
        </is>
      </c>
    </row>
    <row r="1662">
      <c r="A1662" s="1">
        <f>Hyperlink("https://www.wallsandfloors.co.uk/elicit-tiles-wheat-fields-matt-30x60-tiles","Product")</f>
        <v/>
      </c>
      <c r="B1662" s="1" t="inlineStr">
        <is>
          <t>14121</t>
        </is>
      </c>
      <c r="C1662" s="1" t="inlineStr">
        <is>
          <t>Elicit Wheat Fields Matt Tiles</t>
        </is>
      </c>
      <c r="D1662" s="1" t="inlineStr">
        <is>
          <t>600x300x10.5mm</t>
        </is>
      </c>
      <c r="E1662" s="1" t="n">
        <v>40.95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inlineStr"/>
      <c r="K1662" t="n">
        <v>78</v>
      </c>
      <c r="L1662" t="n">
        <v>78</v>
      </c>
    </row>
    <row r="1663">
      <c r="A1663" s="1">
        <f>Hyperlink("https://www.wallsandfloors.co.uk/elicit-tiles-sparrow-stone-matt-60x60-tiles","Product")</f>
        <v/>
      </c>
      <c r="B1663" s="1" t="inlineStr">
        <is>
          <t>14114</t>
        </is>
      </c>
      <c r="C1663" s="1" t="inlineStr">
        <is>
          <t>Elicit Sparrow Stone Matt Tiles</t>
        </is>
      </c>
      <c r="D1663" s="1" t="inlineStr">
        <is>
          <t>600x600x10.5mm</t>
        </is>
      </c>
      <c r="E1663" s="1" t="n">
        <v>40.95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89</v>
      </c>
      <c r="K1663" t="inlineStr"/>
      <c r="L1663" t="n">
        <v>89</v>
      </c>
    </row>
    <row r="1664">
      <c r="A1664" s="1">
        <f>Hyperlink("https://www.wallsandfloors.co.uk/elicit-tiles-sparrow-stone-matt-30x60-tiles","Product")</f>
        <v/>
      </c>
      <c r="B1664" s="1" t="inlineStr">
        <is>
          <t>14113</t>
        </is>
      </c>
      <c r="C1664" s="1" t="inlineStr">
        <is>
          <t>Elicit Sparrow Stone Matt Tiles</t>
        </is>
      </c>
      <c r="D1664" s="1" t="inlineStr">
        <is>
          <t>600x300x10.5mm</t>
        </is>
      </c>
      <c r="E1664" s="1" t="n">
        <v>40.95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Matt</t>
        </is>
      </c>
      <c r="J1664" t="n">
        <v>84</v>
      </c>
      <c r="K1664" t="inlineStr"/>
      <c r="L1664" t="n">
        <v>84</v>
      </c>
    </row>
    <row r="1665">
      <c r="A1665" s="1">
        <f>Hyperlink("https://www.wallsandfloors.co.uk/elicit-tiles-moonshine-semi-polished-60x60-tiles","Product")</f>
        <v/>
      </c>
      <c r="B1665" s="1" t="inlineStr">
        <is>
          <t>14128</t>
        </is>
      </c>
      <c r="C1665" s="1" t="inlineStr">
        <is>
          <t>Elicit Moonshine Semi Polished Tiles</t>
        </is>
      </c>
      <c r="D1665" s="1" t="inlineStr">
        <is>
          <t>600x600x10.5mm</t>
        </is>
      </c>
      <c r="E1665" s="1" t="n">
        <v>45.95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Semi-Polished</t>
        </is>
      </c>
      <c r="J1665" t="inlineStr"/>
      <c r="K1665" t="n">
        <v>109</v>
      </c>
      <c r="L1665" t="n">
        <v>109</v>
      </c>
    </row>
    <row r="1666">
      <c r="A1666" s="1">
        <f>Hyperlink("https://www.wallsandfloors.co.uk/elicit-tiles-moonshine-semi-polished-60x30-tiles","Product")</f>
        <v/>
      </c>
      <c r="B1666" s="1" t="inlineStr">
        <is>
          <t>14127</t>
        </is>
      </c>
      <c r="C1666" s="1" t="inlineStr">
        <is>
          <t>Elicit Moonshine Semi Polished Tiles</t>
        </is>
      </c>
      <c r="D1666" s="1" t="inlineStr">
        <is>
          <t>600x300x10.5mm</t>
        </is>
      </c>
      <c r="E1666" s="1" t="n">
        <v>45.95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Semi-Polished</t>
        </is>
      </c>
      <c r="J1666" t="inlineStr">
        <is>
          <t>In Stock</t>
        </is>
      </c>
      <c r="K1666" t="inlineStr">
        <is>
          <t>In Stock</t>
        </is>
      </c>
      <c r="L1666" t="inlineStr">
        <is>
          <t>In Stock</t>
        </is>
      </c>
    </row>
    <row r="1667">
      <c r="A1667" s="1">
        <f>Hyperlink("https://www.wallsandfloors.co.uk/elicit-tiles-moonshine-matt-60x30-tiles","Product")</f>
        <v/>
      </c>
      <c r="B1667" s="1" t="inlineStr">
        <is>
          <t>14129</t>
        </is>
      </c>
      <c r="C1667" s="1" t="inlineStr">
        <is>
          <t>Elicit Moonshine Matt Tiles</t>
        </is>
      </c>
      <c r="D1667" s="1" t="inlineStr">
        <is>
          <t>600x300x10.5mm</t>
        </is>
      </c>
      <c r="E1667" s="1" t="n">
        <v>40.95</v>
      </c>
      <c r="F1667" s="1" t="n">
        <v>0</v>
      </c>
      <c r="G1667" s="1" t="inlineStr">
        <is>
          <t>SQM</t>
        </is>
      </c>
      <c r="H1667" s="1" t="inlineStr">
        <is>
          <t>Porcelain</t>
        </is>
      </c>
      <c r="I1667" s="1" t="inlineStr">
        <is>
          <t>Matt</t>
        </is>
      </c>
      <c r="J1667" t="n">
        <v>81</v>
      </c>
      <c r="K1667" t="n">
        <v>81</v>
      </c>
      <c r="L1667" t="n">
        <v>81</v>
      </c>
    </row>
    <row r="1668">
      <c r="A1668" s="1">
        <f>Hyperlink("https://www.wallsandfloors.co.uk/elicit-tiles-iron-sky-matt-60x60-tiles","Product")</f>
        <v/>
      </c>
      <c r="B1668" s="1" t="inlineStr">
        <is>
          <t>14118</t>
        </is>
      </c>
      <c r="C1668" s="1" t="inlineStr">
        <is>
          <t>Elicit Iron Sky Matt Tiles</t>
        </is>
      </c>
      <c r="D1668" s="1" t="inlineStr">
        <is>
          <t>600x600x10.5mm</t>
        </is>
      </c>
      <c r="E1668" s="1" t="n">
        <v>40.95</v>
      </c>
      <c r="F1668" s="1" t="n">
        <v>0</v>
      </c>
      <c r="G1668" s="1" t="inlineStr">
        <is>
          <t>SQM</t>
        </is>
      </c>
      <c r="H1668" s="1" t="inlineStr">
        <is>
          <t>Porcelain</t>
        </is>
      </c>
      <c r="I1668" s="1" t="inlineStr">
        <is>
          <t>Matt</t>
        </is>
      </c>
      <c r="J1668" t="n">
        <v>68</v>
      </c>
      <c r="K1668" t="n">
        <v>68</v>
      </c>
      <c r="L1668" t="n">
        <v>68</v>
      </c>
    </row>
    <row r="1669">
      <c r="A1669" s="1">
        <f>Hyperlink("https://www.wallsandfloors.co.uk/elicit-tiles-iron-sky-matt-60x30-tiles","Product")</f>
        <v/>
      </c>
      <c r="B1669" s="1" t="inlineStr">
        <is>
          <t>14117</t>
        </is>
      </c>
      <c r="C1669" s="1" t="inlineStr">
        <is>
          <t>Elicit Iron Sky Matt Tiles</t>
        </is>
      </c>
      <c r="D1669" s="1" t="inlineStr">
        <is>
          <t>600x300x10.5mm</t>
        </is>
      </c>
      <c r="E1669" s="1" t="n">
        <v>40.95</v>
      </c>
      <c r="F1669" s="1" t="n">
        <v>0</v>
      </c>
      <c r="G1669" s="1" t="inlineStr"/>
      <c r="H1669" s="1" t="inlineStr">
        <is>
          <t>Porcelain</t>
        </is>
      </c>
      <c r="I1669" s="1" t="inlineStr">
        <is>
          <t>Matt</t>
        </is>
      </c>
      <c r="J1669" t="inlineStr">
        <is>
          <t>In Stock</t>
        </is>
      </c>
      <c r="K1669" t="inlineStr">
        <is>
          <t>In Stock</t>
        </is>
      </c>
      <c r="L1669" t="inlineStr">
        <is>
          <t>In Stock</t>
        </is>
      </c>
    </row>
    <row r="1670">
      <c r="A1670" s="1">
        <f>Hyperlink("https://www.wallsandfloors.co.uk/electric-tile-cutters-nd200-electric-tile-cutter-9844","Product")</f>
        <v/>
      </c>
      <c r="B1670" s="1" t="inlineStr">
        <is>
          <t>9844</t>
        </is>
      </c>
      <c r="C1670" s="1" t="inlineStr">
        <is>
          <t>ND200 Electric Tile Cutter 240V</t>
        </is>
      </c>
      <c r="D1670" s="1" t="inlineStr">
        <is>
          <t>240v</t>
        </is>
      </c>
      <c r="E1670" s="1" t="n">
        <v>556.95</v>
      </c>
      <c r="F1670" s="1" t="n">
        <v>0</v>
      </c>
      <c r="G1670" s="1" t="inlineStr"/>
      <c r="H1670" s="1" t="inlineStr">
        <is>
          <t>Electric Tile Cutters</t>
        </is>
      </c>
      <c r="I1670" s="1" t="inlineStr">
        <is>
          <t>-</t>
        </is>
      </c>
      <c r="J1670" t="inlineStr">
        <is>
          <t>In Stock</t>
        </is>
      </c>
      <c r="K1670" t="inlineStr">
        <is>
          <t>In Stock</t>
        </is>
      </c>
      <c r="L1670" t="inlineStr">
        <is>
          <t>In Stock</t>
        </is>
      </c>
    </row>
    <row r="1671">
      <c r="A1671" s="1">
        <f>Hyperlink("https://www.wallsandfloors.co.uk/electric-tile-cutters-nd180-bl-electric-tile-cutter-9715","Product")</f>
        <v/>
      </c>
      <c r="B1671" s="1" t="inlineStr">
        <is>
          <t>9715</t>
        </is>
      </c>
      <c r="C1671" s="1" t="inlineStr">
        <is>
          <t>ND180-BL Electric Tile Cutter</t>
        </is>
      </c>
      <c r="D1671" s="1" t="inlineStr">
        <is>
          <t>ND180</t>
        </is>
      </c>
      <c r="E1671" s="1" t="n">
        <v>119.95</v>
      </c>
      <c r="F1671" s="1" t="n">
        <v>0</v>
      </c>
      <c r="G1671" s="1" t="inlineStr">
        <is>
          <t>Unit</t>
        </is>
      </c>
      <c r="H1671" s="1" t="inlineStr">
        <is>
          <t>Electric Tile Cutters</t>
        </is>
      </c>
      <c r="I1671" s="1" t="inlineStr">
        <is>
          <t>-</t>
        </is>
      </c>
      <c r="J1671" t="inlineStr">
        <is>
          <t>In Stock</t>
        </is>
      </c>
      <c r="K1671" t="inlineStr">
        <is>
          <t>In Stock</t>
        </is>
      </c>
      <c r="L1671" t="inlineStr">
        <is>
          <t>In Stock</t>
        </is>
      </c>
    </row>
    <row r="1672">
      <c r="A1672" s="1">
        <f>Hyperlink("https://www.wallsandfloors.co.uk/elder-wood-effect-tiles-natural-wood-effect-tiles","Product")</f>
        <v/>
      </c>
      <c r="B1672" s="1" t="inlineStr">
        <is>
          <t>13858</t>
        </is>
      </c>
      <c r="C1672" s="1" t="inlineStr">
        <is>
          <t>Elder Natural Wood Effect Tiles</t>
        </is>
      </c>
      <c r="D1672" s="1" t="inlineStr">
        <is>
          <t>950x240x9mm</t>
        </is>
      </c>
      <c r="E1672" s="1" t="n">
        <v>23.95</v>
      </c>
      <c r="F1672" s="1" t="n">
        <v>0</v>
      </c>
      <c r="G1672" s="1" t="inlineStr">
        <is>
          <t>SQM</t>
        </is>
      </c>
      <c r="H1672" s="1" t="inlineStr">
        <is>
          <t>Ceramic</t>
        </is>
      </c>
      <c r="I1672" s="1" t="inlineStr">
        <is>
          <t>Matt</t>
        </is>
      </c>
      <c r="J1672" t="inlineStr"/>
      <c r="K1672" t="n">
        <v>61</v>
      </c>
      <c r="L1672" t="n">
        <v>61</v>
      </c>
    </row>
    <row r="1673">
      <c r="A1673" s="1">
        <f>Hyperlink("https://www.wallsandfloors.co.uk/elder-wood-effect-tiles-grey-wood-effect-tiles","Product")</f>
        <v/>
      </c>
      <c r="B1673" s="1" t="inlineStr">
        <is>
          <t>13856</t>
        </is>
      </c>
      <c r="C1673" s="1" t="inlineStr">
        <is>
          <t>Elder Grey Wood Effect Tiles</t>
        </is>
      </c>
      <c r="D1673" s="1" t="inlineStr">
        <is>
          <t>950x240x9mm</t>
        </is>
      </c>
      <c r="E1673" s="1" t="n">
        <v>17.95</v>
      </c>
      <c r="F1673" s="1" t="n">
        <v>0</v>
      </c>
      <c r="G1673" s="1" t="inlineStr">
        <is>
          <t>SQM</t>
        </is>
      </c>
      <c r="H1673" s="1" t="inlineStr">
        <is>
          <t>Ceramic</t>
        </is>
      </c>
      <c r="I1673" s="1" t="inlineStr">
        <is>
          <t>Matt</t>
        </is>
      </c>
      <c r="J1673" t="inlineStr"/>
      <c r="K1673" t="inlineStr"/>
      <c r="L1673" t="n">
        <v>137</v>
      </c>
    </row>
    <row r="1674">
      <c r="A1674" s="1">
        <f>Hyperlink("https://www.wallsandfloors.co.uk/feuillemort-wood-panel-tiles","Product")</f>
        <v/>
      </c>
      <c r="B1674" s="1" t="inlineStr">
        <is>
          <t>24739</t>
        </is>
      </c>
      <c r="C1674" s="1" t="inlineStr">
        <is>
          <t>Seasoned Wood Panel Tiles</t>
        </is>
      </c>
      <c r="D1674" s="1" t="inlineStr">
        <is>
          <t>450x450x11.5</t>
        </is>
      </c>
      <c r="E1674" s="1" t="n">
        <v>26.95</v>
      </c>
      <c r="F1674" s="1" t="n">
        <v>0</v>
      </c>
      <c r="G1674" s="1" t="inlineStr">
        <is>
          <t>SQM</t>
        </is>
      </c>
      <c r="H1674" s="1" t="inlineStr">
        <is>
          <t>Ceramic</t>
        </is>
      </c>
      <c r="I1674" s="1" t="inlineStr">
        <is>
          <t>Matt</t>
        </is>
      </c>
      <c r="J1674" t="inlineStr"/>
      <c r="K1674" t="inlineStr"/>
      <c r="L1674" t="n">
        <v>79</v>
      </c>
    </row>
    <row r="1675">
      <c r="A1675" s="1">
        <f>Hyperlink("https://www.wallsandfloors.co.uk/grey-octagon-150mm-tiles","Product")</f>
        <v/>
      </c>
      <c r="B1675" s="1" t="inlineStr">
        <is>
          <t>990130</t>
        </is>
      </c>
      <c r="C1675" s="1" t="inlineStr">
        <is>
          <t>Grey Octagon Tiles</t>
        </is>
      </c>
      <c r="D1675" s="1" t="inlineStr">
        <is>
          <t>150x150x9-10mm</t>
        </is>
      </c>
      <c r="E1675" s="1" t="n">
        <v>2.66</v>
      </c>
      <c r="F1675" s="1" t="n">
        <v>0</v>
      </c>
      <c r="G1675" s="1" t="inlineStr">
        <is>
          <t>SQM</t>
        </is>
      </c>
      <c r="H1675" s="1" t="inlineStr">
        <is>
          <t>Porcelain</t>
        </is>
      </c>
      <c r="I1675" s="1" t="inlineStr">
        <is>
          <t>Matt</t>
        </is>
      </c>
      <c r="J1675" t="n">
        <v>48</v>
      </c>
      <c r="K1675" t="inlineStr"/>
      <c r="L1675" t="n">
        <v>48</v>
      </c>
    </row>
    <row r="1676">
      <c r="A1676" s="1">
        <f>Hyperlink("https://www.wallsandfloors.co.uk/fibre-geo-mix-decor-tiles","Product")</f>
        <v/>
      </c>
      <c r="B1676" s="1" t="inlineStr">
        <is>
          <t>36559</t>
        </is>
      </c>
      <c r="C1676" s="1" t="inlineStr">
        <is>
          <t>Fibre Geo Mix Decor Tiles</t>
        </is>
      </c>
      <c r="D1676" s="1" t="inlineStr">
        <is>
          <t>600x200x9.2mm</t>
        </is>
      </c>
      <c r="E1676" s="1" t="n">
        <v>29.95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Satin</t>
        </is>
      </c>
      <c r="J1676" t="inlineStr"/>
      <c r="K1676" t="inlineStr">
        <is>
          <t>In Stock</t>
        </is>
      </c>
      <c r="L1676" t="inlineStr">
        <is>
          <t>In Stock</t>
        </is>
      </c>
    </row>
    <row r="1677">
      <c r="A1677" s="1">
        <f>Hyperlink("https://www.wallsandfloors.co.uk/fibre-marl-tiles","Product")</f>
        <v/>
      </c>
      <c r="B1677" s="1" t="inlineStr">
        <is>
          <t>36561</t>
        </is>
      </c>
      <c r="C1677" s="1" t="inlineStr">
        <is>
          <t>Fibre Marl Tiles</t>
        </is>
      </c>
      <c r="D1677" s="1" t="inlineStr">
        <is>
          <t>600x200x9.2mm</t>
        </is>
      </c>
      <c r="E1677" s="1" t="n">
        <v>29.95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Satin</t>
        </is>
      </c>
      <c r="J1677" t="inlineStr">
        <is>
          <t>In Stock</t>
        </is>
      </c>
      <c r="K1677" t="inlineStr">
        <is>
          <t>In Stock</t>
        </is>
      </c>
      <c r="L1677" t="inlineStr">
        <is>
          <t>In Stock</t>
        </is>
      </c>
    </row>
    <row r="1678">
      <c r="A1678" s="1">
        <f>Hyperlink("https://www.wallsandfloors.co.uk/from-steel-matt-600x300-tiles","Product")</f>
        <v/>
      </c>
      <c r="B1678" s="1" t="inlineStr">
        <is>
          <t>44332</t>
        </is>
      </c>
      <c r="C1678" s="1" t="inlineStr">
        <is>
          <t>Form Steel Matt Tiles</t>
        </is>
      </c>
      <c r="D1678" s="1" t="inlineStr">
        <is>
          <t>600x300x8.2mm</t>
        </is>
      </c>
      <c r="E1678" s="1" t="n">
        <v>19.95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Matt</t>
        </is>
      </c>
      <c r="J1678" t="inlineStr"/>
      <c r="K1678" t="inlineStr">
        <is>
          <t>Out of Stock</t>
        </is>
      </c>
      <c r="L1678" t="inlineStr">
        <is>
          <t>Out of Stock</t>
        </is>
      </c>
    </row>
    <row r="1679">
      <c r="A1679" s="1">
        <f>Hyperlink("https://www.wallsandfloors.co.uk/fresh-and-fabulous-room-ideas-book","Product")</f>
        <v/>
      </c>
      <c r="B1679" s="1" t="inlineStr">
        <is>
          <t>39228</t>
        </is>
      </c>
      <c r="C1679" s="1" t="inlineStr">
        <is>
          <t>Fresh and Fabulous Room Ideas Book</t>
        </is>
      </c>
      <c r="D1679" s="1" t="inlineStr">
        <is>
          <t>210x297x10mm</t>
        </is>
      </c>
      <c r="E1679" s="1" t="n">
        <v>7.99</v>
      </c>
      <c r="F1679" s="1" t="n">
        <v>0</v>
      </c>
      <c r="G1679" s="1" t="inlineStr"/>
      <c r="H1679" s="1" t="inlineStr">
        <is>
          <t>Tools</t>
        </is>
      </c>
      <c r="I1679" s="1" t="inlineStr">
        <is>
          <t>-</t>
        </is>
      </c>
      <c r="J1679" t="inlineStr">
        <is>
          <t>Out of Stock</t>
        </is>
      </c>
      <c r="K1679" t="inlineStr">
        <is>
          <t>Out of Stock</t>
        </is>
      </c>
      <c r="L1679" t="inlineStr">
        <is>
          <t>Out of Stock</t>
        </is>
      </c>
    </row>
    <row r="1680">
      <c r="A1680" s="1">
        <f>Hyperlink("https://www.wallsandfloors.co.uk/foxed-mirror-300x300-tiles","Product")</f>
        <v/>
      </c>
      <c r="B1680" s="1" t="inlineStr">
        <is>
          <t>39772</t>
        </is>
      </c>
      <c r="C1680" s="1" t="inlineStr">
        <is>
          <t>Foxed Mirror 300x300 Tiles</t>
        </is>
      </c>
      <c r="D1680" s="1" t="inlineStr">
        <is>
          <t>300x300x5mm</t>
        </is>
      </c>
      <c r="E1680" s="1" t="n">
        <v>7</v>
      </c>
      <c r="F1680" s="1" t="n">
        <v>0</v>
      </c>
      <c r="G1680" s="1" t="inlineStr">
        <is>
          <t>SQM</t>
        </is>
      </c>
      <c r="H1680" s="1" t="inlineStr">
        <is>
          <t>Glass</t>
        </is>
      </c>
      <c r="I1680" s="1" t="inlineStr">
        <is>
          <t>Mirror</t>
        </is>
      </c>
      <c r="J1680" t="n">
        <v>110</v>
      </c>
      <c r="K1680" t="n">
        <v>110</v>
      </c>
      <c r="L1680" t="n">
        <v>110</v>
      </c>
    </row>
    <row r="1681">
      <c r="A1681" s="1">
        <f>Hyperlink("https://www.wallsandfloors.co.uk/foxed-mirror-100x300-tiles","Product")</f>
        <v/>
      </c>
      <c r="B1681" s="1" t="inlineStr">
        <is>
          <t>39798</t>
        </is>
      </c>
      <c r="C1681" s="1" t="inlineStr">
        <is>
          <t>Foxed Mirror 100X300 Tiles</t>
        </is>
      </c>
      <c r="D1681" s="1" t="inlineStr">
        <is>
          <t>300x100x5mm</t>
        </is>
      </c>
      <c r="E1681" s="1" t="n">
        <v>3.95</v>
      </c>
      <c r="F1681" s="1" t="n">
        <v>0</v>
      </c>
      <c r="G1681" s="1" t="inlineStr">
        <is>
          <t>SQM</t>
        </is>
      </c>
      <c r="H1681" s="1" t="inlineStr">
        <is>
          <t>Glass</t>
        </is>
      </c>
      <c r="I1681" s="1" t="inlineStr">
        <is>
          <t>Mirror</t>
        </is>
      </c>
      <c r="J1681" t="n">
        <v>182</v>
      </c>
      <c r="K1681" t="n">
        <v>182</v>
      </c>
      <c r="L1681" t="n">
        <v>182</v>
      </c>
    </row>
    <row r="1682">
      <c r="A1682" s="1">
        <f>Hyperlink("https://www.wallsandfloors.co.uk/foundry-concrete-effect-tiles-jaded-moleskin-tiles","Product")</f>
        <v/>
      </c>
      <c r="B1682" s="1" t="inlineStr">
        <is>
          <t>13392</t>
        </is>
      </c>
      <c r="C1682" s="1" t="inlineStr">
        <is>
          <t>Foundry Jaded Moleskin Concrete Effect Tiles</t>
        </is>
      </c>
      <c r="D1682" s="1" t="inlineStr">
        <is>
          <t>500x500x9.7mm</t>
        </is>
      </c>
      <c r="E1682" s="1" t="n">
        <v>22.35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inlineStr"/>
      <c r="K1682" t="n">
        <v>6</v>
      </c>
      <c r="L1682" t="n">
        <v>6</v>
      </c>
    </row>
    <row r="1683">
      <c r="A1683" s="1">
        <f>Hyperlink("https://www.wallsandfloors.co.uk/form-steel-polished-600x600-tiles","Product")</f>
        <v/>
      </c>
      <c r="B1683" s="1" t="inlineStr">
        <is>
          <t>44319</t>
        </is>
      </c>
      <c r="C1683" s="1" t="inlineStr">
        <is>
          <t>Form Steel Polished Tiles</t>
        </is>
      </c>
      <c r="D1683" s="1" t="inlineStr">
        <is>
          <t>600x600x8.2mm</t>
        </is>
      </c>
      <c r="E1683" s="1" t="n">
        <v>19.95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Polished</t>
        </is>
      </c>
      <c r="J1683" t="n">
        <v>177</v>
      </c>
      <c r="K1683" t="n">
        <v>177</v>
      </c>
      <c r="L1683" t="n">
        <v>177</v>
      </c>
    </row>
    <row r="1684">
      <c r="A1684" s="1">
        <f>Hyperlink("https://www.wallsandfloors.co.uk/form-steel-polished-600x300-tiles","Product")</f>
        <v/>
      </c>
      <c r="B1684" s="1" t="inlineStr">
        <is>
          <t>44320</t>
        </is>
      </c>
      <c r="C1684" s="1" t="inlineStr">
        <is>
          <t>Form Steel Polished Tiles</t>
        </is>
      </c>
      <c r="D1684" s="1" t="inlineStr">
        <is>
          <t>600x300x8.2mm</t>
        </is>
      </c>
      <c r="E1684" s="1" t="n">
        <v>19.95</v>
      </c>
      <c r="F1684" s="1" t="n">
        <v>0</v>
      </c>
      <c r="G1684" s="1" t="inlineStr">
        <is>
          <t>SQM</t>
        </is>
      </c>
      <c r="H1684" s="1" t="inlineStr">
        <is>
          <t>Porcelain</t>
        </is>
      </c>
      <c r="I1684" s="1" t="inlineStr">
        <is>
          <t>Polished</t>
        </is>
      </c>
      <c r="J1684" t="n">
        <v>387</v>
      </c>
      <c r="K1684" t="inlineStr"/>
      <c r="L1684" t="n">
        <v>387</v>
      </c>
    </row>
    <row r="1685">
      <c r="A1685" s="1">
        <f>Hyperlink("https://www.wallsandfloors.co.uk/form-steel-matt-600x600-tiles","Product")</f>
        <v/>
      </c>
      <c r="B1685" s="1" t="inlineStr">
        <is>
          <t>44328</t>
        </is>
      </c>
      <c r="C1685" s="1" t="inlineStr">
        <is>
          <t>Form Steel Matt Tiles</t>
        </is>
      </c>
      <c r="D1685" s="1" t="inlineStr">
        <is>
          <t>600x600x8.2mm</t>
        </is>
      </c>
      <c r="E1685" s="1" t="n">
        <v>19.95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Matt</t>
        </is>
      </c>
      <c r="J1685" t="n">
        <v>239</v>
      </c>
      <c r="K1685" t="n">
        <v>239</v>
      </c>
      <c r="L1685" t="n">
        <v>239</v>
      </c>
    </row>
    <row r="1686">
      <c r="A1686" s="1">
        <f>Hyperlink("https://www.wallsandfloors.co.uk/form-silver-polished-800x800-tiles","Product")</f>
        <v/>
      </c>
      <c r="B1686" s="1" t="inlineStr">
        <is>
          <t>44321</t>
        </is>
      </c>
      <c r="C1686" s="1" t="inlineStr">
        <is>
          <t>Form Silver Polished Tiles</t>
        </is>
      </c>
      <c r="D1686" s="1" t="inlineStr">
        <is>
          <t>800x800x9mm</t>
        </is>
      </c>
      <c r="E1686" s="1" t="n">
        <v>19.95</v>
      </c>
      <c r="F1686" s="1" t="n">
        <v>0</v>
      </c>
      <c r="G1686" s="1" t="inlineStr">
        <is>
          <t>SQM</t>
        </is>
      </c>
      <c r="H1686" s="1" t="inlineStr">
        <is>
          <t>Porcelain</t>
        </is>
      </c>
      <c r="I1686" s="1" t="inlineStr">
        <is>
          <t>Polished</t>
        </is>
      </c>
      <c r="J1686" t="n">
        <v>193</v>
      </c>
      <c r="K1686" t="inlineStr"/>
      <c r="L1686" t="n">
        <v>193</v>
      </c>
    </row>
    <row r="1687">
      <c r="A1687" s="1">
        <f>Hyperlink("https://www.wallsandfloors.co.uk/form-silver-polished-600x600-tiles","Product")</f>
        <v/>
      </c>
      <c r="B1687" s="1" t="inlineStr">
        <is>
          <t>44313</t>
        </is>
      </c>
      <c r="C1687" s="1" t="inlineStr">
        <is>
          <t>Form Silver Grey Polished Tiles</t>
        </is>
      </c>
      <c r="D1687" s="1" t="inlineStr">
        <is>
          <t>600x600x8.2mm</t>
        </is>
      </c>
      <c r="E1687" s="1" t="n">
        <v>19.95</v>
      </c>
      <c r="F1687" s="1" t="n">
        <v>0</v>
      </c>
      <c r="G1687" s="1" t="inlineStr">
        <is>
          <t>SQM</t>
        </is>
      </c>
      <c r="H1687" s="1" t="inlineStr">
        <is>
          <t>Porcelain</t>
        </is>
      </c>
      <c r="I1687" s="1" t="inlineStr">
        <is>
          <t>Polished</t>
        </is>
      </c>
      <c r="J1687" t="n">
        <v>692</v>
      </c>
      <c r="K1687" t="n">
        <v>692</v>
      </c>
      <c r="L1687" t="n">
        <v>692</v>
      </c>
    </row>
    <row r="1688">
      <c r="A1688" s="1">
        <f>Hyperlink("https://www.wallsandfloors.co.uk/form-silver-matt-600x600-tiles","Product")</f>
        <v/>
      </c>
      <c r="B1688" s="1" t="inlineStr">
        <is>
          <t>44324</t>
        </is>
      </c>
      <c r="C1688" s="1" t="inlineStr">
        <is>
          <t>Form Silver Matt Tiles</t>
        </is>
      </c>
      <c r="D1688" s="1" t="inlineStr">
        <is>
          <t>600x600x8.2mm</t>
        </is>
      </c>
      <c r="E1688" s="1" t="n">
        <v>19.95</v>
      </c>
      <c r="F1688" s="1" t="n">
        <v>0</v>
      </c>
      <c r="G1688" s="1" t="inlineStr">
        <is>
          <t>SQM</t>
        </is>
      </c>
      <c r="H1688" s="1" t="inlineStr">
        <is>
          <t>Porcelain</t>
        </is>
      </c>
      <c r="I1688" s="1" t="inlineStr">
        <is>
          <t>Matt</t>
        </is>
      </c>
      <c r="J1688" t="n">
        <v>458</v>
      </c>
      <c r="K1688" t="n">
        <v>458</v>
      </c>
      <c r="L1688" t="n">
        <v>458</v>
      </c>
    </row>
    <row r="1689">
      <c r="A1689" s="1">
        <f>Hyperlink("https://www.wallsandfloors.co.uk/form-silver-matt-600x300-tiles","Product")</f>
        <v/>
      </c>
      <c r="B1689" s="1" t="inlineStr">
        <is>
          <t>44329</t>
        </is>
      </c>
      <c r="C1689" s="1" t="inlineStr">
        <is>
          <t>Form Silver Matt Tiles</t>
        </is>
      </c>
      <c r="D1689" s="1" t="inlineStr">
        <is>
          <t>600x300x8.2mm</t>
        </is>
      </c>
      <c r="E1689" s="1" t="n">
        <v>19.95</v>
      </c>
      <c r="F1689" s="1" t="n">
        <v>0</v>
      </c>
      <c r="G1689" s="1" t="inlineStr">
        <is>
          <t>SQM</t>
        </is>
      </c>
      <c r="H1689" s="1" t="inlineStr">
        <is>
          <t>Porcelain</t>
        </is>
      </c>
      <c r="I1689" s="1" t="inlineStr">
        <is>
          <t>Matt</t>
        </is>
      </c>
      <c r="J1689" t="n">
        <v>103</v>
      </c>
      <c r="K1689" t="n">
        <v>103</v>
      </c>
      <c r="L1689" t="n">
        <v>103</v>
      </c>
    </row>
    <row r="1690">
      <c r="A1690" s="1">
        <f>Hyperlink("https://www.wallsandfloors.co.uk/form-silver-grey-polished-600x300-tiles","Product")</f>
        <v/>
      </c>
      <c r="B1690" s="1" t="inlineStr">
        <is>
          <t>44314</t>
        </is>
      </c>
      <c r="C1690" s="1" t="inlineStr">
        <is>
          <t>Form Silver Grey Polished Tiles</t>
        </is>
      </c>
      <c r="D1690" s="1" t="inlineStr">
        <is>
          <t>600x300x8.2mm</t>
        </is>
      </c>
      <c r="E1690" s="1" t="n">
        <v>19.95</v>
      </c>
      <c r="F1690" s="1" t="n">
        <v>0</v>
      </c>
      <c r="G1690" s="1" t="inlineStr">
        <is>
          <t>SQM</t>
        </is>
      </c>
      <c r="H1690" s="1" t="inlineStr">
        <is>
          <t>Porcelain</t>
        </is>
      </c>
      <c r="I1690" s="1" t="inlineStr">
        <is>
          <t>Polished</t>
        </is>
      </c>
      <c r="J1690" t="inlineStr"/>
      <c r="K1690" t="inlineStr"/>
      <c r="L1690" t="n">
        <v>1144</v>
      </c>
    </row>
    <row r="1691">
      <c r="A1691" s="1">
        <f>Hyperlink("https://www.wallsandfloors.co.uk/form-platinum-polished-600x600-tiles","Product")</f>
        <v/>
      </c>
      <c r="B1691" s="1" t="inlineStr">
        <is>
          <t>44317</t>
        </is>
      </c>
      <c r="C1691" s="1" t="inlineStr">
        <is>
          <t>Form Platinum Polished Tiles</t>
        </is>
      </c>
      <c r="D1691" s="1" t="inlineStr">
        <is>
          <t>600x600x8.2mm</t>
        </is>
      </c>
      <c r="E1691" s="1" t="n">
        <v>19.95</v>
      </c>
      <c r="F1691" s="1" t="n">
        <v>0</v>
      </c>
      <c r="G1691" s="1" t="inlineStr">
        <is>
          <t>SQM</t>
        </is>
      </c>
      <c r="H1691" s="1" t="inlineStr">
        <is>
          <t>Porcelain</t>
        </is>
      </c>
      <c r="I1691" s="1" t="inlineStr">
        <is>
          <t>Polished</t>
        </is>
      </c>
      <c r="J1691" t="n">
        <v>609</v>
      </c>
      <c r="K1691" t="n">
        <v>609</v>
      </c>
      <c r="L1691" t="n">
        <v>609</v>
      </c>
    </row>
    <row r="1692">
      <c r="A1692" s="1">
        <f>Hyperlink("https://www.wallsandfloors.co.uk/form-platinum-polished-600x300-tiles","Product")</f>
        <v/>
      </c>
      <c r="B1692" s="1" t="inlineStr">
        <is>
          <t>44318</t>
        </is>
      </c>
      <c r="C1692" s="1" t="inlineStr">
        <is>
          <t>Form Platinum Polished Tiles</t>
        </is>
      </c>
      <c r="D1692" s="1" t="inlineStr">
        <is>
          <t>600x300x8.2mm</t>
        </is>
      </c>
      <c r="E1692" s="1" t="n">
        <v>19.95</v>
      </c>
      <c r="F1692" s="1" t="n">
        <v>0</v>
      </c>
      <c r="G1692" s="1" t="inlineStr">
        <is>
          <t>SQM</t>
        </is>
      </c>
      <c r="H1692" s="1" t="inlineStr">
        <is>
          <t>Porcelain</t>
        </is>
      </c>
      <c r="I1692" s="1" t="inlineStr">
        <is>
          <t>Polished</t>
        </is>
      </c>
      <c r="J1692" t="inlineStr"/>
      <c r="K1692" t="inlineStr"/>
      <c r="L1692" t="n">
        <v>600</v>
      </c>
    </row>
    <row r="1693">
      <c r="A1693" s="1">
        <f>Hyperlink("https://www.wallsandfloors.co.uk/form-platinum-matt-600x600-tiles","Product")</f>
        <v/>
      </c>
      <c r="B1693" s="1" t="inlineStr">
        <is>
          <t>44327</t>
        </is>
      </c>
      <c r="C1693" s="1" t="inlineStr">
        <is>
          <t>Form Platinum Matt Tiles</t>
        </is>
      </c>
      <c r="D1693" s="1" t="inlineStr">
        <is>
          <t>600x600x8.2mm</t>
        </is>
      </c>
      <c r="E1693" s="1" t="n">
        <v>19.95</v>
      </c>
      <c r="F1693" s="1" t="n">
        <v>0</v>
      </c>
      <c r="G1693" s="1" t="inlineStr">
        <is>
          <t>SQM</t>
        </is>
      </c>
      <c r="H1693" s="1" t="inlineStr">
        <is>
          <t>Porcelain</t>
        </is>
      </c>
      <c r="I1693" s="1" t="inlineStr">
        <is>
          <t>Matt</t>
        </is>
      </c>
      <c r="J1693" t="n">
        <v>82</v>
      </c>
      <c r="K1693" t="inlineStr"/>
      <c r="L1693" t="n">
        <v>82</v>
      </c>
    </row>
    <row r="1694">
      <c r="A1694" s="1">
        <f>Hyperlink("https://www.wallsandfloors.co.uk/form-platinum-matt-600x300-tiles","Product")</f>
        <v/>
      </c>
      <c r="B1694" s="1" t="inlineStr">
        <is>
          <t>44331</t>
        </is>
      </c>
      <c r="C1694" s="1" t="inlineStr">
        <is>
          <t>Form Platinum Matt Tiles</t>
        </is>
      </c>
      <c r="D1694" s="1" t="inlineStr">
        <is>
          <t>600x300x8.2mm</t>
        </is>
      </c>
      <c r="E1694" s="1" t="n">
        <v>19.95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n">
        <v>558</v>
      </c>
      <c r="K1694" t="n">
        <v>558</v>
      </c>
      <c r="L1694" t="n">
        <v>558</v>
      </c>
    </row>
    <row r="1695">
      <c r="A1695" s="1">
        <f>Hyperlink("https://www.wallsandfloors.co.uk/form-ivory-polished-600x600-tiles","Product")</f>
        <v/>
      </c>
      <c r="B1695" s="1" t="inlineStr">
        <is>
          <t>44315</t>
        </is>
      </c>
      <c r="C1695" s="1" t="inlineStr">
        <is>
          <t>Form Ivory Polished Tiles</t>
        </is>
      </c>
      <c r="D1695" s="1" t="inlineStr">
        <is>
          <t>600x600x8.2mm</t>
        </is>
      </c>
      <c r="E1695" s="1" t="n">
        <v>19.95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Polished</t>
        </is>
      </c>
      <c r="J1695" t="n">
        <v>933</v>
      </c>
      <c r="K1695" t="n">
        <v>933</v>
      </c>
      <c r="L1695" t="n">
        <v>933</v>
      </c>
    </row>
    <row r="1696">
      <c r="A1696" s="1">
        <f>Hyperlink("https://www.wallsandfloors.co.uk/form-ivory-polished-600x300-tiles","Product")</f>
        <v/>
      </c>
      <c r="B1696" s="1" t="inlineStr">
        <is>
          <t>23919</t>
        </is>
      </c>
      <c r="C1696" s="1" t="inlineStr">
        <is>
          <t>Form Ivory Polished Tiles</t>
        </is>
      </c>
      <c r="D1696" s="1" t="inlineStr">
        <is>
          <t>600x300x9mm</t>
        </is>
      </c>
      <c r="E1696" s="1" t="n">
        <v>19.95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Polished</t>
        </is>
      </c>
      <c r="J1696" t="n">
        <v>1527</v>
      </c>
      <c r="K1696" t="inlineStr"/>
      <c r="L1696" t="n">
        <v>1527</v>
      </c>
    </row>
    <row r="1697">
      <c r="A1697" s="1">
        <f>Hyperlink("https://www.wallsandfloors.co.uk/form-ivory-matt-600x600-tiles","Product")</f>
        <v/>
      </c>
      <c r="B1697" s="1" t="inlineStr">
        <is>
          <t>44325</t>
        </is>
      </c>
      <c r="C1697" s="1" t="inlineStr">
        <is>
          <t>Form Ivory Matt Tiles</t>
        </is>
      </c>
      <c r="D1697" s="1" t="inlineStr">
        <is>
          <t>600x600x8.2mm</t>
        </is>
      </c>
      <c r="E1697" s="1" t="n">
        <v>19.95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n">
        <v>290</v>
      </c>
      <c r="K1697" t="n">
        <v>290</v>
      </c>
      <c r="L1697" t="n">
        <v>290</v>
      </c>
    </row>
    <row r="1698">
      <c r="A1698" s="1">
        <f>Hyperlink("https://www.wallsandfloors.co.uk/form-ivory-matt-600x300-tiles","Product")</f>
        <v/>
      </c>
      <c r="B1698" s="1" t="inlineStr">
        <is>
          <t>44330</t>
        </is>
      </c>
      <c r="C1698" s="1" t="inlineStr">
        <is>
          <t>Form Ivory Matt Tiles</t>
        </is>
      </c>
      <c r="D1698" s="1" t="inlineStr">
        <is>
          <t>600x300x8.2mm</t>
        </is>
      </c>
      <c r="E1698" s="1" t="n">
        <v>19.95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508</v>
      </c>
      <c r="K1698" t="n">
        <v>508</v>
      </c>
      <c r="L1698" t="n">
        <v>508</v>
      </c>
    </row>
    <row r="1699">
      <c r="A1699" s="1">
        <f>Hyperlink("https://www.wallsandfloors.co.uk/flexible-floor-wall-grout-grey-10kg","Product")</f>
        <v/>
      </c>
      <c r="B1699" s="1" t="inlineStr">
        <is>
          <t>33543</t>
        </is>
      </c>
      <c r="C1699" s="1" t="inlineStr">
        <is>
          <t>Norcros Flexible Wide Joint Tile Grey Grout</t>
        </is>
      </c>
      <c r="D1699" s="1" t="inlineStr">
        <is>
          <t>10kg</t>
        </is>
      </c>
      <c r="E1699" s="1" t="n">
        <v>12.95</v>
      </c>
      <c r="F1699" s="1" t="n">
        <v>0</v>
      </c>
      <c r="G1699" s="1" t="inlineStr">
        <is>
          <t>Unit</t>
        </is>
      </c>
      <c r="H1699" s="1" t="inlineStr">
        <is>
          <t>Grout</t>
        </is>
      </c>
      <c r="I1699" s="1" t="inlineStr">
        <is>
          <t>-</t>
        </is>
      </c>
      <c r="J1699" t="inlineStr">
        <is>
          <t>In Stock</t>
        </is>
      </c>
      <c r="K1699" t="inlineStr">
        <is>
          <t>In Stock</t>
        </is>
      </c>
      <c r="L1699" t="inlineStr">
        <is>
          <t>In Stock</t>
        </is>
      </c>
    </row>
    <row r="1700">
      <c r="A1700" s="1">
        <f>Hyperlink("https://www.wallsandfloors.co.uk/fleur-silver-tiles","Product")</f>
        <v/>
      </c>
      <c r="B1700" s="1" t="inlineStr">
        <is>
          <t>41136</t>
        </is>
      </c>
      <c r="C1700" s="1" t="inlineStr">
        <is>
          <t>Classico Fleur Silver Pattern Tiles</t>
        </is>
      </c>
      <c r="D1700" s="1" t="inlineStr">
        <is>
          <t>450x450x10mm</t>
        </is>
      </c>
      <c r="E1700" s="1" t="n">
        <v>20.95</v>
      </c>
      <c r="F1700" s="1" t="n">
        <v>0</v>
      </c>
      <c r="G1700" s="1" t="inlineStr">
        <is>
          <t>SQM</t>
        </is>
      </c>
      <c r="H1700" s="1" t="inlineStr">
        <is>
          <t>Ceramic</t>
        </is>
      </c>
      <c r="I1700" s="1" t="inlineStr">
        <is>
          <t>Matt</t>
        </is>
      </c>
      <c r="J1700" t="n">
        <v>998</v>
      </c>
      <c r="K1700" t="n">
        <v>998</v>
      </c>
      <c r="L1700" t="n">
        <v>998</v>
      </c>
    </row>
    <row r="1701">
      <c r="A1701" s="1">
        <f>Hyperlink("https://www.wallsandfloors.co.uk/fibre-linen-tiles","Product")</f>
        <v/>
      </c>
      <c r="B1701" s="1" t="inlineStr">
        <is>
          <t>36560</t>
        </is>
      </c>
      <c r="C1701" s="1" t="inlineStr">
        <is>
          <t>Fibre Linen Tiles</t>
        </is>
      </c>
      <c r="D1701" s="1" t="inlineStr">
        <is>
          <t>600x200x9.2mm</t>
        </is>
      </c>
      <c r="E1701" s="1" t="n">
        <v>29.95</v>
      </c>
      <c r="F1701" s="1" t="n">
        <v>0</v>
      </c>
      <c r="G1701" s="1" t="inlineStr">
        <is>
          <t>SQM</t>
        </is>
      </c>
      <c r="H1701" s="1" t="inlineStr">
        <is>
          <t>Ceramic</t>
        </is>
      </c>
      <c r="I1701" s="1" t="inlineStr">
        <is>
          <t>Satin</t>
        </is>
      </c>
      <c r="J1701" t="inlineStr">
        <is>
          <t>In Stock</t>
        </is>
      </c>
      <c r="K1701" t="inlineStr">
        <is>
          <t>In Stock</t>
        </is>
      </c>
      <c r="L1701" t="inlineStr">
        <is>
          <t>In Stock</t>
        </is>
      </c>
    </row>
    <row r="1702">
      <c r="A1702" s="1">
        <f>Hyperlink("https://www.wallsandfloors.co.uk/grey-skirt-tiles","Product")</f>
        <v/>
      </c>
      <c r="B1702" s="1" t="inlineStr">
        <is>
          <t>36818</t>
        </is>
      </c>
      <c r="C1702" s="1" t="inlineStr">
        <is>
          <t>Muniellos Grey Wood Effect Skirt Tiles</t>
        </is>
      </c>
      <c r="D1702" s="1" t="inlineStr">
        <is>
          <t>450x75x10.5mm</t>
        </is>
      </c>
      <c r="E1702" s="1" t="n">
        <v>7.95</v>
      </c>
      <c r="F1702" s="1" t="n">
        <v>0</v>
      </c>
      <c r="G1702" s="1" t="inlineStr">
        <is>
          <t>Tile</t>
        </is>
      </c>
      <c r="H1702" s="1" t="inlineStr">
        <is>
          <t>Porcelain</t>
        </is>
      </c>
      <c r="I1702" s="1" t="inlineStr">
        <is>
          <t>Matt</t>
        </is>
      </c>
      <c r="J1702" t="inlineStr">
        <is>
          <t>In Stock</t>
        </is>
      </c>
      <c r="K1702" t="inlineStr">
        <is>
          <t>In Stock</t>
        </is>
      </c>
      <c r="L1702" t="inlineStr">
        <is>
          <t>In Stock</t>
        </is>
      </c>
    </row>
    <row r="1703">
      <c r="A1703" s="1">
        <f>Hyperlink("https://www.wallsandfloors.co.uk/grey-squares-150mm-tiles","Product")</f>
        <v/>
      </c>
      <c r="B1703" s="1" t="inlineStr">
        <is>
          <t>990023</t>
        </is>
      </c>
      <c r="C1703" s="1" t="inlineStr">
        <is>
          <t>Grey Squares Tiles</t>
        </is>
      </c>
      <c r="D1703" s="1" t="inlineStr">
        <is>
          <t>150x150x9-10mm</t>
        </is>
      </c>
      <c r="E1703" s="1" t="n">
        <v>2.66</v>
      </c>
      <c r="F1703" s="1" t="n">
        <v>0</v>
      </c>
      <c r="G1703" s="1" t="inlineStr">
        <is>
          <t>SQM</t>
        </is>
      </c>
      <c r="H1703" s="1" t="inlineStr">
        <is>
          <t>Porcelain</t>
        </is>
      </c>
      <c r="I1703" s="1" t="inlineStr">
        <is>
          <t>Matt</t>
        </is>
      </c>
      <c r="J1703" t="n">
        <v>104</v>
      </c>
      <c r="K1703" t="inlineStr"/>
      <c r="L1703" t="n">
        <v>104</v>
      </c>
    </row>
    <row r="1704">
      <c r="A1704" s="1">
        <f>Hyperlink("https://www.wallsandfloors.co.uk/grey-squares-50mm-tiles","Product")</f>
        <v/>
      </c>
      <c r="B1704" s="1" t="inlineStr">
        <is>
          <t>990085</t>
        </is>
      </c>
      <c r="C1704" s="1" t="inlineStr">
        <is>
          <t>Grey Squares 50mm Tiles</t>
        </is>
      </c>
      <c r="D1704" s="1" t="inlineStr">
        <is>
          <t>50x50x9-10mm</t>
        </is>
      </c>
      <c r="E1704" s="1" t="n">
        <v>0.67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n">
        <v>209</v>
      </c>
      <c r="K1704" t="n">
        <v>209</v>
      </c>
      <c r="L1704" t="n">
        <v>209</v>
      </c>
    </row>
    <row r="1705">
      <c r="A1705" s="1">
        <f>Hyperlink("https://www.wallsandfloors.co.uk/jackoboard-aqua-line-easy-1200x900x30","Product")</f>
        <v/>
      </c>
      <c r="B1705" s="1" t="inlineStr">
        <is>
          <t>42694</t>
        </is>
      </c>
      <c r="C1705" s="1" t="inlineStr">
        <is>
          <t>Jackoboard Aqua Line Easy Drain 1200x900x30mm</t>
        </is>
      </c>
      <c r="D1705" s="1" t="inlineStr">
        <is>
          <t>1200x900x30mm</t>
        </is>
      </c>
      <c r="E1705" s="1" t="n">
        <v>329.95</v>
      </c>
      <c r="F1705" s="1" t="n">
        <v>0</v>
      </c>
      <c r="G1705" s="1" t="inlineStr">
        <is>
          <t>Unit</t>
        </is>
      </c>
      <c r="H1705" s="1" t="inlineStr">
        <is>
          <t>XPS Foam</t>
        </is>
      </c>
      <c r="I1705" s="1" t="inlineStr">
        <is>
          <t>-</t>
        </is>
      </c>
      <c r="J1705" t="inlineStr"/>
      <c r="K1705" t="inlineStr">
        <is>
          <t>In Stock</t>
        </is>
      </c>
      <c r="L1705" t="inlineStr">
        <is>
          <t>In Stock</t>
        </is>
      </c>
    </row>
    <row r="1706">
      <c r="A1706" s="1">
        <f>Hyperlink("https://www.wallsandfloors.co.uk/jackoboard-aqua-flat-offset-drain-1200x900x20","Product")</f>
        <v/>
      </c>
      <c r="B1706" s="1" t="inlineStr">
        <is>
          <t>42692</t>
        </is>
      </c>
      <c r="C1706" s="1" t="inlineStr">
        <is>
          <t>Jackoboard Aqua Flat - Offset Drain 1200x900x20mm</t>
        </is>
      </c>
      <c r="D1706" s="1" t="inlineStr">
        <is>
          <t>900x1200x20mm</t>
        </is>
      </c>
      <c r="E1706" s="1" t="n">
        <v>159.95</v>
      </c>
      <c r="F1706" s="1" t="n">
        <v>0</v>
      </c>
      <c r="G1706" s="1" t="inlineStr">
        <is>
          <t>Unit</t>
        </is>
      </c>
      <c r="H1706" s="1" t="inlineStr">
        <is>
          <t>XPS Foam</t>
        </is>
      </c>
      <c r="I1706" s="1" t="inlineStr">
        <is>
          <t>-</t>
        </is>
      </c>
      <c r="J1706" t="inlineStr">
        <is>
          <t>In Stock</t>
        </is>
      </c>
      <c r="K1706" t="inlineStr">
        <is>
          <t>In Stock</t>
        </is>
      </c>
      <c r="L1706" t="inlineStr">
        <is>
          <t>In Stock</t>
        </is>
      </c>
    </row>
    <row r="1707">
      <c r="A1707" s="1">
        <f>Hyperlink("https://www.wallsandfloors.co.uk/jackoboard-aqua-flat-centre-drain-900x900x20","Product")</f>
        <v/>
      </c>
      <c r="B1707" s="1" t="inlineStr">
        <is>
          <t>42691</t>
        </is>
      </c>
      <c r="C1707" s="1" t="inlineStr">
        <is>
          <t>Jackoboard Aqua Flat - Centre Drain 900x900x20mm</t>
        </is>
      </c>
      <c r="D1707" s="1" t="inlineStr">
        <is>
          <t>900x900x20mm</t>
        </is>
      </c>
      <c r="E1707" s="1" t="n">
        <v>124.95</v>
      </c>
      <c r="F1707" s="1" t="n">
        <v>0</v>
      </c>
      <c r="G1707" s="1" t="inlineStr">
        <is>
          <t>Unit</t>
        </is>
      </c>
      <c r="H1707" s="1" t="inlineStr">
        <is>
          <t>XPS Foam</t>
        </is>
      </c>
      <c r="I1707" s="1" t="inlineStr">
        <is>
          <t>-</t>
        </is>
      </c>
      <c r="J1707" t="inlineStr"/>
      <c r="K1707" t="inlineStr">
        <is>
          <t>In Stock</t>
        </is>
      </c>
      <c r="L1707" t="inlineStr">
        <is>
          <t>In Stock</t>
        </is>
      </c>
    </row>
    <row r="1708">
      <c r="A1708" s="1">
        <f>Hyperlink("https://www.wallsandfloors.co.uk/jackoboard-aqua-flat-centre-drain-1800x90x20","Product")</f>
        <v/>
      </c>
      <c r="B1708" s="1" t="inlineStr">
        <is>
          <t>42690</t>
        </is>
      </c>
      <c r="C1708" s="1" t="inlineStr">
        <is>
          <t>Jackoboard Aqua Flat - Centre Drain 1800x900x20mm</t>
        </is>
      </c>
      <c r="D1708" s="1" t="inlineStr">
        <is>
          <t>1800x900x20mm</t>
        </is>
      </c>
      <c r="E1708" s="1" t="n">
        <v>179.95</v>
      </c>
      <c r="F1708" s="1" t="n">
        <v>0</v>
      </c>
      <c r="G1708" s="1" t="inlineStr">
        <is>
          <t>Unit</t>
        </is>
      </c>
      <c r="H1708" s="1" t="inlineStr">
        <is>
          <t>XPS Foam</t>
        </is>
      </c>
      <c r="I1708" s="1" t="inlineStr">
        <is>
          <t>-</t>
        </is>
      </c>
      <c r="J1708" t="inlineStr">
        <is>
          <t>In Stock</t>
        </is>
      </c>
      <c r="K1708" t="inlineStr">
        <is>
          <t>In Stock</t>
        </is>
      </c>
      <c r="L1708" t="inlineStr">
        <is>
          <t>In Stock</t>
        </is>
      </c>
    </row>
    <row r="1709">
      <c r="A1709" s="1">
        <f>Hyperlink("https://www.wallsandfloors.co.uk/jackoboard-aqua-flat-centre-drain-1200x900x20","Product")</f>
        <v/>
      </c>
      <c r="B1709" s="1" t="inlineStr">
        <is>
          <t>42689</t>
        </is>
      </c>
      <c r="C1709" s="1" t="inlineStr">
        <is>
          <t>Jackoboard Aqua Flat - Centre Drain 1200x900x20mm</t>
        </is>
      </c>
      <c r="D1709" s="1" t="inlineStr">
        <is>
          <t>900x1200x20mm</t>
        </is>
      </c>
      <c r="E1709" s="1" t="n">
        <v>149.95</v>
      </c>
      <c r="F1709" s="1" t="n">
        <v>0</v>
      </c>
      <c r="G1709" s="1" t="inlineStr"/>
      <c r="H1709" s="1" t="inlineStr">
        <is>
          <t>XPS Foam</t>
        </is>
      </c>
      <c r="I1709" s="1" t="inlineStr">
        <is>
          <t>-</t>
        </is>
      </c>
      <c r="J1709" t="inlineStr">
        <is>
          <t>In Stock</t>
        </is>
      </c>
      <c r="K1709" t="inlineStr">
        <is>
          <t>In Stock</t>
        </is>
      </c>
      <c r="L1709" t="inlineStr">
        <is>
          <t>In Stock</t>
        </is>
      </c>
    </row>
    <row r="1710">
      <c r="A1710" s="1">
        <f>Hyperlink("https://www.wallsandfloors.co.uk/ivory-triangle-50x50x70mm-tiles","Product")</f>
        <v/>
      </c>
      <c r="B1710" s="1" t="inlineStr">
        <is>
          <t>990171</t>
        </is>
      </c>
      <c r="C1710" s="1" t="inlineStr">
        <is>
          <t>Ivory Triangle Tiles</t>
        </is>
      </c>
      <c r="D1710" s="1" t="inlineStr">
        <is>
          <t>50x50x70mm</t>
        </is>
      </c>
      <c r="E1710" s="1" t="n">
        <v>2.03</v>
      </c>
      <c r="F1710" s="1" t="n">
        <v>0</v>
      </c>
      <c r="G1710" s="1" t="inlineStr">
        <is>
          <t>SQM</t>
        </is>
      </c>
      <c r="H1710" s="1" t="inlineStr">
        <is>
          <t>Porcelain</t>
        </is>
      </c>
      <c r="I1710" s="1" t="inlineStr">
        <is>
          <t>Matt</t>
        </is>
      </c>
      <c r="J1710" t="inlineStr"/>
      <c r="K1710" t="n">
        <v>860</v>
      </c>
      <c r="L1710" t="n">
        <v>860</v>
      </c>
    </row>
    <row r="1711">
      <c r="A1711" s="1">
        <f>Hyperlink("https://www.wallsandfloors.co.uk/ivory-strip-150x50mm-tiles","Product")</f>
        <v/>
      </c>
      <c r="B1711" s="1" t="inlineStr">
        <is>
          <t>990271</t>
        </is>
      </c>
      <c r="C1711" s="1" t="inlineStr">
        <is>
          <t>Ivory Strip Tiles</t>
        </is>
      </c>
      <c r="D1711" s="1" t="inlineStr">
        <is>
          <t>150x50x9-10mm</t>
        </is>
      </c>
      <c r="E1711" s="1" t="n">
        <v>3.2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n">
        <v>42</v>
      </c>
      <c r="K1711" t="n">
        <v>42</v>
      </c>
      <c r="L1711" t="n">
        <v>42</v>
      </c>
    </row>
    <row r="1712">
      <c r="A1712" s="1">
        <f>Hyperlink("https://www.wallsandfloors.co.uk/ivory-squares-50mm-tiles","Product")</f>
        <v/>
      </c>
      <c r="B1712" s="1" t="inlineStr">
        <is>
          <t>990086</t>
        </is>
      </c>
      <c r="C1712" s="1" t="inlineStr">
        <is>
          <t>Ivory Squares 50mm Tiles</t>
        </is>
      </c>
      <c r="D1712" s="1" t="inlineStr">
        <is>
          <t>50x50x9-10mm</t>
        </is>
      </c>
      <c r="E1712" s="1" t="n">
        <v>0.67</v>
      </c>
      <c r="F1712" s="1" t="n">
        <v>0</v>
      </c>
      <c r="G1712" s="1" t="inlineStr">
        <is>
          <t>SQM</t>
        </is>
      </c>
      <c r="H1712" s="1" t="inlineStr">
        <is>
          <t>Porcelain</t>
        </is>
      </c>
      <c r="I1712" s="1" t="inlineStr">
        <is>
          <t>Matt</t>
        </is>
      </c>
      <c r="J1712" t="inlineStr"/>
      <c r="K1712" t="n">
        <v>189</v>
      </c>
      <c r="L1712" t="n">
        <v>189</v>
      </c>
    </row>
    <row r="1713">
      <c r="A1713" s="1">
        <f>Hyperlink("https://www.wallsandfloors.co.uk/ivory-squares-150mm-tiles","Product")</f>
        <v/>
      </c>
      <c r="B1713" s="1" t="inlineStr">
        <is>
          <t>990024</t>
        </is>
      </c>
      <c r="C1713" s="1" t="inlineStr">
        <is>
          <t>Ivory Squares Tiles</t>
        </is>
      </c>
      <c r="D1713" s="1" t="inlineStr">
        <is>
          <t>150x150x9-10mm</t>
        </is>
      </c>
      <c r="E1713" s="1" t="n">
        <v>2.36</v>
      </c>
      <c r="F1713" s="1" t="n">
        <v>0</v>
      </c>
      <c r="G1713" s="1" t="inlineStr">
        <is>
          <t>SQM</t>
        </is>
      </c>
      <c r="H1713" s="1" t="inlineStr">
        <is>
          <t>Porcelain</t>
        </is>
      </c>
      <c r="I1713" s="1" t="inlineStr">
        <is>
          <t>Matt</t>
        </is>
      </c>
      <c r="J1713" t="inlineStr"/>
      <c r="K1713" t="n">
        <v>2</v>
      </c>
      <c r="L1713" t="n">
        <v>2</v>
      </c>
    </row>
    <row r="1714">
      <c r="A1714" s="1">
        <f>Hyperlink("https://www.wallsandfloors.co.uk/ivory-octagon-150mm-tiles","Product")</f>
        <v/>
      </c>
      <c r="B1714" s="1" t="inlineStr">
        <is>
          <t>990132</t>
        </is>
      </c>
      <c r="C1714" s="1" t="inlineStr">
        <is>
          <t>Ivory Octagon Tiles</t>
        </is>
      </c>
      <c r="D1714" s="1" t="inlineStr">
        <is>
          <t>150x150x9-10mm</t>
        </is>
      </c>
      <c r="E1714" s="1" t="n">
        <v>2.66</v>
      </c>
      <c r="F1714" s="1" t="n">
        <v>0</v>
      </c>
      <c r="G1714" s="1" t="inlineStr">
        <is>
          <t>SQM</t>
        </is>
      </c>
      <c r="H1714" s="1" t="inlineStr">
        <is>
          <t>Porcelain</t>
        </is>
      </c>
      <c r="I1714" s="1" t="inlineStr">
        <is>
          <t>Matt</t>
        </is>
      </c>
      <c r="J1714" t="n">
        <v>73</v>
      </c>
      <c r="K1714" t="n">
        <v>73</v>
      </c>
      <c r="L1714" t="n">
        <v>73</v>
      </c>
    </row>
    <row r="1715">
      <c r="A1715" s="1">
        <f>Hyperlink("https://www.wallsandfloors.co.uk/island-white-tiles","Product")</f>
        <v/>
      </c>
      <c r="B1715" s="1" t="inlineStr">
        <is>
          <t>38986</t>
        </is>
      </c>
      <c r="C1715" s="1" t="inlineStr">
        <is>
          <t>Nyans Island White Wood Effect Tiles</t>
        </is>
      </c>
      <c r="D1715" s="1" t="inlineStr">
        <is>
          <t>593x98x9.5mm</t>
        </is>
      </c>
      <c r="E1715" s="1" t="n">
        <v>40.95</v>
      </c>
      <c r="F1715" s="1" t="n">
        <v>0</v>
      </c>
      <c r="G1715" s="1" t="inlineStr">
        <is>
          <t>SQM</t>
        </is>
      </c>
      <c r="H1715" s="1" t="inlineStr">
        <is>
          <t>Porcelain</t>
        </is>
      </c>
      <c r="I1715" s="1" t="inlineStr">
        <is>
          <t>Matt</t>
        </is>
      </c>
      <c r="J1715" t="n">
        <v>128</v>
      </c>
      <c r="K1715" t="inlineStr"/>
      <c r="L1715" t="n">
        <v>128</v>
      </c>
    </row>
    <row r="1716">
      <c r="A1716" s="1">
        <f>Hyperlink("https://www.wallsandfloors.co.uk/inverti-metro-tiles-soft-grey-tiles","Product")</f>
        <v/>
      </c>
      <c r="B1716" s="1" t="inlineStr">
        <is>
          <t>15164</t>
        </is>
      </c>
      <c r="C1716" s="1" t="inlineStr">
        <is>
          <t>Soft Grey Tiles</t>
        </is>
      </c>
      <c r="D1716" s="1" t="inlineStr">
        <is>
          <t>200x100x5mm</t>
        </is>
      </c>
      <c r="E1716" s="1" t="n">
        <v>16.15</v>
      </c>
      <c r="F1716" s="1" t="n">
        <v>0</v>
      </c>
      <c r="G1716" s="1" t="inlineStr">
        <is>
          <t>SQM</t>
        </is>
      </c>
      <c r="H1716" s="1" t="inlineStr">
        <is>
          <t>Ceramic</t>
        </is>
      </c>
      <c r="I1716" s="1" t="inlineStr">
        <is>
          <t>Matt</t>
        </is>
      </c>
      <c r="J1716" t="n">
        <v>30</v>
      </c>
      <c r="K1716" t="inlineStr"/>
      <c r="L1716" t="n">
        <v>30</v>
      </c>
    </row>
    <row r="1717">
      <c r="A1717" s="1">
        <f>Hyperlink("https://www.wallsandfloors.co.uk/inox-notched-trowel-11-28-cm-15mm-x-15mm","Product")</f>
        <v/>
      </c>
      <c r="B1717" s="1" t="inlineStr">
        <is>
          <t>40421</t>
        </is>
      </c>
      <c r="C1717" s="1" t="inlineStr">
        <is>
          <t>INOX Notched Trowel 11 Inch (28 cm.) 15mm x 15mm</t>
        </is>
      </c>
      <c r="D1717" s="1" t="inlineStr">
        <is>
          <t>11" (28 cm.) 15mm x 15mm</t>
        </is>
      </c>
      <c r="E1717" s="1" t="n">
        <v>16.87</v>
      </c>
      <c r="F1717" s="1" t="n">
        <v>0</v>
      </c>
      <c r="G1717" s="1" t="inlineStr">
        <is>
          <t>Unit</t>
        </is>
      </c>
      <c r="H1717" s="1" t="inlineStr">
        <is>
          <t>Tools</t>
        </is>
      </c>
      <c r="I1717" s="1" t="inlineStr">
        <is>
          <t>-</t>
        </is>
      </c>
      <c r="J1717" t="inlineStr"/>
      <c r="K1717" t="inlineStr">
        <is>
          <t>In Stock</t>
        </is>
      </c>
      <c r="L1717" t="inlineStr">
        <is>
          <t>In Stock</t>
        </is>
      </c>
    </row>
    <row r="1718">
      <c r="A1718" s="1">
        <f>Hyperlink("https://www.wallsandfloors.co.uk/inox-notched-trowel-11-28-cm-1-2-x1-2-12x12-mm","Product")</f>
        <v/>
      </c>
      <c r="B1718" s="1" t="inlineStr">
        <is>
          <t>40418</t>
        </is>
      </c>
      <c r="C1718" s="1" t="inlineStr">
        <is>
          <t>INOX Notched Trowel 12x12 mm</t>
        </is>
      </c>
      <c r="D1718" s="1" t="inlineStr">
        <is>
          <t>12x12 mm</t>
        </is>
      </c>
      <c r="E1718" s="1" t="n">
        <v>16.87</v>
      </c>
      <c r="F1718" s="1" t="n">
        <v>0</v>
      </c>
      <c r="G1718" s="1" t="inlineStr">
        <is>
          <t>Unit</t>
        </is>
      </c>
      <c r="H1718" s="1" t="inlineStr">
        <is>
          <t>Tools</t>
        </is>
      </c>
      <c r="I1718" s="1" t="inlineStr">
        <is>
          <t>-</t>
        </is>
      </c>
      <c r="J1718" t="inlineStr">
        <is>
          <t>In Stock</t>
        </is>
      </c>
      <c r="K1718" t="inlineStr">
        <is>
          <t>In Stock</t>
        </is>
      </c>
      <c r="L1718" t="inlineStr">
        <is>
          <t>In Stock</t>
        </is>
      </c>
    </row>
    <row r="1719">
      <c r="A1719" s="1">
        <f>Hyperlink("https://www.wallsandfloors.co.uk/innocence-whites-white-smooth-gloss-150x150-tile","Product")</f>
        <v/>
      </c>
      <c r="B1719" s="1" t="inlineStr">
        <is>
          <t>13336</t>
        </is>
      </c>
      <c r="C1719" s="1" t="inlineStr">
        <is>
          <t>Innocence Smooth Gloss White Wall Tiles</t>
        </is>
      </c>
      <c r="D1719" s="1" t="inlineStr">
        <is>
          <t>150x150x4mm</t>
        </is>
      </c>
      <c r="E1719" s="1" t="n">
        <v>7.99</v>
      </c>
      <c r="F1719" s="1" t="n">
        <v>0</v>
      </c>
      <c r="G1719" s="1" t="inlineStr">
        <is>
          <t>SQM</t>
        </is>
      </c>
      <c r="H1719" s="1" t="inlineStr">
        <is>
          <t>Ceramic</t>
        </is>
      </c>
      <c r="I1719" s="1" t="inlineStr">
        <is>
          <t>Gloss</t>
        </is>
      </c>
      <c r="J1719" t="n">
        <v>2908</v>
      </c>
      <c r="K1719" t="n">
        <v>2908</v>
      </c>
      <c r="L1719" t="n">
        <v>2908</v>
      </c>
    </row>
    <row r="1720">
      <c r="A1720" s="1">
        <f>Hyperlink("https://www.wallsandfloors.co.uk/innocence-whites-white-smooth-flat-gloss-400x250-wall-tile","Product")</f>
        <v/>
      </c>
      <c r="B1720" s="1" t="inlineStr">
        <is>
          <t>13334</t>
        </is>
      </c>
      <c r="C1720" s="1" t="inlineStr">
        <is>
          <t>Innocence White Flat Gloss Wall Tile</t>
        </is>
      </c>
      <c r="D1720" s="1" t="inlineStr">
        <is>
          <t>400x250x8mm</t>
        </is>
      </c>
      <c r="E1720" s="1" t="n">
        <v>13.95</v>
      </c>
      <c r="F1720" s="1" t="n">
        <v>0</v>
      </c>
      <c r="G1720" s="1" t="inlineStr">
        <is>
          <t>SQM</t>
        </is>
      </c>
      <c r="H1720" s="1" t="inlineStr">
        <is>
          <t>Ceramic</t>
        </is>
      </c>
      <c r="I1720" s="1" t="inlineStr">
        <is>
          <t>Gloss</t>
        </is>
      </c>
      <c r="J1720" t="n">
        <v>1900</v>
      </c>
      <c r="K1720" t="n">
        <v>1900</v>
      </c>
      <c r="L1720" t="n">
        <v>1900</v>
      </c>
    </row>
    <row r="1721">
      <c r="A1721" s="1">
        <f>Hyperlink("https://www.wallsandfloors.co.uk/indigo-modello-vecchio-white-tiles","Product")</f>
        <v/>
      </c>
      <c r="B1721" s="1" t="inlineStr">
        <is>
          <t>24736</t>
        </is>
      </c>
      <c r="C1721" s="1" t="inlineStr">
        <is>
          <t>Vecchio White Tiles</t>
        </is>
      </c>
      <c r="D1721" s="1" t="inlineStr">
        <is>
          <t>330x330x9.5mm</t>
        </is>
      </c>
      <c r="E1721" s="1" t="n">
        <v>27.95</v>
      </c>
      <c r="F1721" s="1" t="n">
        <v>0</v>
      </c>
      <c r="G1721" s="1" t="inlineStr">
        <is>
          <t>SQM</t>
        </is>
      </c>
      <c r="H1721" s="1" t="inlineStr">
        <is>
          <t>Ceramic</t>
        </is>
      </c>
      <c r="I1721" s="1" t="inlineStr">
        <is>
          <t>Matt</t>
        </is>
      </c>
      <c r="J1721" t="n">
        <v>77</v>
      </c>
      <c r="K1721" t="n">
        <v>77</v>
      </c>
      <c r="L1721" t="n">
        <v>77</v>
      </c>
    </row>
    <row r="1722">
      <c r="A1722" s="1">
        <f>Hyperlink("https://www.wallsandfloors.co.uk/indigo-modello-vecchio-indigo-mix-tiles","Product")</f>
        <v/>
      </c>
      <c r="B1722" s="1" t="inlineStr">
        <is>
          <t>24737</t>
        </is>
      </c>
      <c r="C1722" s="1" t="inlineStr">
        <is>
          <t>Vecchio Indigo Mix Tiles</t>
        </is>
      </c>
      <c r="D1722" s="1" t="inlineStr">
        <is>
          <t>330x330x9.5mm</t>
        </is>
      </c>
      <c r="E1722" s="1" t="n">
        <v>27.95</v>
      </c>
      <c r="F1722" s="1" t="n">
        <v>0</v>
      </c>
      <c r="G1722" s="1" t="inlineStr">
        <is>
          <t>SQM</t>
        </is>
      </c>
      <c r="H1722" s="1" t="inlineStr">
        <is>
          <t>Ceramic</t>
        </is>
      </c>
      <c r="I1722" s="1" t="inlineStr">
        <is>
          <t>Matt</t>
        </is>
      </c>
      <c r="J1722" t="n">
        <v>95</v>
      </c>
      <c r="K1722" t="n">
        <v>95</v>
      </c>
      <c r="L1722" t="n">
        <v>95</v>
      </c>
    </row>
    <row r="1723">
      <c r="A1723" s="1">
        <f>Hyperlink("https://www.wallsandfloors.co.uk/indigo-modello-vecchio-diamante-indigo-tiles","Product")</f>
        <v/>
      </c>
      <c r="B1723" s="1" t="inlineStr">
        <is>
          <t>24738</t>
        </is>
      </c>
      <c r="C1723" s="1" t="inlineStr">
        <is>
          <t>Vecchio Diamante Indigo Tiles</t>
        </is>
      </c>
      <c r="D1723" s="1" t="inlineStr">
        <is>
          <t>330x330x9.5mm</t>
        </is>
      </c>
      <c r="E1723" s="1" t="n">
        <v>27.95</v>
      </c>
      <c r="F1723" s="1" t="n">
        <v>0</v>
      </c>
      <c r="G1723" s="1" t="inlineStr">
        <is>
          <t>SQM</t>
        </is>
      </c>
      <c r="H1723" s="1" t="inlineStr">
        <is>
          <t>Ceramic</t>
        </is>
      </c>
      <c r="I1723" s="1" t="inlineStr">
        <is>
          <t>Matt</t>
        </is>
      </c>
      <c r="J1723" t="n">
        <v>88</v>
      </c>
      <c r="K1723" t="inlineStr"/>
      <c r="L1723" t="n">
        <v>88</v>
      </c>
    </row>
    <row r="1724">
      <c r="A1724" s="1">
        <f>Hyperlink("https://www.wallsandfloors.co.uk/indigo-blue-tiles","Product")</f>
        <v/>
      </c>
      <c r="B1724" s="1" t="inlineStr">
        <is>
          <t>38982</t>
        </is>
      </c>
      <c r="C1724" s="1" t="inlineStr">
        <is>
          <t>Nyans Indigo Blue Wood Effect Tiles</t>
        </is>
      </c>
      <c r="D1724" s="1" t="inlineStr">
        <is>
          <t>593x98x9.5mm</t>
        </is>
      </c>
      <c r="E1724" s="1" t="n">
        <v>40.95</v>
      </c>
      <c r="F1724" s="1" t="n">
        <v>0</v>
      </c>
      <c r="G1724" s="1" t="inlineStr">
        <is>
          <t>SQM</t>
        </is>
      </c>
      <c r="H1724" s="1" t="inlineStr">
        <is>
          <t>Porcelain</t>
        </is>
      </c>
      <c r="I1724" s="1" t="inlineStr">
        <is>
          <t>Matt</t>
        </is>
      </c>
      <c r="J1724" t="n">
        <v>123</v>
      </c>
      <c r="K1724" t="n">
        <v>123</v>
      </c>
      <c r="L1724" t="n">
        <v>123</v>
      </c>
    </row>
    <row r="1725">
      <c r="A1725" s="1">
        <f>Hyperlink("https://www.wallsandfloors.co.uk/icaria-plus-ocre-595x595x20-tiles","Product")</f>
        <v/>
      </c>
      <c r="B1725" s="1" t="inlineStr">
        <is>
          <t>44178</t>
        </is>
      </c>
      <c r="C1725" s="1" t="inlineStr">
        <is>
          <t>Icaria Plus Ocre Porcelain Paving Slabs</t>
        </is>
      </c>
      <c r="D1725" s="1" t="inlineStr">
        <is>
          <t>595x595x20mm</t>
        </is>
      </c>
      <c r="E1725" s="1" t="n">
        <v>25.95</v>
      </c>
      <c r="F1725" s="1" t="n">
        <v>0</v>
      </c>
      <c r="G1725" s="1" t="inlineStr">
        <is>
          <t>SQM</t>
        </is>
      </c>
      <c r="H1725" s="1" t="inlineStr">
        <is>
          <t>Porcelain</t>
        </is>
      </c>
      <c r="I1725" s="1" t="inlineStr">
        <is>
          <t>Matt</t>
        </is>
      </c>
      <c r="J1725" t="n">
        <v>451</v>
      </c>
      <c r="K1725" t="n">
        <v>451</v>
      </c>
      <c r="L1725" t="n">
        <v>451</v>
      </c>
    </row>
    <row r="1726">
      <c r="A1726" s="1">
        <f>Hyperlink("https://www.wallsandfloors.co.uk/icaria-plus-beige-595x595x20-tiles","Product")</f>
        <v/>
      </c>
      <c r="B1726" s="1" t="inlineStr">
        <is>
          <t>44088</t>
        </is>
      </c>
      <c r="C1726" s="1" t="inlineStr">
        <is>
          <t>Icaria Plus Beige Porcelain Paving Slabs</t>
        </is>
      </c>
      <c r="D1726" s="1" t="inlineStr">
        <is>
          <t>595x595x20mm</t>
        </is>
      </c>
      <c r="E1726" s="1" t="n">
        <v>25.95</v>
      </c>
      <c r="F1726" s="1" t="n">
        <v>0</v>
      </c>
      <c r="G1726" s="1" t="inlineStr">
        <is>
          <t>SQM</t>
        </is>
      </c>
      <c r="H1726" s="1" t="inlineStr">
        <is>
          <t>Porcelain</t>
        </is>
      </c>
      <c r="I1726" s="1" t="inlineStr">
        <is>
          <t>Matt</t>
        </is>
      </c>
      <c r="J1726" t="n">
        <v>2812</v>
      </c>
      <c r="K1726" t="n">
        <v>2812</v>
      </c>
      <c r="L1726" t="n">
        <v>2812</v>
      </c>
    </row>
    <row r="1727">
      <c r="A1727" s="1">
        <f>Hyperlink("https://www.wallsandfloors.co.uk/hoxley-pistachio-tiles","Product")</f>
        <v/>
      </c>
      <c r="B1727" s="1" t="inlineStr">
        <is>
          <t>39104</t>
        </is>
      </c>
      <c r="C1727" s="1" t="inlineStr">
        <is>
          <t>Hoxley Pistachio Tiles</t>
        </is>
      </c>
      <c r="D1727" s="1" t="inlineStr">
        <is>
          <t>200x200x8mm</t>
        </is>
      </c>
      <c r="E1727" s="1" t="n">
        <v>35.95</v>
      </c>
      <c r="F1727" s="1" t="n">
        <v>0</v>
      </c>
      <c r="G1727" s="1" t="inlineStr">
        <is>
          <t>SQM</t>
        </is>
      </c>
      <c r="H1727" s="1" t="inlineStr">
        <is>
          <t>Ceramic</t>
        </is>
      </c>
      <c r="I1727" s="1" t="inlineStr">
        <is>
          <t>Matt</t>
        </is>
      </c>
      <c r="J1727" t="inlineStr"/>
      <c r="K1727" t="n">
        <v>79</v>
      </c>
      <c r="L1727" t="n">
        <v>79</v>
      </c>
    </row>
    <row r="1728">
      <c r="A1728" s="1">
        <f>Hyperlink("https://www.wallsandfloors.co.uk/jackoboard-aqua-tray-drain","Product")</f>
        <v/>
      </c>
      <c r="B1728" s="1" t="inlineStr">
        <is>
          <t>42702</t>
        </is>
      </c>
      <c r="C1728" s="1" t="inlineStr">
        <is>
          <t>Jackoboard Aqua Tray Drains</t>
        </is>
      </c>
      <c r="D1728" s="1" t="inlineStr">
        <is>
          <t>-</t>
        </is>
      </c>
      <c r="E1728" s="1" t="n">
        <v>69.95</v>
      </c>
      <c r="F1728" s="1" t="n">
        <v>0</v>
      </c>
      <c r="G1728" s="1" t="inlineStr">
        <is>
          <t>Unit</t>
        </is>
      </c>
      <c r="H1728" s="1" t="inlineStr">
        <is>
          <t>-</t>
        </is>
      </c>
      <c r="I1728" s="1" t="inlineStr">
        <is>
          <t>-</t>
        </is>
      </c>
      <c r="J1728" t="inlineStr">
        <is>
          <t>In Stock</t>
        </is>
      </c>
      <c r="K1728" t="inlineStr"/>
      <c r="L1728" t="inlineStr">
        <is>
          <t>In Stock</t>
        </is>
      </c>
    </row>
    <row r="1729">
      <c r="A1729" s="1">
        <f>Hyperlink("https://www.wallsandfloors.co.uk/hoxley-peacock-tiles","Product")</f>
        <v/>
      </c>
      <c r="B1729" s="1" t="inlineStr">
        <is>
          <t>39109</t>
        </is>
      </c>
      <c r="C1729" s="1" t="inlineStr">
        <is>
          <t>Hoxley Peacock Tiles</t>
        </is>
      </c>
      <c r="D1729" s="1" t="inlineStr">
        <is>
          <t>200x200x8mm</t>
        </is>
      </c>
      <c r="E1729" s="1" t="n">
        <v>35.95</v>
      </c>
      <c r="F1729" s="1" t="n">
        <v>0</v>
      </c>
      <c r="G1729" s="1" t="inlineStr">
        <is>
          <t>SQM</t>
        </is>
      </c>
      <c r="H1729" s="1" t="inlineStr">
        <is>
          <t>Ceramic</t>
        </is>
      </c>
      <c r="I1729" s="1" t="inlineStr">
        <is>
          <t>Matt</t>
        </is>
      </c>
      <c r="J1729" t="inlineStr"/>
      <c r="K1729" t="inlineStr">
        <is>
          <t>In Stock</t>
        </is>
      </c>
      <c r="L1729" t="inlineStr">
        <is>
          <t>In Stock</t>
        </is>
      </c>
    </row>
    <row r="1730">
      <c r="A1730" s="1">
        <f>Hyperlink("https://www.wallsandfloors.co.uk/jackoboard-board-fix-seal-adhesive","Product")</f>
        <v/>
      </c>
      <c r="B1730" s="1" t="inlineStr">
        <is>
          <t>42749</t>
        </is>
      </c>
      <c r="C1730" s="1" t="inlineStr">
        <is>
          <t>Jackoboard Board Fix and Seal Adhesive</t>
        </is>
      </c>
      <c r="D1730" s="1" t="inlineStr">
        <is>
          <t>290ml</t>
        </is>
      </c>
      <c r="E1730" s="1" t="n">
        <v>12.95</v>
      </c>
      <c r="F1730" s="1" t="n">
        <v>0</v>
      </c>
      <c r="G1730" s="1" t="inlineStr">
        <is>
          <t>Unit</t>
        </is>
      </c>
      <c r="H1730" s="1" t="inlineStr">
        <is>
          <t>Adhesive</t>
        </is>
      </c>
      <c r="I1730" s="1" t="inlineStr">
        <is>
          <t>-</t>
        </is>
      </c>
      <c r="J1730" t="inlineStr">
        <is>
          <t>In Stock</t>
        </is>
      </c>
      <c r="K1730" t="inlineStr">
        <is>
          <t>In Stock</t>
        </is>
      </c>
      <c r="L1730" t="inlineStr">
        <is>
          <t>In Stock</t>
        </is>
      </c>
    </row>
    <row r="1731">
      <c r="A1731" s="1">
        <f>Hyperlink("https://www.wallsandfloors.co.uk/jackoboard-plano-backer-board-1200x600x10","Product")</f>
        <v/>
      </c>
      <c r="B1731" s="1" t="inlineStr">
        <is>
          <t>42686</t>
        </is>
      </c>
      <c r="C1731" s="1" t="inlineStr">
        <is>
          <t>Jackoboard Plano - Tilebacker Boards 1200x600x10mm</t>
        </is>
      </c>
      <c r="D1731" s="1" t="inlineStr">
        <is>
          <t>1200x600x10mm</t>
        </is>
      </c>
      <c r="E1731" s="1" t="n">
        <v>12.95</v>
      </c>
      <c r="F1731" s="1" t="n">
        <v>0</v>
      </c>
      <c r="G1731" s="1" t="inlineStr">
        <is>
          <t>Unit</t>
        </is>
      </c>
      <c r="H1731" s="1" t="inlineStr">
        <is>
          <t>XPS Foam</t>
        </is>
      </c>
      <c r="I1731" s="1" t="inlineStr">
        <is>
          <t>-</t>
        </is>
      </c>
      <c r="J1731" t="n">
        <v>80</v>
      </c>
      <c r="K1731" t="inlineStr"/>
      <c r="L1731" t="n">
        <v>80</v>
      </c>
    </row>
    <row r="1732">
      <c r="A1732" s="1">
        <f>Hyperlink("https://www.wallsandfloors.co.uk/kutlu-tiles-mono-mix-tiles","Product")</f>
        <v/>
      </c>
      <c r="B1732" s="1" t="inlineStr">
        <is>
          <t>14175</t>
        </is>
      </c>
      <c r="C1732" s="1" t="inlineStr">
        <is>
          <t>Kutlu Mono Mix Tiles</t>
        </is>
      </c>
      <c r="D1732" s="1" t="inlineStr">
        <is>
          <t>450x450x8mm</t>
        </is>
      </c>
      <c r="E1732" s="1" t="n">
        <v>17.95</v>
      </c>
      <c r="F1732" s="1" t="n">
        <v>0</v>
      </c>
      <c r="G1732" s="1" t="inlineStr">
        <is>
          <t>SQM</t>
        </is>
      </c>
      <c r="H1732" s="1" t="inlineStr">
        <is>
          <t>Ceramic</t>
        </is>
      </c>
      <c r="I1732" s="1" t="inlineStr">
        <is>
          <t>-</t>
        </is>
      </c>
      <c r="J1732" t="n">
        <v>271</v>
      </c>
      <c r="K1732" t="n">
        <v>271</v>
      </c>
      <c r="L1732" t="n">
        <v>271</v>
      </c>
    </row>
    <row r="1733">
      <c r="A1733" s="1">
        <f>Hyperlink("https://www.wallsandfloors.co.uk/kutlu-tiles-beige-mix-tiles","Product")</f>
        <v/>
      </c>
      <c r="B1733" s="1" t="inlineStr">
        <is>
          <t>14176</t>
        </is>
      </c>
      <c r="C1733" s="1" t="inlineStr">
        <is>
          <t>Kutlu Beige Mix Tiles</t>
        </is>
      </c>
      <c r="D1733" s="1" t="inlineStr">
        <is>
          <t>450x450x8mm</t>
        </is>
      </c>
      <c r="E1733" s="1" t="n">
        <v>17.95</v>
      </c>
      <c r="F1733" s="1" t="n">
        <v>0</v>
      </c>
      <c r="G1733" s="1" t="inlineStr">
        <is>
          <t>SQM</t>
        </is>
      </c>
      <c r="H1733" s="1" t="inlineStr">
        <is>
          <t>Ceramic</t>
        </is>
      </c>
      <c r="I1733" s="1" t="inlineStr">
        <is>
          <t>-</t>
        </is>
      </c>
      <c r="J1733" t="inlineStr"/>
      <c r="K1733" t="n">
        <v>191</v>
      </c>
      <c r="L1733" t="n">
        <v>191</v>
      </c>
    </row>
    <row r="1734">
      <c r="A1734" s="1">
        <f>Hyperlink("https://www.wallsandfloors.co.uk/kuala-tiles-kuala-black-tiles","Product")</f>
        <v/>
      </c>
      <c r="B1734" s="1" t="inlineStr">
        <is>
          <t>8905</t>
        </is>
      </c>
      <c r="C1734" s="1" t="inlineStr">
        <is>
          <t>Kuala Black Slate Effect Tiles</t>
        </is>
      </c>
      <c r="D1734" s="1" t="inlineStr">
        <is>
          <t>600x300x8mm</t>
        </is>
      </c>
      <c r="E1734" s="1" t="n">
        <v>29.95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inlineStr"/>
      <c r="K1734" t="n">
        <v>255</v>
      </c>
      <c r="L1734" t="n">
        <v>255</v>
      </c>
    </row>
    <row r="1735">
      <c r="A1735" s="1">
        <f>Hyperlink("https://www.wallsandfloors.co.uk/kerastar-anti-slip-tethys-20x20-tiles","Product")</f>
        <v/>
      </c>
      <c r="B1735" s="1" t="inlineStr">
        <is>
          <t>13533</t>
        </is>
      </c>
      <c r="C1735" s="1" t="inlineStr">
        <is>
          <t>Tethys Circular Stud Anti-Slip Tiles</t>
        </is>
      </c>
      <c r="D1735" s="1" t="inlineStr">
        <is>
          <t>200x200x9mm</t>
        </is>
      </c>
      <c r="E1735" s="1" t="n">
        <v>27.95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inlineStr">
        <is>
          <t>In Stock</t>
        </is>
      </c>
      <c r="K1735" t="inlineStr">
        <is>
          <t>In Stock</t>
        </is>
      </c>
      <c r="L1735" t="inlineStr">
        <is>
          <t>In Stock</t>
        </is>
      </c>
    </row>
    <row r="1736">
      <c r="A1736" s="1">
        <f>Hyperlink("https://www.wallsandfloors.co.uk/karlon-snow-white-tiles","Product")</f>
        <v/>
      </c>
      <c r="B1736" s="1" t="inlineStr">
        <is>
          <t>43783</t>
        </is>
      </c>
      <c r="C1736" s="1" t="inlineStr">
        <is>
          <t>Karlon Snow White Tiles</t>
        </is>
      </c>
      <c r="D1736" s="1" t="inlineStr">
        <is>
          <t>605x605x7.5mm</t>
        </is>
      </c>
      <c r="E1736" s="1" t="n">
        <v>16.95</v>
      </c>
      <c r="F1736" s="1" t="n">
        <v>0</v>
      </c>
      <c r="G1736" s="1" t="inlineStr">
        <is>
          <t>SQM</t>
        </is>
      </c>
      <c r="H1736" s="1" t="inlineStr">
        <is>
          <t>Porcelain</t>
        </is>
      </c>
      <c r="I1736" s="1" t="inlineStr">
        <is>
          <t>Matt</t>
        </is>
      </c>
      <c r="J1736" t="n">
        <v>459</v>
      </c>
      <c r="K1736" t="n">
        <v>459</v>
      </c>
      <c r="L1736" t="n">
        <v>459</v>
      </c>
    </row>
    <row r="1737">
      <c r="A1737" s="1">
        <f>Hyperlink("https://www.wallsandfloors.co.uk/karlon-sand-beige-tiles","Product")</f>
        <v/>
      </c>
      <c r="B1737" s="1" t="inlineStr">
        <is>
          <t>43780</t>
        </is>
      </c>
      <c r="C1737" s="1" t="inlineStr">
        <is>
          <t>Karlon Sand Beige Tiles</t>
        </is>
      </c>
      <c r="D1737" s="1" t="inlineStr">
        <is>
          <t>605x605x7.5mm</t>
        </is>
      </c>
      <c r="E1737" s="1" t="n">
        <v>16.95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256</v>
      </c>
      <c r="K1737" t="inlineStr"/>
      <c r="L1737" t="n">
        <v>256</v>
      </c>
    </row>
    <row r="1738">
      <c r="A1738" s="1">
        <f>Hyperlink("https://www.wallsandfloors.co.uk/karlon-midnight-black-tiles","Product")</f>
        <v/>
      </c>
      <c r="B1738" s="1" t="inlineStr">
        <is>
          <t>43782</t>
        </is>
      </c>
      <c r="C1738" s="1" t="inlineStr">
        <is>
          <t>Karlon Midnight Black Tiles</t>
        </is>
      </c>
      <c r="D1738" s="1" t="inlineStr">
        <is>
          <t>605x605x7.5mm</t>
        </is>
      </c>
      <c r="E1738" s="1" t="n">
        <v>16.95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inlineStr"/>
      <c r="K1738" t="inlineStr"/>
      <c r="L1738" t="n">
        <v>555</v>
      </c>
    </row>
    <row r="1739">
      <c r="A1739" s="1">
        <f>Hyperlink("https://www.wallsandfloors.co.uk/jagged-trowel-s-steel-38242","Product")</f>
        <v/>
      </c>
      <c r="B1739" s="1" t="inlineStr">
        <is>
          <t>27691</t>
        </is>
      </c>
      <c r="C1739" s="1" t="inlineStr">
        <is>
          <t>INOX Notched Trowel 10x10 mm</t>
        </is>
      </c>
      <c r="D1739" s="1" t="inlineStr">
        <is>
          <t>10x10mm</t>
        </is>
      </c>
      <c r="E1739" s="1" t="n">
        <v>16.87</v>
      </c>
      <c r="F1739" s="1" t="n">
        <v>0</v>
      </c>
      <c r="G1739" s="1" t="inlineStr">
        <is>
          <t>Unit</t>
        </is>
      </c>
      <c r="H1739" s="1" t="inlineStr">
        <is>
          <t>Tools</t>
        </is>
      </c>
      <c r="I1739" s="1" t="inlineStr">
        <is>
          <t>-</t>
        </is>
      </c>
      <c r="J1739" t="inlineStr">
        <is>
          <t>In Stock</t>
        </is>
      </c>
      <c r="K1739" t="inlineStr">
        <is>
          <t>In Stock</t>
        </is>
      </c>
      <c r="L1739" t="inlineStr">
        <is>
          <t>In Stock</t>
        </is>
      </c>
    </row>
    <row r="1740">
      <c r="A1740" s="1">
        <f>Hyperlink("https://www.wallsandfloors.co.uk/jagged-trowel-s-steel-38241","Product")</f>
        <v/>
      </c>
      <c r="B1740" s="1" t="inlineStr">
        <is>
          <t>27690</t>
        </is>
      </c>
      <c r="C1740" s="1" t="inlineStr">
        <is>
          <t>INOX Notched Trowel 8x8 mm</t>
        </is>
      </c>
      <c r="D1740" s="1" t="inlineStr">
        <is>
          <t>8x8mm</t>
        </is>
      </c>
      <c r="E1740" s="1" t="n">
        <v>16.87</v>
      </c>
      <c r="F1740" s="1" t="n">
        <v>0</v>
      </c>
      <c r="G1740" s="1" t="inlineStr">
        <is>
          <t>Unit</t>
        </is>
      </c>
      <c r="H1740" s="1" t="inlineStr">
        <is>
          <t>Tools</t>
        </is>
      </c>
      <c r="I1740" s="1" t="inlineStr">
        <is>
          <t>-</t>
        </is>
      </c>
      <c r="J1740" t="inlineStr"/>
      <c r="K1740" t="inlineStr">
        <is>
          <t>In Stock</t>
        </is>
      </c>
      <c r="L1740" t="inlineStr">
        <is>
          <t>In Stock</t>
        </is>
      </c>
    </row>
    <row r="1741">
      <c r="A1741" s="1">
        <f>Hyperlink("https://www.wallsandfloors.co.uk/jagged-trowel-s-steel-38240","Product")</f>
        <v/>
      </c>
      <c r="B1741" s="1" t="inlineStr">
        <is>
          <t>27689</t>
        </is>
      </c>
      <c r="C1741" s="1" t="inlineStr">
        <is>
          <t>INOX Notched Trowel 6x6 mm</t>
        </is>
      </c>
      <c r="D1741" s="1" t="inlineStr">
        <is>
          <t>6x6mm</t>
        </is>
      </c>
      <c r="E1741" s="1" t="n">
        <v>16.95</v>
      </c>
      <c r="F1741" s="1" t="n">
        <v>0</v>
      </c>
      <c r="G1741" s="1" t="inlineStr">
        <is>
          <t>Unit</t>
        </is>
      </c>
      <c r="H1741" s="1" t="inlineStr">
        <is>
          <t>Tools</t>
        </is>
      </c>
      <c r="I1741" s="1" t="inlineStr">
        <is>
          <t>-</t>
        </is>
      </c>
      <c r="J1741" t="inlineStr"/>
      <c r="K1741" t="inlineStr">
        <is>
          <t>In Stock</t>
        </is>
      </c>
      <c r="L1741" t="inlineStr">
        <is>
          <t>In Stock</t>
        </is>
      </c>
    </row>
    <row r="1742">
      <c r="A1742" s="1">
        <f>Hyperlink("https://www.wallsandfloors.co.uk/jackoboard-wall-niche-450x350x150","Product")</f>
        <v/>
      </c>
      <c r="B1742" s="1" t="inlineStr">
        <is>
          <t>42707</t>
        </is>
      </c>
      <c r="C1742" s="1" t="inlineStr">
        <is>
          <t>Jackoboard Wall Niche 450x350x150mm</t>
        </is>
      </c>
      <c r="D1742" s="1" t="inlineStr">
        <is>
          <t>350x450x150mm</t>
        </is>
      </c>
      <c r="E1742" s="1" t="n">
        <v>63.95</v>
      </c>
      <c r="F1742" s="1" t="n">
        <v>0</v>
      </c>
      <c r="G1742" s="1" t="inlineStr">
        <is>
          <t>Unit</t>
        </is>
      </c>
      <c r="H1742" s="1" t="inlineStr">
        <is>
          <t>-</t>
        </is>
      </c>
      <c r="I1742" s="1" t="inlineStr">
        <is>
          <t>-</t>
        </is>
      </c>
      <c r="J1742" t="inlineStr">
        <is>
          <t>In Stock</t>
        </is>
      </c>
      <c r="K1742" t="inlineStr">
        <is>
          <t>In Stock</t>
        </is>
      </c>
      <c r="L1742" t="inlineStr">
        <is>
          <t>In Stock</t>
        </is>
      </c>
    </row>
    <row r="1743">
      <c r="A1743" s="1">
        <f>Hyperlink("https://www.wallsandfloors.co.uk/jackoboard-wall-niche-350x350x150","Product")</f>
        <v/>
      </c>
      <c r="B1743" s="1" t="inlineStr">
        <is>
          <t>42706</t>
        </is>
      </c>
      <c r="C1743" s="1" t="inlineStr">
        <is>
          <t>Jackoboard Wall Niche 350x350x150mm</t>
        </is>
      </c>
      <c r="D1743" s="1" t="inlineStr">
        <is>
          <t>350x350x150mm</t>
        </is>
      </c>
      <c r="E1743" s="1" t="n">
        <v>62.95</v>
      </c>
      <c r="F1743" s="1" t="n">
        <v>0</v>
      </c>
      <c r="G1743" s="1" t="inlineStr">
        <is>
          <t>Unit</t>
        </is>
      </c>
      <c r="H1743" s="1" t="inlineStr">
        <is>
          <t>XPS Foam</t>
        </is>
      </c>
      <c r="I1743" s="1" t="inlineStr">
        <is>
          <t>-</t>
        </is>
      </c>
      <c r="J1743" t="inlineStr">
        <is>
          <t>In Stock</t>
        </is>
      </c>
      <c r="K1743" t="inlineStr"/>
      <c r="L1743" t="inlineStr">
        <is>
          <t>In Stock</t>
        </is>
      </c>
    </row>
    <row r="1744">
      <c r="A1744" s="1">
        <f>Hyperlink("https://www.wallsandfloors.co.uk/jackoboard-wall-niche-350x250x150","Product")</f>
        <v/>
      </c>
      <c r="B1744" s="1" t="inlineStr">
        <is>
          <t>42705</t>
        </is>
      </c>
      <c r="C1744" s="1" t="inlineStr">
        <is>
          <t>Jackoboard Wall Niche 350x250x150mm</t>
        </is>
      </c>
      <c r="D1744" s="1" t="inlineStr">
        <is>
          <t>250x350x150mm</t>
        </is>
      </c>
      <c r="E1744" s="1" t="n">
        <v>59.95</v>
      </c>
      <c r="F1744" s="1" t="n">
        <v>0</v>
      </c>
      <c r="G1744" s="1" t="inlineStr">
        <is>
          <t>Unit</t>
        </is>
      </c>
      <c r="H1744" s="1" t="inlineStr">
        <is>
          <t>XPS Foam</t>
        </is>
      </c>
      <c r="I1744" s="1" t="inlineStr">
        <is>
          <t>-</t>
        </is>
      </c>
      <c r="J1744" t="inlineStr">
        <is>
          <t>In Stock</t>
        </is>
      </c>
      <c r="K1744" t="inlineStr">
        <is>
          <t>In Stock</t>
        </is>
      </c>
      <c r="L1744" t="inlineStr">
        <is>
          <t>In Stock</t>
        </is>
      </c>
    </row>
    <row r="1745">
      <c r="A1745" s="1">
        <f>Hyperlink("https://www.wallsandfloors.co.uk/jackoboard-wall-niche-350x250x100","Product")</f>
        <v/>
      </c>
      <c r="B1745" s="1" t="inlineStr">
        <is>
          <t>42704</t>
        </is>
      </c>
      <c r="C1745" s="1" t="inlineStr">
        <is>
          <t>Jackoboard Wall Niche 350x250x100mm</t>
        </is>
      </c>
      <c r="D1745" s="1" t="inlineStr">
        <is>
          <t>350x250x100mm</t>
        </is>
      </c>
      <c r="E1745" s="1" t="n">
        <v>58.95</v>
      </c>
      <c r="F1745" s="1" t="n">
        <v>0</v>
      </c>
      <c r="G1745" s="1" t="inlineStr">
        <is>
          <t>Unit</t>
        </is>
      </c>
      <c r="H1745" s="1" t="inlineStr">
        <is>
          <t>XPS Foam</t>
        </is>
      </c>
      <c r="I1745" s="1" t="inlineStr">
        <is>
          <t>-</t>
        </is>
      </c>
      <c r="J1745" t="inlineStr"/>
      <c r="K1745" t="inlineStr">
        <is>
          <t>In Stock</t>
        </is>
      </c>
      <c r="L1745" t="inlineStr">
        <is>
          <t>In Stock</t>
        </is>
      </c>
    </row>
    <row r="1746">
      <c r="A1746" s="1">
        <f>Hyperlink("https://www.wallsandfloors.co.uk/jackoboard-wabo-bath-panel-850x600x30","Product")</f>
        <v/>
      </c>
      <c r="B1746" s="1" t="inlineStr">
        <is>
          <t>42701</t>
        </is>
      </c>
      <c r="C1746" s="1" t="inlineStr">
        <is>
          <t>Jackoboard Wabo Bath Panels 850x600x30mm</t>
        </is>
      </c>
      <c r="D1746" s="1" t="inlineStr">
        <is>
          <t>600x850x30mm</t>
        </is>
      </c>
      <c r="E1746" s="1" t="n">
        <v>16.95</v>
      </c>
      <c r="F1746" s="1" t="n">
        <v>0</v>
      </c>
      <c r="G1746" s="1" t="inlineStr">
        <is>
          <t>Unit</t>
        </is>
      </c>
      <c r="H1746" s="1" t="inlineStr">
        <is>
          <t>XPS Foam</t>
        </is>
      </c>
      <c r="I1746" s="1" t="inlineStr">
        <is>
          <t>-</t>
        </is>
      </c>
      <c r="J1746" t="inlineStr">
        <is>
          <t>In Stock</t>
        </is>
      </c>
      <c r="K1746" t="inlineStr">
        <is>
          <t>In Stock</t>
        </is>
      </c>
      <c r="L1746" t="inlineStr">
        <is>
          <t>In Stock</t>
        </is>
      </c>
    </row>
    <row r="1747">
      <c r="A1747" s="1">
        <f>Hyperlink("https://www.wallsandfloors.co.uk/jackoboard-wabo-bath-panel-2100x600x30","Product")</f>
        <v/>
      </c>
      <c r="B1747" s="1" t="inlineStr">
        <is>
          <t>42700</t>
        </is>
      </c>
      <c r="C1747" s="1" t="inlineStr">
        <is>
          <t>Jackoboard Wabo Bath Panels 2100x600x30mm</t>
        </is>
      </c>
      <c r="D1747" s="1" t="inlineStr">
        <is>
          <t>2100x600x30mm</t>
        </is>
      </c>
      <c r="E1747" s="1" t="n">
        <v>44.95</v>
      </c>
      <c r="F1747" s="1" t="n">
        <v>0</v>
      </c>
      <c r="G1747" s="1" t="inlineStr">
        <is>
          <t>Unit</t>
        </is>
      </c>
      <c r="H1747" s="1" t="inlineStr">
        <is>
          <t>XPS Foam</t>
        </is>
      </c>
      <c r="I1747" s="1" t="inlineStr">
        <is>
          <t>-</t>
        </is>
      </c>
      <c r="J1747" t="inlineStr">
        <is>
          <t>In Stock</t>
        </is>
      </c>
      <c r="K1747" t="inlineStr">
        <is>
          <t>In Stock</t>
        </is>
      </c>
      <c r="L1747" t="inlineStr">
        <is>
          <t>In Stock</t>
        </is>
      </c>
    </row>
    <row r="1748">
      <c r="A1748" s="1">
        <f>Hyperlink("https://www.wallsandfloors.co.uk/jackoboard-tilebacker-sealing-tape-10m","Product")</f>
        <v/>
      </c>
      <c r="B1748" s="1" t="inlineStr">
        <is>
          <t>42696</t>
        </is>
      </c>
      <c r="C1748" s="1" t="inlineStr">
        <is>
          <t>TileBacker Sealing Tape 10m</t>
        </is>
      </c>
      <c r="D1748" s="1" t="inlineStr">
        <is>
          <t>10m</t>
        </is>
      </c>
      <c r="E1748" s="1" t="n">
        <v>18.95</v>
      </c>
      <c r="F1748" s="1" t="n">
        <v>0</v>
      </c>
      <c r="G1748" s="1" t="inlineStr">
        <is>
          <t>Unit</t>
        </is>
      </c>
      <c r="H1748" s="1" t="inlineStr">
        <is>
          <t>-</t>
        </is>
      </c>
      <c r="I1748" s="1" t="inlineStr">
        <is>
          <t>-</t>
        </is>
      </c>
      <c r="J1748" t="inlineStr"/>
      <c r="K1748" t="inlineStr">
        <is>
          <t>In Stock</t>
        </is>
      </c>
      <c r="L1748" t="inlineStr">
        <is>
          <t>In Stock</t>
        </is>
      </c>
    </row>
    <row r="1749">
      <c r="A1749" s="1">
        <f>Hyperlink("https://www.wallsandfloors.co.uk/jackoboard-steam-and-wetroom-bench","Product")</f>
        <v/>
      </c>
      <c r="B1749" s="1" t="inlineStr">
        <is>
          <t>42703</t>
        </is>
      </c>
      <c r="C1749" s="1" t="inlineStr">
        <is>
          <t>Jackoboard Steam and Wet Room Bench</t>
        </is>
      </c>
      <c r="D1749" s="1" t="inlineStr">
        <is>
          <t>-</t>
        </is>
      </c>
      <c r="E1749" s="1" t="n">
        <v>249.95</v>
      </c>
      <c r="F1749" s="1" t="n">
        <v>0</v>
      </c>
      <c r="G1749" s="1" t="inlineStr">
        <is>
          <t>Unit</t>
        </is>
      </c>
      <c r="H1749" s="1" t="inlineStr">
        <is>
          <t>XPS Foam</t>
        </is>
      </c>
      <c r="I1749" s="1" t="inlineStr">
        <is>
          <t>-</t>
        </is>
      </c>
      <c r="J1749" t="inlineStr">
        <is>
          <t>In Stock</t>
        </is>
      </c>
      <c r="K1749" t="inlineStr">
        <is>
          <t>In Stock</t>
        </is>
      </c>
      <c r="L1749" t="inlineStr">
        <is>
          <t>In Stock</t>
        </is>
      </c>
    </row>
    <row r="1750">
      <c r="A1750" s="1">
        <f>Hyperlink("https://www.wallsandfloors.co.uk/jackoboard-shower-tray-installation-kit","Product")</f>
        <v/>
      </c>
      <c r="B1750" s="1" t="inlineStr">
        <is>
          <t>42699</t>
        </is>
      </c>
      <c r="C1750" s="1" t="inlineStr">
        <is>
          <t>TileBacker Shower Tray Installation Kit</t>
        </is>
      </c>
      <c r="D1750" s="1" t="inlineStr">
        <is>
          <t>-</t>
        </is>
      </c>
      <c r="E1750" s="1" t="n">
        <v>64.95</v>
      </c>
      <c r="F1750" s="1" t="n">
        <v>0</v>
      </c>
      <c r="G1750" s="1" t="inlineStr">
        <is>
          <t>Unit</t>
        </is>
      </c>
      <c r="H1750" s="1" t="inlineStr">
        <is>
          <t>Accessories</t>
        </is>
      </c>
      <c r="I1750" s="1" t="inlineStr">
        <is>
          <t>-</t>
        </is>
      </c>
      <c r="J1750" t="inlineStr">
        <is>
          <t>In Stock</t>
        </is>
      </c>
      <c r="K1750" t="inlineStr">
        <is>
          <t>In Stock</t>
        </is>
      </c>
      <c r="L1750" t="inlineStr">
        <is>
          <t>In Stock</t>
        </is>
      </c>
    </row>
    <row r="1751">
      <c r="A1751" s="1">
        <f>Hyperlink("https://www.wallsandfloors.co.uk/jackoboard-shower-tray-drains-aqualine","Product")</f>
        <v/>
      </c>
      <c r="B1751" s="1" t="inlineStr">
        <is>
          <t>42697</t>
        </is>
      </c>
      <c r="C1751" s="1" t="inlineStr">
        <is>
          <t>Jackoboard Shower Tray Aqualine Drains</t>
        </is>
      </c>
      <c r="D1751" s="1" t="inlineStr">
        <is>
          <t>Horizontal</t>
        </is>
      </c>
      <c r="E1751" s="1" t="n">
        <v>55.95</v>
      </c>
      <c r="F1751" s="1" t="n">
        <v>0</v>
      </c>
      <c r="G1751" s="1" t="inlineStr">
        <is>
          <t>Unit</t>
        </is>
      </c>
      <c r="H1751" s="1" t="inlineStr">
        <is>
          <t>P.V.C.</t>
        </is>
      </c>
      <c r="I1751" s="1" t="inlineStr">
        <is>
          <t>-</t>
        </is>
      </c>
      <c r="J1751" t="inlineStr"/>
      <c r="K1751" t="inlineStr">
        <is>
          <t>Out of Stock</t>
        </is>
      </c>
      <c r="L1751" t="inlineStr">
        <is>
          <t>Out of Stock</t>
        </is>
      </c>
    </row>
    <row r="1752">
      <c r="A1752" s="1">
        <f>Hyperlink("https://www.wallsandfloors.co.uk/jackoboard-sealing-internal-corner","Product")</f>
        <v/>
      </c>
      <c r="B1752" s="1" t="inlineStr">
        <is>
          <t>42795</t>
        </is>
      </c>
      <c r="C1752" s="1" t="inlineStr">
        <is>
          <t>TileBacker Sealing Internal Corner</t>
        </is>
      </c>
      <c r="D1752" s="1" t="inlineStr">
        <is>
          <t>-</t>
        </is>
      </c>
      <c r="E1752" s="1" t="n">
        <v>4.95</v>
      </c>
      <c r="F1752" s="1" t="n">
        <v>0</v>
      </c>
      <c r="G1752" s="1" t="inlineStr"/>
      <c r="H1752" s="1" t="inlineStr">
        <is>
          <t>-</t>
        </is>
      </c>
      <c r="I1752" s="1" t="inlineStr">
        <is>
          <t>-</t>
        </is>
      </c>
      <c r="J1752" t="inlineStr">
        <is>
          <t>In Stock</t>
        </is>
      </c>
      <c r="K1752" t="inlineStr">
        <is>
          <t>In Stock</t>
        </is>
      </c>
      <c r="L1752" t="inlineStr">
        <is>
          <t>In Stock</t>
        </is>
      </c>
    </row>
    <row r="1753">
      <c r="A1753" s="1">
        <f>Hyperlink("https://www.wallsandfloors.co.uk/jackoboard-plano-backer-board-1200x600x6","Product")</f>
        <v/>
      </c>
      <c r="B1753" s="1" t="inlineStr">
        <is>
          <t>42688</t>
        </is>
      </c>
      <c r="C1753" s="1" t="inlineStr">
        <is>
          <t>Jackoboard Plano - Tilebacker Boards 1200x600x6mm</t>
        </is>
      </c>
      <c r="D1753" s="1" t="inlineStr">
        <is>
          <t>1200x600x6mm</t>
        </is>
      </c>
      <c r="E1753" s="1" t="n">
        <v>11.95</v>
      </c>
      <c r="F1753" s="1" t="n">
        <v>0</v>
      </c>
      <c r="G1753" s="1" t="inlineStr">
        <is>
          <t>Unit</t>
        </is>
      </c>
      <c r="H1753" s="1" t="inlineStr">
        <is>
          <t>XPS Foam</t>
        </is>
      </c>
      <c r="I1753" s="1" t="inlineStr">
        <is>
          <t>-</t>
        </is>
      </c>
      <c r="J1753" t="n">
        <v>113</v>
      </c>
      <c r="K1753" t="n">
        <v>113</v>
      </c>
      <c r="L1753" t="n">
        <v>113</v>
      </c>
    </row>
    <row r="1754">
      <c r="A1754" s="1">
        <f>Hyperlink("https://www.wallsandfloors.co.uk/jackoboard-plano-backer-board-1200x600x12","Product")</f>
        <v/>
      </c>
      <c r="B1754" s="1" t="inlineStr">
        <is>
          <t>42687</t>
        </is>
      </c>
      <c r="C1754" s="1" t="inlineStr">
        <is>
          <t>Jackoboard Plano - Tilebacker Boards 1200x600x12mm</t>
        </is>
      </c>
      <c r="D1754" s="1" t="inlineStr">
        <is>
          <t>1200x600x12mm</t>
        </is>
      </c>
      <c r="E1754" s="1" t="n">
        <v>13.95</v>
      </c>
      <c r="F1754" s="1" t="n">
        <v>0</v>
      </c>
      <c r="G1754" s="1" t="inlineStr">
        <is>
          <t>Unit</t>
        </is>
      </c>
      <c r="H1754" s="1" t="inlineStr">
        <is>
          <t>XPS Foam</t>
        </is>
      </c>
      <c r="I1754" s="1" t="inlineStr">
        <is>
          <t>-</t>
        </is>
      </c>
      <c r="J1754" t="inlineStr">
        <is>
          <t>Out of Stock</t>
        </is>
      </c>
      <c r="K1754" t="inlineStr">
        <is>
          <t>Out of Stock</t>
        </is>
      </c>
      <c r="L1754" t="inlineStr">
        <is>
          <t>Out of Stock</t>
        </is>
      </c>
    </row>
    <row r="1755">
      <c r="A1755" s="1">
        <f>Hyperlink("https://www.wallsandfloors.co.uk/jackoboard-galvanised-fixing-washers","Product")</f>
        <v/>
      </c>
      <c r="B1755" s="1" t="inlineStr">
        <is>
          <t>42794</t>
        </is>
      </c>
      <c r="C1755" s="1" t="inlineStr">
        <is>
          <t>TileBacker Galvanised Fixing Washers (Pack of 100)</t>
        </is>
      </c>
      <c r="D1755" s="1" t="inlineStr">
        <is>
          <t>-</t>
        </is>
      </c>
      <c r="E1755" s="1" t="n">
        <v>18.95</v>
      </c>
      <c r="F1755" s="1" t="n">
        <v>0</v>
      </c>
      <c r="G1755" s="1" t="inlineStr">
        <is>
          <t>Unit</t>
        </is>
      </c>
      <c r="H1755" s="1" t="inlineStr">
        <is>
          <t>-</t>
        </is>
      </c>
      <c r="I1755" s="1" t="inlineStr">
        <is>
          <t>-</t>
        </is>
      </c>
      <c r="J1755" t="inlineStr">
        <is>
          <t>Out of Stock</t>
        </is>
      </c>
      <c r="K1755" t="inlineStr">
        <is>
          <t>Out of Stock</t>
        </is>
      </c>
      <c r="L1755" t="inlineStr">
        <is>
          <t>Out of Stock</t>
        </is>
      </c>
    </row>
    <row r="1756">
      <c r="A1756" s="1">
        <f>Hyperlink("https://www.wallsandfloors.co.uk/lagom-wild-apple-natural-wood-effect-tiles","Product")</f>
        <v/>
      </c>
      <c r="B1756" s="1" t="inlineStr">
        <is>
          <t>35043</t>
        </is>
      </c>
      <c r="C1756" s="1" t="inlineStr">
        <is>
          <t>Lagom Wild Apple Natural Wood Effect Tiles</t>
        </is>
      </c>
      <c r="D1756" s="1" t="inlineStr">
        <is>
          <t>1200x233x10.8mm</t>
        </is>
      </c>
      <c r="E1756" s="1" t="n">
        <v>25.95</v>
      </c>
      <c r="F1756" s="1" t="n">
        <v>0</v>
      </c>
      <c r="G1756" s="1" t="inlineStr">
        <is>
          <t>SQM</t>
        </is>
      </c>
      <c r="H1756" s="1" t="inlineStr">
        <is>
          <t>Porcelain</t>
        </is>
      </c>
      <c r="I1756" s="1" t="inlineStr">
        <is>
          <t>Matt</t>
        </is>
      </c>
      <c r="J1756" t="n">
        <v>60</v>
      </c>
      <c r="K1756" t="n">
        <v>60</v>
      </c>
      <c r="L1756" t="n">
        <v>60</v>
      </c>
    </row>
    <row r="1757">
      <c r="A1757" s="1">
        <f>Hyperlink("https://www.wallsandfloors.co.uk/hoxley-nordic-tiles","Product")</f>
        <v/>
      </c>
      <c r="B1757" s="1" t="inlineStr">
        <is>
          <t>39105</t>
        </is>
      </c>
      <c r="C1757" s="1" t="inlineStr">
        <is>
          <t>Hoxley Nordic Tiles</t>
        </is>
      </c>
      <c r="D1757" s="1" t="inlineStr">
        <is>
          <t>200x200x8mm</t>
        </is>
      </c>
      <c r="E1757" s="1" t="n">
        <v>35.95</v>
      </c>
      <c r="F1757" s="1" t="n">
        <v>0</v>
      </c>
      <c r="G1757" s="1" t="inlineStr">
        <is>
          <t>SQM</t>
        </is>
      </c>
      <c r="H1757" s="1" t="inlineStr">
        <is>
          <t>Ceramic</t>
        </is>
      </c>
      <c r="I1757" s="1" t="inlineStr">
        <is>
          <t>Matt</t>
        </is>
      </c>
      <c r="J1757" t="inlineStr">
        <is>
          <t>In Stock</t>
        </is>
      </c>
      <c r="K1757" t="inlineStr">
        <is>
          <t>In Stock</t>
        </is>
      </c>
      <c r="L1757" t="inlineStr">
        <is>
          <t>In Stock</t>
        </is>
      </c>
    </row>
    <row r="1758">
      <c r="A1758" s="1">
        <f>Hyperlink("https://www.wallsandfloors.co.uk/honey-wood-effect-tiles","Product")</f>
        <v/>
      </c>
      <c r="B1758" s="1" t="inlineStr">
        <is>
          <t>13857</t>
        </is>
      </c>
      <c r="C1758" s="1" t="inlineStr">
        <is>
          <t>Elder Honey Wood Effect Tiles</t>
        </is>
      </c>
      <c r="D1758" s="1" t="inlineStr">
        <is>
          <t>950x240x9mm</t>
        </is>
      </c>
      <c r="E1758" s="1" t="n">
        <v>17.95</v>
      </c>
      <c r="F1758" s="1" t="n">
        <v>0</v>
      </c>
      <c r="G1758" s="1" t="inlineStr">
        <is>
          <t>SQM</t>
        </is>
      </c>
      <c r="H1758" s="1" t="inlineStr">
        <is>
          <t>Ceramic</t>
        </is>
      </c>
      <c r="I1758" s="1" t="inlineStr">
        <is>
          <t>Matt</t>
        </is>
      </c>
      <c r="J1758" t="inlineStr"/>
      <c r="K1758" t="inlineStr"/>
      <c r="L1758" t="n">
        <v>148</v>
      </c>
    </row>
    <row r="1759">
      <c r="A1759" s="1">
        <f>Hyperlink("https://www.wallsandfloors.co.uk/hardrock-tiles-natural-beige-speckle-tiles","Product")</f>
        <v/>
      </c>
      <c r="B1759" s="1" t="inlineStr">
        <is>
          <t>11389</t>
        </is>
      </c>
      <c r="C1759" s="1" t="inlineStr">
        <is>
          <t>Hardrock Natural Matt Beige Speckle Tiles</t>
        </is>
      </c>
      <c r="D1759" s="1" t="inlineStr">
        <is>
          <t>300x300x9mm</t>
        </is>
      </c>
      <c r="E1759" s="1" t="n">
        <v>20.95</v>
      </c>
      <c r="F1759" s="1" t="n">
        <v>0</v>
      </c>
      <c r="G1759" s="1" t="inlineStr">
        <is>
          <t>SQM</t>
        </is>
      </c>
      <c r="H1759" s="1" t="inlineStr">
        <is>
          <t>Porcelain</t>
        </is>
      </c>
      <c r="I1759" s="1" t="inlineStr">
        <is>
          <t>Matt</t>
        </is>
      </c>
      <c r="J1759" t="inlineStr">
        <is>
          <t>In Stock</t>
        </is>
      </c>
      <c r="K1759" t="inlineStr"/>
      <c r="L1759" t="inlineStr">
        <is>
          <t>In Stock</t>
        </is>
      </c>
    </row>
    <row r="1760">
      <c r="A1760" s="1">
        <f>Hyperlink("https://www.wallsandfloors.co.uk/hardrock-tiles-mid-grey-speckle-steptread-tiles","Product")</f>
        <v/>
      </c>
      <c r="B1760" s="1" t="inlineStr">
        <is>
          <t>11405</t>
        </is>
      </c>
      <c r="C1760" s="1" t="inlineStr">
        <is>
          <t>Mid Grey Speckle Steptread Tiles</t>
        </is>
      </c>
      <c r="D1760" s="1" t="inlineStr">
        <is>
          <t>300x300x9mm</t>
        </is>
      </c>
      <c r="E1760" s="1" t="n">
        <v>9.949999999999999</v>
      </c>
      <c r="F1760" s="1" t="n">
        <v>0</v>
      </c>
      <c r="G1760" s="1" t="inlineStr">
        <is>
          <t>Tile</t>
        </is>
      </c>
      <c r="H1760" s="1" t="inlineStr">
        <is>
          <t>Porcelain</t>
        </is>
      </c>
      <c r="I1760" s="1" t="inlineStr">
        <is>
          <t>Matt</t>
        </is>
      </c>
      <c r="J1760" t="inlineStr">
        <is>
          <t>In Stock</t>
        </is>
      </c>
      <c r="K1760" t="inlineStr">
        <is>
          <t>In Stock</t>
        </is>
      </c>
      <c r="L1760" t="inlineStr">
        <is>
          <t>In Stock</t>
        </is>
      </c>
    </row>
    <row r="1761">
      <c r="A1761" s="1">
        <f>Hyperlink("https://www.wallsandfloors.co.uk/hardrock-tiles-light-grey-speckle-steptread-tiles","Product")</f>
        <v/>
      </c>
      <c r="B1761" s="1" t="inlineStr">
        <is>
          <t>11404</t>
        </is>
      </c>
      <c r="C1761" s="1" t="inlineStr">
        <is>
          <t>Light Grey Speckle Steptread Tiles</t>
        </is>
      </c>
      <c r="D1761" s="1" t="inlineStr">
        <is>
          <t>300x300x9mm</t>
        </is>
      </c>
      <c r="E1761" s="1" t="n">
        <v>9.949999999999999</v>
      </c>
      <c r="F1761" s="1" t="n">
        <v>0</v>
      </c>
      <c r="G1761" s="1" t="inlineStr">
        <is>
          <t>Tile</t>
        </is>
      </c>
      <c r="H1761" s="1" t="inlineStr">
        <is>
          <t>Porcelain</t>
        </is>
      </c>
      <c r="I1761" s="1" t="inlineStr">
        <is>
          <t>Matt</t>
        </is>
      </c>
      <c r="J1761" t="inlineStr"/>
      <c r="K1761" t="inlineStr">
        <is>
          <t>In Stock</t>
        </is>
      </c>
      <c r="L1761" t="inlineStr">
        <is>
          <t>In Stock</t>
        </is>
      </c>
    </row>
    <row r="1762">
      <c r="A1762" s="1">
        <f>Hyperlink("https://www.wallsandfloors.co.uk/hardrock-tiles-dark-grey-speckle-steptread-tiles","Product")</f>
        <v/>
      </c>
      <c r="B1762" s="1" t="inlineStr">
        <is>
          <t>11403</t>
        </is>
      </c>
      <c r="C1762" s="1" t="inlineStr">
        <is>
          <t>Dark Grey Speckle Steptread Tiles</t>
        </is>
      </c>
      <c r="D1762" s="1" t="inlineStr">
        <is>
          <t>300x300x9mm</t>
        </is>
      </c>
      <c r="E1762" s="1" t="n">
        <v>9.949999999999999</v>
      </c>
      <c r="F1762" s="1" t="n">
        <v>0</v>
      </c>
      <c r="G1762" s="1" t="inlineStr">
        <is>
          <t>Tile</t>
        </is>
      </c>
      <c r="H1762" s="1" t="inlineStr">
        <is>
          <t>Porcelain</t>
        </is>
      </c>
      <c r="I1762" s="1" t="inlineStr">
        <is>
          <t>Matt</t>
        </is>
      </c>
      <c r="J1762" t="inlineStr">
        <is>
          <t>In Stock</t>
        </is>
      </c>
      <c r="K1762" t="inlineStr"/>
      <c r="L1762" t="inlineStr">
        <is>
          <t>In Stock</t>
        </is>
      </c>
    </row>
    <row r="1763">
      <c r="A1763" s="1">
        <f>Hyperlink("https://www.wallsandfloors.co.uk/hardrock-tiles-dark-grey-speckle-skirting-tiles","Product")</f>
        <v/>
      </c>
      <c r="B1763" s="1" t="inlineStr">
        <is>
          <t>11399</t>
        </is>
      </c>
      <c r="C1763" s="1" t="inlineStr">
        <is>
          <t>Dark Grey Speckle Skirting Tiles</t>
        </is>
      </c>
      <c r="D1763" s="1" t="inlineStr">
        <is>
          <t>300x90x9mm</t>
        </is>
      </c>
      <c r="E1763" s="1" t="n">
        <v>6.95</v>
      </c>
      <c r="F1763" s="1" t="n">
        <v>0</v>
      </c>
      <c r="G1763" s="1" t="inlineStr">
        <is>
          <t>Tile</t>
        </is>
      </c>
      <c r="H1763" s="1" t="inlineStr">
        <is>
          <t>Porcelain</t>
        </is>
      </c>
      <c r="I1763" s="1" t="inlineStr">
        <is>
          <t>Matt</t>
        </is>
      </c>
      <c r="J1763" t="inlineStr">
        <is>
          <t>In Stock</t>
        </is>
      </c>
      <c r="K1763" t="inlineStr"/>
      <c r="L1763" t="inlineStr">
        <is>
          <t>In Stock</t>
        </is>
      </c>
    </row>
    <row r="1764">
      <c r="A1764" s="1">
        <f>Hyperlink("https://www.wallsandfloors.co.uk/hardiebacker-score-and-snap-knife","Product")</f>
        <v/>
      </c>
      <c r="B1764" s="1" t="inlineStr">
        <is>
          <t>38110</t>
        </is>
      </c>
      <c r="C1764" s="1" t="inlineStr">
        <is>
          <t>Hardiebacker Score and Snap Knife</t>
        </is>
      </c>
      <c r="D1764" s="1" t="inlineStr">
        <is>
          <t>One Size</t>
        </is>
      </c>
      <c r="E1764" s="1" t="n">
        <v>6.95</v>
      </c>
      <c r="F1764" s="1" t="n">
        <v>0</v>
      </c>
      <c r="G1764" s="1" t="inlineStr">
        <is>
          <t>Unit</t>
        </is>
      </c>
      <c r="H1764" s="1" t="inlineStr">
        <is>
          <t>Accessories</t>
        </is>
      </c>
      <c r="I1764" s="1" t="inlineStr">
        <is>
          <t>-</t>
        </is>
      </c>
      <c r="J1764" t="inlineStr">
        <is>
          <t>In Stock</t>
        </is>
      </c>
      <c r="K1764" t="inlineStr"/>
      <c r="L1764" t="inlineStr">
        <is>
          <t>In Stock</t>
        </is>
      </c>
    </row>
    <row r="1765">
      <c r="A1765" s="1">
        <f>Hyperlink("https://www.wallsandfloors.co.uk/hardiebacker-fibatape","Product")</f>
        <v/>
      </c>
      <c r="B1765" s="1" t="inlineStr">
        <is>
          <t>28226</t>
        </is>
      </c>
      <c r="C1765" s="1" t="inlineStr">
        <is>
          <t>Hardiebacker Fibatape</t>
        </is>
      </c>
      <c r="D1765" s="1" t="inlineStr">
        <is>
          <t>One Size</t>
        </is>
      </c>
      <c r="E1765" s="1" t="n">
        <v>5.95</v>
      </c>
      <c r="F1765" s="1" t="n">
        <v>0</v>
      </c>
      <c r="G1765" s="1" t="inlineStr">
        <is>
          <t>Unit</t>
        </is>
      </c>
      <c r="H1765" s="1" t="inlineStr">
        <is>
          <t>Accessories</t>
        </is>
      </c>
      <c r="I1765" s="1" t="inlineStr">
        <is>
          <t>-</t>
        </is>
      </c>
      <c r="J1765" t="inlineStr">
        <is>
          <t>In Stock</t>
        </is>
      </c>
      <c r="K1765" t="inlineStr">
        <is>
          <t>In Stock</t>
        </is>
      </c>
      <c r="L1765" t="inlineStr">
        <is>
          <t>In Stock</t>
        </is>
      </c>
    </row>
    <row r="1766">
      <c r="A1766" s="1">
        <f>Hyperlink("https://www.wallsandfloors.co.uk/hardiebacker-32mm-screws","Product")</f>
        <v/>
      </c>
      <c r="B1766" s="1" t="inlineStr">
        <is>
          <t>38109</t>
        </is>
      </c>
      <c r="C1766" s="1" t="inlineStr">
        <is>
          <t>Hardiebacker 32mm Screws</t>
        </is>
      </c>
      <c r="D1766" s="1" t="inlineStr">
        <is>
          <t>One Size</t>
        </is>
      </c>
      <c r="E1766" s="1" t="n">
        <v>7.95</v>
      </c>
      <c r="F1766" s="1" t="n">
        <v>0</v>
      </c>
      <c r="G1766" s="1" t="inlineStr"/>
      <c r="H1766" s="1" t="inlineStr">
        <is>
          <t>Accessories</t>
        </is>
      </c>
      <c r="I1766" s="1" t="inlineStr">
        <is>
          <t>-</t>
        </is>
      </c>
      <c r="J1766" t="inlineStr"/>
      <c r="K1766" t="inlineStr"/>
      <c r="L1766" t="inlineStr">
        <is>
          <t>In Stock</t>
        </is>
      </c>
    </row>
    <row r="1767">
      <c r="A1767" s="1">
        <f>Hyperlink("https://www.wallsandfloors.co.uk/hardiebacker-25mm-screws","Product")</f>
        <v/>
      </c>
      <c r="B1767" s="1" t="inlineStr">
        <is>
          <t>38108</t>
        </is>
      </c>
      <c r="C1767" s="1" t="inlineStr">
        <is>
          <t>Hardiebacker 25mm Screws</t>
        </is>
      </c>
      <c r="D1767" s="1" t="inlineStr">
        <is>
          <t>One Size</t>
        </is>
      </c>
      <c r="E1767" s="1" t="n">
        <v>6.95</v>
      </c>
      <c r="F1767" s="1" t="n">
        <v>0</v>
      </c>
      <c r="G1767" s="1" t="inlineStr">
        <is>
          <t>Unit</t>
        </is>
      </c>
      <c r="H1767" s="1" t="inlineStr">
        <is>
          <t>Accessories</t>
        </is>
      </c>
      <c r="I1767" s="1" t="inlineStr">
        <is>
          <t>-</t>
        </is>
      </c>
      <c r="J1767" t="inlineStr"/>
      <c r="K1767" t="inlineStr">
        <is>
          <t>In Stock</t>
        </is>
      </c>
      <c r="L1767" t="inlineStr">
        <is>
          <t>In Stock</t>
        </is>
      </c>
    </row>
    <row r="1768">
      <c r="A1768" s="1">
        <f>Hyperlink("https://www.wallsandfloors.co.uk/hardibacker-board-james-hardie-tile-backer-board-9317","Product")</f>
        <v/>
      </c>
      <c r="B1768" s="1" t="inlineStr">
        <is>
          <t>9317</t>
        </is>
      </c>
      <c r="C1768" s="1" t="inlineStr">
        <is>
          <t>Tile Backer Board</t>
        </is>
      </c>
      <c r="D1768" s="1" t="inlineStr">
        <is>
          <t>1.2mx0.8mx12mm</t>
        </is>
      </c>
      <c r="E1768" s="1" t="n">
        <v>13.95</v>
      </c>
      <c r="F1768" s="1" t="n">
        <v>0</v>
      </c>
      <c r="G1768" s="1" t="inlineStr">
        <is>
          <t>Unit</t>
        </is>
      </c>
      <c r="H1768" s="1" t="inlineStr">
        <is>
          <t>Tile/Insulation Board</t>
        </is>
      </c>
      <c r="I1768" s="1" t="inlineStr">
        <is>
          <t>-</t>
        </is>
      </c>
      <c r="J1768" t="n">
        <v>62</v>
      </c>
      <c r="K1768" t="inlineStr"/>
      <c r="L1768" t="n">
        <v>62</v>
      </c>
    </row>
    <row r="1769">
      <c r="A1769" s="1">
        <f>Hyperlink("https://www.wallsandfloors.co.uk/hardibacker-board-james-hardie-tile-backer-board","Product")</f>
        <v/>
      </c>
      <c r="B1769" s="1" t="inlineStr">
        <is>
          <t>9109</t>
        </is>
      </c>
      <c r="C1769" s="1" t="inlineStr">
        <is>
          <t>Tile Backer Board</t>
        </is>
      </c>
      <c r="D1769" s="1" t="inlineStr">
        <is>
          <t>1.2mx0.8mx6mm</t>
        </is>
      </c>
      <c r="E1769" s="1" t="n">
        <v>12.95</v>
      </c>
      <c r="F1769" s="1" t="n">
        <v>0</v>
      </c>
      <c r="G1769" s="1" t="inlineStr">
        <is>
          <t>Unit</t>
        </is>
      </c>
      <c r="H1769" s="1" t="inlineStr">
        <is>
          <t>Tile/Insulation Board</t>
        </is>
      </c>
      <c r="I1769" s="1" t="inlineStr">
        <is>
          <t>-</t>
        </is>
      </c>
      <c r="J1769" t="inlineStr">
        <is>
          <t>In Stock</t>
        </is>
      </c>
      <c r="K1769" t="inlineStr">
        <is>
          <t>In Stock</t>
        </is>
      </c>
      <c r="L1769" t="inlineStr">
        <is>
          <t>In Stock</t>
        </is>
      </c>
    </row>
    <row r="1770">
      <c r="A1770" s="1">
        <f>Hyperlink("https://www.wallsandfloors.co.uk/harbour-russet-decor-tiles","Product")</f>
        <v/>
      </c>
      <c r="B1770" s="1" t="inlineStr">
        <is>
          <t>44209</t>
        </is>
      </c>
      <c r="C1770" s="1" t="inlineStr">
        <is>
          <t>Harbour Russet Décor Tiles</t>
        </is>
      </c>
      <c r="D1770" s="1" t="inlineStr">
        <is>
          <t>330x330x9mm</t>
        </is>
      </c>
      <c r="E1770" s="1" t="n">
        <v>27.95</v>
      </c>
      <c r="F1770" s="1" t="n">
        <v>0</v>
      </c>
      <c r="G1770" s="1" t="inlineStr">
        <is>
          <t>SQM</t>
        </is>
      </c>
      <c r="H1770" s="1" t="inlineStr">
        <is>
          <t>Porcelain</t>
        </is>
      </c>
      <c r="I1770" s="1" t="inlineStr">
        <is>
          <t>Matt</t>
        </is>
      </c>
      <c r="J1770" t="inlineStr"/>
      <c r="K1770" t="inlineStr"/>
      <c r="L1770" t="n">
        <v>192</v>
      </c>
    </row>
    <row r="1771">
      <c r="A1771" s="1">
        <f>Hyperlink("https://www.wallsandfloors.co.uk/harbour-night-tiles","Product")</f>
        <v/>
      </c>
      <c r="B1771" s="1" t="inlineStr">
        <is>
          <t>44101</t>
        </is>
      </c>
      <c r="C1771" s="1" t="inlineStr">
        <is>
          <t>Harbour Night Tiles</t>
        </is>
      </c>
      <c r="D1771" s="1" t="inlineStr">
        <is>
          <t>330x330x9mm</t>
        </is>
      </c>
      <c r="E1771" s="1" t="n">
        <v>25.95</v>
      </c>
      <c r="F1771" s="1" t="n">
        <v>0</v>
      </c>
      <c r="G1771" s="1" t="inlineStr">
        <is>
          <t>SQM</t>
        </is>
      </c>
      <c r="H1771" s="1" t="inlineStr">
        <is>
          <t>Porcelain</t>
        </is>
      </c>
      <c r="I1771" s="1" t="inlineStr">
        <is>
          <t>Matt</t>
        </is>
      </c>
      <c r="J1771" t="inlineStr"/>
      <c r="K1771" t="inlineStr">
        <is>
          <t>In Stock</t>
        </is>
      </c>
      <c r="L1771" t="inlineStr">
        <is>
          <t>In Stock</t>
        </is>
      </c>
    </row>
    <row r="1772">
      <c r="A1772" s="1">
        <f>Hyperlink("https://www.wallsandfloors.co.uk/harbour-night-decor-tiles","Product")</f>
        <v/>
      </c>
      <c r="B1772" s="1" t="inlineStr">
        <is>
          <t>44208</t>
        </is>
      </c>
      <c r="C1772" s="1" t="inlineStr">
        <is>
          <t>Harbour Night Décor Tiles</t>
        </is>
      </c>
      <c r="D1772" s="1" t="inlineStr">
        <is>
          <t>330x330x9mm</t>
        </is>
      </c>
      <c r="E1772" s="1" t="n">
        <v>27.95</v>
      </c>
      <c r="F1772" s="1" t="n">
        <v>0</v>
      </c>
      <c r="G1772" s="1" t="inlineStr">
        <is>
          <t>SQM</t>
        </is>
      </c>
      <c r="H1772" s="1" t="inlineStr">
        <is>
          <t>Porcelain</t>
        </is>
      </c>
      <c r="I1772" s="1" t="inlineStr">
        <is>
          <t>Matt</t>
        </is>
      </c>
      <c r="J1772" t="inlineStr"/>
      <c r="K1772" t="n">
        <v>126</v>
      </c>
      <c r="L1772" t="n">
        <v>126</v>
      </c>
    </row>
    <row r="1773">
      <c r="A1773" s="1">
        <f>Hyperlink("https://www.wallsandfloors.co.uk/halycon-marble-effect-tiles-dawn-beige-polished-59x59-tiles","Product")</f>
        <v/>
      </c>
      <c r="B1773" s="1" t="inlineStr">
        <is>
          <t>15571</t>
        </is>
      </c>
      <c r="C1773" s="1" t="inlineStr">
        <is>
          <t>Dawn Beige Polished 59x59 Tiles</t>
        </is>
      </c>
      <c r="D1773" s="1" t="inlineStr">
        <is>
          <t>590x590x10mm</t>
        </is>
      </c>
      <c r="E1773" s="1" t="n">
        <v>20.5</v>
      </c>
      <c r="F1773" s="1" t="n">
        <v>0</v>
      </c>
      <c r="G1773" s="1" t="inlineStr">
        <is>
          <t>SQM</t>
        </is>
      </c>
      <c r="H1773" s="1" t="inlineStr">
        <is>
          <t>Porcelain</t>
        </is>
      </c>
      <c r="I1773" s="1" t="inlineStr">
        <is>
          <t>Polished</t>
        </is>
      </c>
      <c r="J1773" t="n">
        <v>111</v>
      </c>
      <c r="K1773" t="inlineStr"/>
      <c r="L1773" t="n">
        <v>111</v>
      </c>
    </row>
    <row r="1774">
      <c r="A1774" s="1">
        <f>Hyperlink("https://www.wallsandfloors.co.uk/halite-polished-tiles-ivory-tiles","Product")</f>
        <v/>
      </c>
      <c r="B1774" s="1" t="inlineStr">
        <is>
          <t>12661</t>
        </is>
      </c>
      <c r="C1774" s="1" t="inlineStr">
        <is>
          <t>Halite Polished Porcelain Ivory Tiles</t>
        </is>
      </c>
      <c r="D1774" s="1" t="inlineStr">
        <is>
          <t>600x600x9mm</t>
        </is>
      </c>
      <c r="E1774" s="1" t="n">
        <v>20.35</v>
      </c>
      <c r="F1774" s="1" t="n">
        <v>0</v>
      </c>
      <c r="G1774" s="1" t="inlineStr">
        <is>
          <t>SQM</t>
        </is>
      </c>
      <c r="H1774" s="1" t="inlineStr">
        <is>
          <t>Porcelain</t>
        </is>
      </c>
      <c r="I1774" s="1" t="inlineStr">
        <is>
          <t>Polished</t>
        </is>
      </c>
      <c r="J1774" t="n">
        <v>414</v>
      </c>
      <c r="K1774" t="n">
        <v>414</v>
      </c>
      <c r="L1774" t="n">
        <v>414</v>
      </c>
    </row>
    <row r="1775">
      <c r="A1775" s="1">
        <f>Hyperlink("https://www.wallsandfloors.co.uk/halite-polished-tiles-cream-tiles","Product")</f>
        <v/>
      </c>
      <c r="B1775" s="1" t="inlineStr">
        <is>
          <t>12660</t>
        </is>
      </c>
      <c r="C1775" s="1" t="inlineStr">
        <is>
          <t>Halite Polished Porcelain Cream Tiles</t>
        </is>
      </c>
      <c r="D1775" s="1" t="inlineStr">
        <is>
          <t>600x600x9mm</t>
        </is>
      </c>
      <c r="E1775" s="1" t="n">
        <v>20.35</v>
      </c>
      <c r="F1775" s="1" t="n">
        <v>0</v>
      </c>
      <c r="G1775" s="1" t="inlineStr">
        <is>
          <t>SQM</t>
        </is>
      </c>
      <c r="H1775" s="1" t="inlineStr">
        <is>
          <t>Porcelain</t>
        </is>
      </c>
      <c r="I1775" s="1" t="inlineStr">
        <is>
          <t>Polished</t>
        </is>
      </c>
      <c r="J1775" t="inlineStr"/>
      <c r="K1775" t="n">
        <v>184</v>
      </c>
      <c r="L1775" t="n">
        <v>184</v>
      </c>
    </row>
    <row r="1776">
      <c r="A1776" s="1">
        <f>Hyperlink("https://www.wallsandfloors.co.uk/gris-tiles","Product")</f>
        <v/>
      </c>
      <c r="B1776" s="1" t="inlineStr">
        <is>
          <t>36200</t>
        </is>
      </c>
      <c r="C1776" s="1" t="inlineStr">
        <is>
          <t>Brix Gris Linear Mosaic Effect Tiles</t>
        </is>
      </c>
      <c r="D1776" s="1" t="inlineStr">
        <is>
          <t>548x330x8mm</t>
        </is>
      </c>
      <c r="E1776" s="1" t="n">
        <v>17.95</v>
      </c>
      <c r="F1776" s="1" t="n">
        <v>0</v>
      </c>
      <c r="G1776" s="1" t="inlineStr"/>
      <c r="H1776" s="1" t="inlineStr">
        <is>
          <t>Ceramic</t>
        </is>
      </c>
      <c r="I1776" s="1" t="inlineStr">
        <is>
          <t>Matt</t>
        </is>
      </c>
      <c r="J1776" t="inlineStr"/>
      <c r="K1776" t="inlineStr">
        <is>
          <t>Out of Stock</t>
        </is>
      </c>
      <c r="L1776" t="n">
        <v>617</v>
      </c>
    </row>
    <row r="1777">
      <c r="A1777" s="1">
        <f>Hyperlink("https://www.wallsandfloors.co.uk/gris-glass-brick-tiles","Product")</f>
        <v/>
      </c>
      <c r="B1777" s="1" t="inlineStr">
        <is>
          <t>37271</t>
        </is>
      </c>
      <c r="C1777" s="1" t="inlineStr">
        <is>
          <t>Gris Glass Brick Tiles</t>
        </is>
      </c>
      <c r="D1777" s="1" t="inlineStr">
        <is>
          <t>300x75x8mm</t>
        </is>
      </c>
      <c r="E1777" s="1" t="n">
        <v>1.55</v>
      </c>
      <c r="F1777" s="1" t="n">
        <v>0</v>
      </c>
      <c r="G1777" s="1" t="inlineStr">
        <is>
          <t>SQM</t>
        </is>
      </c>
      <c r="H1777" s="1" t="inlineStr">
        <is>
          <t>Glass</t>
        </is>
      </c>
      <c r="I1777" s="1" t="inlineStr">
        <is>
          <t>Gloss</t>
        </is>
      </c>
      <c r="J1777" t="n">
        <v>48</v>
      </c>
      <c r="K1777" t="n">
        <v>48</v>
      </c>
      <c r="L1777" t="n">
        <v>48</v>
      </c>
    </row>
    <row r="1778">
      <c r="A1778" s="1">
        <f>Hyperlink("https://www.wallsandfloors.co.uk/grey-triangle-70x70x100mm-tiles","Product")</f>
        <v/>
      </c>
      <c r="B1778" s="1" t="inlineStr">
        <is>
          <t>990195</t>
        </is>
      </c>
      <c r="C1778" s="1" t="inlineStr">
        <is>
          <t>Grey Triangle 70x70x100mm Tiles</t>
        </is>
      </c>
      <c r="D1778" s="1" t="inlineStr">
        <is>
          <t>70x70x100mm</t>
        </is>
      </c>
      <c r="E1778" s="1" t="n">
        <v>3.38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360</v>
      </c>
      <c r="K1778" t="n">
        <v>360</v>
      </c>
      <c r="L1778" t="n">
        <v>360</v>
      </c>
    </row>
    <row r="1779">
      <c r="A1779" s="1">
        <f>Hyperlink("https://www.wallsandfloors.co.uk/grey-triangle-35x35x50mm-tiles","Product")</f>
        <v/>
      </c>
      <c r="B1779" s="1" t="inlineStr">
        <is>
          <t>990146</t>
        </is>
      </c>
      <c r="C1779" s="1" t="inlineStr">
        <is>
          <t>Grey Triangle 35x35x50mm Tiles</t>
        </is>
      </c>
      <c r="D1779" s="1" t="inlineStr">
        <is>
          <t>35x35x50mm</t>
        </is>
      </c>
      <c r="E1779" s="1" t="n">
        <v>1.76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n">
        <v>293</v>
      </c>
      <c r="K1779" t="n">
        <v>293</v>
      </c>
      <c r="L1779" t="n">
        <v>293</v>
      </c>
    </row>
    <row r="1780">
      <c r="A1780" s="1">
        <f>Hyperlink("https://www.wallsandfloors.co.uk/grey-strip-150x25mm-tiles","Product")</f>
        <v/>
      </c>
      <c r="B1780" s="1" t="inlineStr">
        <is>
          <t>990245</t>
        </is>
      </c>
      <c r="C1780" s="1" t="inlineStr">
        <is>
          <t>Grey Strip Tiles</t>
        </is>
      </c>
      <c r="D1780" s="1" t="inlineStr">
        <is>
          <t>150x25x9-10mm</t>
        </is>
      </c>
      <c r="E1780" s="1" t="n">
        <v>1.13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inlineStr"/>
      <c r="K1780" t="n">
        <v>164</v>
      </c>
      <c r="L1780" t="n">
        <v>164</v>
      </c>
    </row>
    <row r="1781">
      <c r="A1781" s="1">
        <f>Hyperlink("https://www.wallsandfloors.co.uk/grey-squares-70mm-tiles","Product")</f>
        <v/>
      </c>
      <c r="B1781" s="1" t="inlineStr">
        <is>
          <t>990060</t>
        </is>
      </c>
      <c r="C1781" s="1" t="inlineStr">
        <is>
          <t>Grey Squares 70mm Tiles</t>
        </is>
      </c>
      <c r="D1781" s="1" t="inlineStr">
        <is>
          <t>70x70x9-10mm</t>
        </is>
      </c>
      <c r="E1781" s="1" t="n">
        <v>0.9399999999999999</v>
      </c>
      <c r="F1781" s="1" t="n">
        <v>0</v>
      </c>
      <c r="G1781" s="1" t="inlineStr">
        <is>
          <t>SQM</t>
        </is>
      </c>
      <c r="H1781" s="1" t="inlineStr">
        <is>
          <t>Porcelain</t>
        </is>
      </c>
      <c r="I1781" s="1" t="inlineStr">
        <is>
          <t>Matt</t>
        </is>
      </c>
      <c r="J1781" t="n">
        <v>345</v>
      </c>
      <c r="K1781" t="n">
        <v>345</v>
      </c>
      <c r="L1781" t="n">
        <v>345</v>
      </c>
    </row>
    <row r="1782">
      <c r="A1782" s="1">
        <f>Hyperlink("https://www.wallsandfloors.co.uk/hardrock-tiles-natural-dark-grey-speckle-tiles","Product")</f>
        <v/>
      </c>
      <c r="B1782" s="1" t="inlineStr">
        <is>
          <t>11385</t>
        </is>
      </c>
      <c r="C1782" s="1" t="inlineStr">
        <is>
          <t>Natural Dark Grey Speckle Tiles</t>
        </is>
      </c>
      <c r="D1782" s="1" t="inlineStr">
        <is>
          <t>300x300x9mm</t>
        </is>
      </c>
      <c r="E1782" s="1" t="n">
        <v>20.95</v>
      </c>
      <c r="F1782" s="1" t="n">
        <v>0</v>
      </c>
      <c r="G1782" s="1" t="inlineStr">
        <is>
          <t>SQM</t>
        </is>
      </c>
      <c r="H1782" s="1" t="inlineStr">
        <is>
          <t>Porcelain</t>
        </is>
      </c>
      <c r="I1782" s="1" t="inlineStr">
        <is>
          <t>Matt</t>
        </is>
      </c>
      <c r="J1782" t="n">
        <v>115</v>
      </c>
      <c r="K1782" t="inlineStr"/>
      <c r="L1782" t="n">
        <v>115</v>
      </c>
    </row>
    <row r="1783">
      <c r="A1783" s="1">
        <f>Hyperlink("https://www.wallsandfloors.co.uk/hoxley-ginger-tiles","Product")</f>
        <v/>
      </c>
      <c r="B1783" s="1" t="inlineStr">
        <is>
          <t>39107</t>
        </is>
      </c>
      <c r="C1783" s="1" t="inlineStr">
        <is>
          <t>Hoxley Ginger Tiles</t>
        </is>
      </c>
      <c r="D1783" s="1" t="inlineStr">
        <is>
          <t>200x200x8mm</t>
        </is>
      </c>
      <c r="E1783" s="1" t="n">
        <v>35.95</v>
      </c>
      <c r="F1783" s="1" t="n">
        <v>0</v>
      </c>
      <c r="G1783" s="1" t="inlineStr">
        <is>
          <t>SQM</t>
        </is>
      </c>
      <c r="H1783" s="1" t="inlineStr">
        <is>
          <t>Ceramic</t>
        </is>
      </c>
      <c r="I1783" s="1" t="inlineStr">
        <is>
          <t>Matt</t>
        </is>
      </c>
      <c r="J1783" t="inlineStr"/>
      <c r="K1783" t="inlineStr">
        <is>
          <t>In Stock</t>
        </is>
      </c>
      <c r="L1783" t="inlineStr">
        <is>
          <t>In Stock</t>
        </is>
      </c>
    </row>
    <row r="1784">
      <c r="A1784" s="1">
        <f>Hyperlink("https://www.wallsandfloors.co.uk/hardrock-tiles-natural-light-grey-speckle-tiles","Product")</f>
        <v/>
      </c>
      <c r="B1784" s="1" t="inlineStr">
        <is>
          <t>11358</t>
        </is>
      </c>
      <c r="C1784" s="1" t="inlineStr">
        <is>
          <t>Hardrock Natural Matt Light Grey Speckle Tiles</t>
        </is>
      </c>
      <c r="D1784" s="1" t="inlineStr">
        <is>
          <t>300x300x9mm</t>
        </is>
      </c>
      <c r="E1784" s="1" t="n">
        <v>20.95</v>
      </c>
      <c r="F1784" s="1" t="n">
        <v>0</v>
      </c>
      <c r="G1784" s="1" t="inlineStr">
        <is>
          <t>SQM</t>
        </is>
      </c>
      <c r="H1784" s="1" t="inlineStr">
        <is>
          <t>Porcelain</t>
        </is>
      </c>
      <c r="I1784" s="1" t="inlineStr">
        <is>
          <t>Matt</t>
        </is>
      </c>
      <c r="J1784" t="n">
        <v>78</v>
      </c>
      <c r="K1784" t="n">
        <v>78</v>
      </c>
      <c r="L1784" t="n">
        <v>78</v>
      </c>
    </row>
    <row r="1785">
      <c r="A1785" s="1">
        <f>Hyperlink("https://www.wallsandfloors.co.uk/hardrock-tiles-structured-dark-grey-speckle-tiles","Product")</f>
        <v/>
      </c>
      <c r="B1785" s="1" t="inlineStr">
        <is>
          <t>11386</t>
        </is>
      </c>
      <c r="C1785" s="1" t="inlineStr">
        <is>
          <t>Hardrock  Matt Dark Grey Anti Slip Speckle Tiles</t>
        </is>
      </c>
      <c r="D1785" s="1" t="inlineStr">
        <is>
          <t>300x300x9mm</t>
        </is>
      </c>
      <c r="E1785" s="1" t="n">
        <v>20.95</v>
      </c>
      <c r="F1785" s="1" t="n">
        <v>0</v>
      </c>
      <c r="G1785" s="1" t="inlineStr">
        <is>
          <t>SQM</t>
        </is>
      </c>
      <c r="H1785" s="1" t="inlineStr">
        <is>
          <t>Porcelain</t>
        </is>
      </c>
      <c r="I1785" s="1" t="inlineStr">
        <is>
          <t>Matt</t>
        </is>
      </c>
      <c r="J1785" t="inlineStr"/>
      <c r="K1785" t="n">
        <v>93</v>
      </c>
      <c r="L1785" t="n">
        <v>93</v>
      </c>
    </row>
    <row r="1786">
      <c r="A1786" s="1">
        <f>Hyperlink("https://www.wallsandfloors.co.uk/honey-oak-skirt-tiles","Product")</f>
        <v/>
      </c>
      <c r="B1786" s="1" t="inlineStr">
        <is>
          <t>36819</t>
        </is>
      </c>
      <c r="C1786" s="1" t="inlineStr">
        <is>
          <t>Muniellos Honey Oak Wood Effect Skirt Tiles</t>
        </is>
      </c>
      <c r="D1786" s="1" t="inlineStr">
        <is>
          <t>450x75x10.5mm</t>
        </is>
      </c>
      <c r="E1786" s="1" t="n">
        <v>7.95</v>
      </c>
      <c r="F1786" s="1" t="n">
        <v>0</v>
      </c>
      <c r="G1786" s="1" t="inlineStr">
        <is>
          <t>Tile</t>
        </is>
      </c>
      <c r="H1786" s="1" t="inlineStr">
        <is>
          <t>Porcelain</t>
        </is>
      </c>
      <c r="I1786" s="1" t="inlineStr">
        <is>
          <t>Matt</t>
        </is>
      </c>
      <c r="J1786" t="inlineStr">
        <is>
          <t>In Stock</t>
        </is>
      </c>
      <c r="K1786" t="inlineStr">
        <is>
          <t>In Stock</t>
        </is>
      </c>
      <c r="L1786" t="inlineStr">
        <is>
          <t>In Stock</t>
        </is>
      </c>
    </row>
    <row r="1787">
      <c r="A1787" s="1">
        <f>Hyperlink("https://www.wallsandfloors.co.uk/high-absorption-hidro-pro-sponge","Product")</f>
        <v/>
      </c>
      <c r="B1787" s="1" t="inlineStr">
        <is>
          <t>40392</t>
        </is>
      </c>
      <c r="C1787" s="1" t="inlineStr">
        <is>
          <t>High Absorption HIDRO PRO Sponge</t>
        </is>
      </c>
      <c r="D1787" s="1" t="n">
        <v>1</v>
      </c>
      <c r="E1787" s="1" t="n">
        <v>2.19</v>
      </c>
      <c r="F1787" s="1" t="n">
        <v>0</v>
      </c>
      <c r="G1787" s="1" t="inlineStr"/>
      <c r="H1787" s="1" t="inlineStr">
        <is>
          <t>Accessories</t>
        </is>
      </c>
      <c r="I1787" s="1" t="inlineStr">
        <is>
          <t>-</t>
        </is>
      </c>
      <c r="J1787" t="inlineStr">
        <is>
          <t>In Stock</t>
        </is>
      </c>
      <c r="K1787" t="inlineStr">
        <is>
          <t>In Stock</t>
        </is>
      </c>
      <c r="L1787" t="inlineStr">
        <is>
          <t>In Stock</t>
        </is>
      </c>
    </row>
    <row r="1788">
      <c r="A1788" s="1">
        <f>Hyperlink("https://www.wallsandfloors.co.uk/herne-bay-tiles-sand-bar-beige-stone-effect-tiles","Product")</f>
        <v/>
      </c>
      <c r="B1788" s="1" t="inlineStr">
        <is>
          <t>15550</t>
        </is>
      </c>
      <c r="C1788" s="1" t="inlineStr">
        <is>
          <t>Sand Bar Beige Stone Effect Tiles</t>
        </is>
      </c>
      <c r="D1788" s="1" t="inlineStr">
        <is>
          <t>600x300x9mm</t>
        </is>
      </c>
      <c r="E1788" s="1" t="n">
        <v>32.95</v>
      </c>
      <c r="F1788" s="1" t="n">
        <v>0</v>
      </c>
      <c r="G1788" s="1" t="inlineStr">
        <is>
          <t>SQM</t>
        </is>
      </c>
      <c r="H1788" s="1" t="inlineStr">
        <is>
          <t>Ceramic</t>
        </is>
      </c>
      <c r="I1788" s="1" t="inlineStr">
        <is>
          <t>Matt</t>
        </is>
      </c>
      <c r="J1788" t="n">
        <v>52</v>
      </c>
      <c r="K1788" t="n">
        <v>52</v>
      </c>
      <c r="L1788" t="n">
        <v>52</v>
      </c>
    </row>
    <row r="1789">
      <c r="A1789" s="1">
        <f>Hyperlink("https://www.wallsandfloors.co.uk/herne-bay-tiles-sand-bar-beige-stone-effect-floor-tiles","Product")</f>
        <v/>
      </c>
      <c r="B1789" s="1" t="inlineStr">
        <is>
          <t>34962</t>
        </is>
      </c>
      <c r="C1789" s="1" t="inlineStr">
        <is>
          <t>Sand Bar Beige Stone Effect Floor Tiles</t>
        </is>
      </c>
      <c r="D1789" s="1" t="inlineStr">
        <is>
          <t>505x505x9.5mm</t>
        </is>
      </c>
      <c r="E1789" s="1" t="n">
        <v>32.95</v>
      </c>
      <c r="F1789" s="1" t="n">
        <v>0</v>
      </c>
      <c r="G1789" s="1" t="inlineStr">
        <is>
          <t>SQM</t>
        </is>
      </c>
      <c r="H1789" s="1" t="inlineStr">
        <is>
          <t>Porcelain</t>
        </is>
      </c>
      <c r="I1789" s="1" t="inlineStr">
        <is>
          <t>Matt</t>
        </is>
      </c>
      <c r="J1789" t="inlineStr">
        <is>
          <t>In Stock</t>
        </is>
      </c>
      <c r="K1789" t="inlineStr">
        <is>
          <t>In Stock</t>
        </is>
      </c>
      <c r="L1789" t="inlineStr">
        <is>
          <t>In Stock</t>
        </is>
      </c>
    </row>
    <row r="1790">
      <c r="A1790" s="1">
        <f>Hyperlink("https://www.wallsandfloors.co.uk/herne-bay-tiles-rip-curl-grey-stone-effect-tiles","Product")</f>
        <v/>
      </c>
      <c r="B1790" s="1" t="inlineStr">
        <is>
          <t>15552</t>
        </is>
      </c>
      <c r="C1790" s="1" t="inlineStr">
        <is>
          <t>Rip Curl Grey Stone Effect Tiles</t>
        </is>
      </c>
      <c r="D1790" s="1" t="inlineStr">
        <is>
          <t>600x300x9mm</t>
        </is>
      </c>
      <c r="E1790" s="1" t="n">
        <v>32.95</v>
      </c>
      <c r="F1790" s="1" t="n">
        <v>0</v>
      </c>
      <c r="G1790" s="1" t="inlineStr">
        <is>
          <t>SQM</t>
        </is>
      </c>
      <c r="H1790" s="1" t="inlineStr">
        <is>
          <t>Ceramic</t>
        </is>
      </c>
      <c r="I1790" s="1" t="inlineStr">
        <is>
          <t>Matt</t>
        </is>
      </c>
      <c r="J1790" t="inlineStr">
        <is>
          <t>In Stock</t>
        </is>
      </c>
      <c r="K1790" t="inlineStr">
        <is>
          <t>In Stock</t>
        </is>
      </c>
      <c r="L1790" t="inlineStr">
        <is>
          <t>In Stock</t>
        </is>
      </c>
    </row>
    <row r="1791">
      <c r="A1791" s="1">
        <f>Hyperlink("https://www.wallsandfloors.co.uk/herne-bay-tiles-chalky-downs-white-stone-effect-tiles","Product")</f>
        <v/>
      </c>
      <c r="B1791" s="1" t="inlineStr">
        <is>
          <t>15551</t>
        </is>
      </c>
      <c r="C1791" s="1" t="inlineStr">
        <is>
          <t>Chalky Downs White Stone Effect Tiles</t>
        </is>
      </c>
      <c r="D1791" s="1" t="inlineStr">
        <is>
          <t>600x300x9mm</t>
        </is>
      </c>
      <c r="E1791" s="1" t="n">
        <v>32.95</v>
      </c>
      <c r="F1791" s="1" t="n">
        <v>0</v>
      </c>
      <c r="G1791" s="1" t="inlineStr">
        <is>
          <t>SQM</t>
        </is>
      </c>
      <c r="H1791" s="1" t="inlineStr">
        <is>
          <t>Ceramic</t>
        </is>
      </c>
      <c r="I1791" s="1" t="inlineStr">
        <is>
          <t>Matt</t>
        </is>
      </c>
      <c r="J1791" t="inlineStr">
        <is>
          <t>In Stock</t>
        </is>
      </c>
      <c r="K1791" t="inlineStr">
        <is>
          <t>In Stock</t>
        </is>
      </c>
      <c r="L1791" t="inlineStr">
        <is>
          <t>In Stock</t>
        </is>
      </c>
    </row>
    <row r="1792">
      <c r="A1792" s="1">
        <f>Hyperlink("https://www.wallsandfloors.co.uk/herne-bay-tiles-chalky-downs-white-stone-effect-floor-tiles","Product")</f>
        <v/>
      </c>
      <c r="B1792" s="1" t="inlineStr">
        <is>
          <t>28487</t>
        </is>
      </c>
      <c r="C1792" s="1" t="inlineStr">
        <is>
          <t>Chalky Downs White Stone Effect Floor Tiles</t>
        </is>
      </c>
      <c r="D1792" s="1" t="inlineStr">
        <is>
          <t>500x500x9.5mm</t>
        </is>
      </c>
      <c r="E1792" s="1" t="n">
        <v>32.95</v>
      </c>
      <c r="F1792" s="1" t="n">
        <v>0</v>
      </c>
      <c r="G1792" s="1" t="inlineStr">
        <is>
          <t>SQM</t>
        </is>
      </c>
      <c r="H1792" s="1" t="inlineStr">
        <is>
          <t>Porcelain</t>
        </is>
      </c>
      <c r="I1792" s="1" t="inlineStr">
        <is>
          <t>Matt</t>
        </is>
      </c>
      <c r="J1792" t="inlineStr">
        <is>
          <t>In Stock</t>
        </is>
      </c>
      <c r="K1792" t="inlineStr"/>
      <c r="L1792" t="inlineStr">
        <is>
          <t>In Stock</t>
        </is>
      </c>
    </row>
    <row r="1793">
      <c r="A1793" s="1">
        <f>Hyperlink("https://www.wallsandfloors.co.uk/herati-decor-matt-tiles","Product")</f>
        <v/>
      </c>
      <c r="B1793" s="1" t="inlineStr">
        <is>
          <t>13731</t>
        </is>
      </c>
      <c r="C1793" s="1" t="inlineStr">
        <is>
          <t>Herati Decor Matt Tiles</t>
        </is>
      </c>
      <c r="D1793" s="1" t="inlineStr">
        <is>
          <t>442x442x10mm</t>
        </is>
      </c>
      <c r="E1793" s="1" t="n">
        <v>33.95</v>
      </c>
      <c r="F1793" s="1" t="n">
        <v>0</v>
      </c>
      <c r="G1793" s="1" t="inlineStr">
        <is>
          <t>SQM</t>
        </is>
      </c>
      <c r="H1793" s="1" t="inlineStr">
        <is>
          <t>Porcelain</t>
        </is>
      </c>
      <c r="I1793" s="1" t="inlineStr">
        <is>
          <t>-</t>
        </is>
      </c>
      <c r="J1793" t="inlineStr"/>
      <c r="K1793" t="inlineStr">
        <is>
          <t>In Stock</t>
        </is>
      </c>
      <c r="L1793" t="inlineStr">
        <is>
          <t>In Stock</t>
        </is>
      </c>
    </row>
    <row r="1794">
      <c r="A1794" s="1">
        <f>Hyperlink("https://www.wallsandfloors.co.uk/helix-noir-tiles","Product")</f>
        <v/>
      </c>
      <c r="B1794" s="1" t="inlineStr">
        <is>
          <t>43085</t>
        </is>
      </c>
      <c r="C1794" s="1" t="inlineStr">
        <is>
          <t>Helix Noir Tiles</t>
        </is>
      </c>
      <c r="D1794" s="1" t="inlineStr">
        <is>
          <t>450x450x10.5mm</t>
        </is>
      </c>
      <c r="E1794" s="1" t="n">
        <v>26.95</v>
      </c>
      <c r="F1794" s="1" t="n">
        <v>0</v>
      </c>
      <c r="G1794" s="1" t="inlineStr">
        <is>
          <t>SQM</t>
        </is>
      </c>
      <c r="H1794" s="1" t="inlineStr">
        <is>
          <t>Ceramic</t>
        </is>
      </c>
      <c r="I1794" s="1" t="inlineStr">
        <is>
          <t>Matt</t>
        </is>
      </c>
      <c r="J1794" t="inlineStr"/>
      <c r="K1794" t="inlineStr">
        <is>
          <t>Out of Stock</t>
        </is>
      </c>
      <c r="L1794" t="inlineStr">
        <is>
          <t>Out of Stock</t>
        </is>
      </c>
    </row>
    <row r="1795">
      <c r="A1795" s="1">
        <f>Hyperlink("https://www.wallsandfloors.co.uk/helix-indigo-tiles","Product")</f>
        <v/>
      </c>
      <c r="B1795" s="1" t="inlineStr">
        <is>
          <t>43086</t>
        </is>
      </c>
      <c r="C1795" s="1" t="inlineStr">
        <is>
          <t>Helix Indigo Tiles</t>
        </is>
      </c>
      <c r="D1795" s="1" t="inlineStr">
        <is>
          <t>450x450x10.5mm</t>
        </is>
      </c>
      <c r="E1795" s="1" t="n">
        <v>26.95</v>
      </c>
      <c r="F1795" s="1" t="n">
        <v>0</v>
      </c>
      <c r="G1795" s="1" t="inlineStr">
        <is>
          <t>SQM</t>
        </is>
      </c>
      <c r="H1795" s="1" t="inlineStr">
        <is>
          <t>Ceramic</t>
        </is>
      </c>
      <c r="I1795" s="1" t="inlineStr">
        <is>
          <t>Matt</t>
        </is>
      </c>
      <c r="J1795" t="n">
        <v>152</v>
      </c>
      <c r="K1795" t="inlineStr"/>
      <c r="L1795" t="n">
        <v>152</v>
      </c>
    </row>
    <row r="1796">
      <c r="A1796" s="1">
        <f>Hyperlink("https://www.wallsandfloors.co.uk/heavy-duty-tile-nippers","Product")</f>
        <v/>
      </c>
      <c r="B1796" s="1" t="inlineStr">
        <is>
          <t>27619</t>
        </is>
      </c>
      <c r="C1796" s="1" t="inlineStr">
        <is>
          <t>Heavy Duty Tile Nippers</t>
        </is>
      </c>
      <c r="D1796" s="1" t="inlineStr">
        <is>
          <t>1 Size</t>
        </is>
      </c>
      <c r="E1796" s="1" t="n">
        <v>29.75</v>
      </c>
      <c r="F1796" s="1" t="n">
        <v>0</v>
      </c>
      <c r="G1796" s="1" t="inlineStr">
        <is>
          <t>Unit</t>
        </is>
      </c>
      <c r="H1796" s="1" t="inlineStr">
        <is>
          <t>Tools</t>
        </is>
      </c>
      <c r="I1796" s="1" t="inlineStr">
        <is>
          <t>-</t>
        </is>
      </c>
      <c r="J1796" t="inlineStr">
        <is>
          <t>In Stock</t>
        </is>
      </c>
      <c r="K1796" t="inlineStr">
        <is>
          <t>In Stock</t>
        </is>
      </c>
      <c r="L1796" t="inlineStr">
        <is>
          <t>In Stock</t>
        </is>
      </c>
    </row>
    <row r="1797">
      <c r="A1797" s="1">
        <f>Hyperlink("https://www.wallsandfloors.co.uk/harmonie-mosaic-tiles-schiste-tiles","Product")</f>
        <v/>
      </c>
      <c r="B1797" s="1" t="inlineStr">
        <is>
          <t>228</t>
        </is>
      </c>
      <c r="C1797" s="1" t="inlineStr">
        <is>
          <t>Harmonie Schiste Grey Mosaic Tiles</t>
        </is>
      </c>
      <c r="D1797" s="1" t="inlineStr">
        <is>
          <t>348x348x4mm</t>
        </is>
      </c>
      <c r="E1797" s="1" t="n">
        <v>17.95</v>
      </c>
      <c r="F1797" s="1" t="n">
        <v>0</v>
      </c>
      <c r="G1797" s="1" t="inlineStr">
        <is>
          <t>Sheet</t>
        </is>
      </c>
      <c r="H1797" s="1" t="inlineStr">
        <is>
          <t>Porcelain</t>
        </is>
      </c>
      <c r="I1797" s="1" t="inlineStr">
        <is>
          <t>Polished</t>
        </is>
      </c>
      <c r="J1797" t="inlineStr">
        <is>
          <t>In Stock</t>
        </is>
      </c>
      <c r="K1797" t="inlineStr">
        <is>
          <t>In Stock</t>
        </is>
      </c>
      <c r="L1797" t="inlineStr">
        <is>
          <t>In Stock</t>
        </is>
      </c>
    </row>
    <row r="1798">
      <c r="A1798" s="1">
        <f>Hyperlink("https://www.wallsandfloors.co.uk/harmonie-mosaic-tiles-pivoine-tiles","Product")</f>
        <v/>
      </c>
      <c r="B1798" s="1" t="inlineStr">
        <is>
          <t>220</t>
        </is>
      </c>
      <c r="C1798" s="1" t="inlineStr">
        <is>
          <t>Harmonie Pivoine Red Mosaic Tiles</t>
        </is>
      </c>
      <c r="D1798" s="1" t="inlineStr">
        <is>
          <t>348x348x4mm</t>
        </is>
      </c>
      <c r="E1798" s="1" t="n">
        <v>19.95</v>
      </c>
      <c r="F1798" s="1" t="n">
        <v>0</v>
      </c>
      <c r="G1798" s="1" t="inlineStr">
        <is>
          <t>Sheet</t>
        </is>
      </c>
      <c r="H1798" s="1" t="inlineStr">
        <is>
          <t>Porcelain</t>
        </is>
      </c>
      <c r="I1798" s="1" t="inlineStr">
        <is>
          <t>Matt</t>
        </is>
      </c>
      <c r="J1798" t="inlineStr"/>
      <c r="K1798" t="inlineStr">
        <is>
          <t>In Stock</t>
        </is>
      </c>
      <c r="L1798" t="inlineStr">
        <is>
          <t>In Stock</t>
        </is>
      </c>
    </row>
    <row r="1799">
      <c r="A1799" s="1">
        <f>Hyperlink("https://www.wallsandfloors.co.uk/harmonie-mosaic-tiles-ivraie-tiles","Product")</f>
        <v/>
      </c>
      <c r="B1799" s="1" t="inlineStr">
        <is>
          <t>221</t>
        </is>
      </c>
      <c r="C1799" s="1" t="inlineStr">
        <is>
          <t>Harmonie Ivraie Green Mosaic Tiles</t>
        </is>
      </c>
      <c r="D1799" s="1" t="inlineStr">
        <is>
          <t>348x348x4mm</t>
        </is>
      </c>
      <c r="E1799" s="1" t="n">
        <v>17.95</v>
      </c>
      <c r="F1799" s="1" t="n">
        <v>0</v>
      </c>
      <c r="G1799" s="1" t="inlineStr">
        <is>
          <t>Sheet</t>
        </is>
      </c>
      <c r="H1799" s="1" t="inlineStr">
        <is>
          <t>Porcelain</t>
        </is>
      </c>
      <c r="I1799" s="1" t="inlineStr">
        <is>
          <t>Matt</t>
        </is>
      </c>
      <c r="J1799" t="inlineStr">
        <is>
          <t>In Stock</t>
        </is>
      </c>
      <c r="K1799" t="inlineStr">
        <is>
          <t>In Stock</t>
        </is>
      </c>
      <c r="L1799" t="inlineStr">
        <is>
          <t>In Stock</t>
        </is>
      </c>
    </row>
    <row r="1800">
      <c r="A1800" s="1">
        <f>Hyperlink("https://www.wallsandfloors.co.uk/harmonie-mosaic-tiles-genet-tiles","Product")</f>
        <v/>
      </c>
      <c r="B1800" s="1" t="inlineStr">
        <is>
          <t>210</t>
        </is>
      </c>
      <c r="C1800" s="1" t="inlineStr">
        <is>
          <t>Harmonie Genet Yellow Mosaic Tiles</t>
        </is>
      </c>
      <c r="D1800" s="1" t="inlineStr">
        <is>
          <t>348x348x4mm</t>
        </is>
      </c>
      <c r="E1800" s="1" t="n">
        <v>19.95</v>
      </c>
      <c r="F1800" s="1" t="n">
        <v>0</v>
      </c>
      <c r="G1800" s="1" t="inlineStr">
        <is>
          <t>Sheet</t>
        </is>
      </c>
      <c r="H1800" s="1" t="inlineStr">
        <is>
          <t>Porcelain</t>
        </is>
      </c>
      <c r="I1800" s="1" t="inlineStr">
        <is>
          <t>Matt</t>
        </is>
      </c>
      <c r="J1800" t="inlineStr">
        <is>
          <t>In Stock</t>
        </is>
      </c>
      <c r="K1800" t="inlineStr">
        <is>
          <t>In Stock</t>
        </is>
      </c>
      <c r="L1800" t="inlineStr">
        <is>
          <t>In Stock</t>
        </is>
      </c>
    </row>
    <row r="1801">
      <c r="A1801" s="1">
        <f>Hyperlink("https://www.wallsandfloors.co.uk/harmonie-mosaic-tiles-flores-tiles","Product")</f>
        <v/>
      </c>
      <c r="B1801" s="1" t="inlineStr">
        <is>
          <t>234</t>
        </is>
      </c>
      <c r="C1801" s="1" t="inlineStr">
        <is>
          <t>Harmonie Flores Cream Mosaic Tiles</t>
        </is>
      </c>
      <c r="D1801" s="1" t="inlineStr">
        <is>
          <t>348x348x4mm</t>
        </is>
      </c>
      <c r="E1801" s="1" t="n">
        <v>18.95</v>
      </c>
      <c r="F1801" s="1" t="n">
        <v>0</v>
      </c>
      <c r="G1801" s="1" t="inlineStr"/>
      <c r="H1801" s="1" t="inlineStr">
        <is>
          <t>Porcelain</t>
        </is>
      </c>
      <c r="I1801" s="1" t="inlineStr">
        <is>
          <t>Gloss</t>
        </is>
      </c>
      <c r="J1801" t="inlineStr">
        <is>
          <t>In Stock</t>
        </is>
      </c>
      <c r="K1801" t="inlineStr">
        <is>
          <t>In Stock</t>
        </is>
      </c>
      <c r="L1801" t="inlineStr">
        <is>
          <t>In Stock</t>
        </is>
      </c>
    </row>
    <row r="1802">
      <c r="A1802" s="1">
        <f>Hyperlink("https://www.wallsandfloors.co.uk/harmonie-mosaic-tiles-danube-tiles","Product")</f>
        <v/>
      </c>
      <c r="B1802" s="1" t="inlineStr">
        <is>
          <t>225</t>
        </is>
      </c>
      <c r="C1802" s="1" t="inlineStr">
        <is>
          <t>Harmonie Danube Dark Blue Mosaic Tiles</t>
        </is>
      </c>
      <c r="D1802" s="1" t="inlineStr">
        <is>
          <t>348x348x4mm</t>
        </is>
      </c>
      <c r="E1802" s="1" t="n">
        <v>18.95</v>
      </c>
      <c r="F1802" s="1" t="n">
        <v>0</v>
      </c>
      <c r="G1802" s="1" t="inlineStr">
        <is>
          <t>Sheet</t>
        </is>
      </c>
      <c r="H1802" s="1" t="inlineStr">
        <is>
          <t>Porcelain</t>
        </is>
      </c>
      <c r="I1802" s="1" t="inlineStr">
        <is>
          <t>Matt</t>
        </is>
      </c>
      <c r="J1802" t="inlineStr"/>
      <c r="K1802" t="inlineStr">
        <is>
          <t>In Stock</t>
        </is>
      </c>
      <c r="L1802" t="inlineStr">
        <is>
          <t>In Stock</t>
        </is>
      </c>
    </row>
    <row r="1803">
      <c r="A1803" s="1">
        <f>Hyperlink("https://www.wallsandfloors.co.uk/harmonie-mosaic-tiles-caraibes-tiles","Product")</f>
        <v/>
      </c>
      <c r="B1803" s="1" t="inlineStr">
        <is>
          <t>209</t>
        </is>
      </c>
      <c r="C1803" s="1" t="inlineStr">
        <is>
          <t>Harmonie Caraibes Blue Mosaic Tiles</t>
        </is>
      </c>
      <c r="D1803" s="1" t="inlineStr">
        <is>
          <t>348x348x4mm</t>
        </is>
      </c>
      <c r="E1803" s="1" t="n">
        <v>17.95</v>
      </c>
      <c r="F1803" s="1" t="n">
        <v>0</v>
      </c>
      <c r="G1803" s="1" t="inlineStr">
        <is>
          <t>Sheet</t>
        </is>
      </c>
      <c r="H1803" s="1" t="inlineStr">
        <is>
          <t>Porcelain</t>
        </is>
      </c>
      <c r="I1803" s="1" t="inlineStr">
        <is>
          <t>Matt</t>
        </is>
      </c>
      <c r="J1803" t="inlineStr"/>
      <c r="K1803" t="inlineStr">
        <is>
          <t>Out of Stock</t>
        </is>
      </c>
      <c r="L1803" t="inlineStr">
        <is>
          <t>Out of Stock</t>
        </is>
      </c>
    </row>
    <row r="1804">
      <c r="A1804" s="1">
        <f>Hyperlink("https://www.wallsandfloors.co.uk/harmonie-mosaic-tiles-camelia-tiles","Product")</f>
        <v/>
      </c>
      <c r="B1804" s="1" t="inlineStr">
        <is>
          <t>216</t>
        </is>
      </c>
      <c r="C1804" s="1" t="inlineStr">
        <is>
          <t>Harmonie Camelia Pink Mosaic Tiles</t>
        </is>
      </c>
      <c r="D1804" s="1" t="inlineStr">
        <is>
          <t>348x348x4mm</t>
        </is>
      </c>
      <c r="E1804" s="1" t="n">
        <v>17.95</v>
      </c>
      <c r="F1804" s="1" t="n">
        <v>0</v>
      </c>
      <c r="G1804" s="1" t="inlineStr">
        <is>
          <t>Sheet</t>
        </is>
      </c>
      <c r="H1804" s="1" t="inlineStr">
        <is>
          <t>Porcelain</t>
        </is>
      </c>
      <c r="I1804" s="1" t="inlineStr">
        <is>
          <t>Matt</t>
        </is>
      </c>
      <c r="J1804" t="inlineStr">
        <is>
          <t>Out of Stock</t>
        </is>
      </c>
      <c r="K1804" t="inlineStr">
        <is>
          <t>Out of Stock</t>
        </is>
      </c>
      <c r="L1804" t="inlineStr">
        <is>
          <t>Out of Stock</t>
        </is>
      </c>
    </row>
    <row r="1805">
      <c r="A1805" s="1">
        <f>Hyperlink("https://www.wallsandfloors.co.uk/harmonie-mosaic-tiles-buis-tiles","Product")</f>
        <v/>
      </c>
      <c r="B1805" s="1" t="inlineStr">
        <is>
          <t>223</t>
        </is>
      </c>
      <c r="C1805" s="1" t="inlineStr">
        <is>
          <t>Harmonie Buis Green Mosaic Tiles</t>
        </is>
      </c>
      <c r="D1805" s="1" t="inlineStr">
        <is>
          <t>348x348x4mm</t>
        </is>
      </c>
      <c r="E1805" s="1" t="n">
        <v>18.95</v>
      </c>
      <c r="F1805" s="1" t="n">
        <v>0</v>
      </c>
      <c r="G1805" s="1" t="inlineStr">
        <is>
          <t>Sheet</t>
        </is>
      </c>
      <c r="H1805" s="1" t="inlineStr">
        <is>
          <t>Porcelain</t>
        </is>
      </c>
      <c r="I1805" s="1" t="inlineStr">
        <is>
          <t>Matt</t>
        </is>
      </c>
      <c r="J1805" t="inlineStr">
        <is>
          <t>In Stock</t>
        </is>
      </c>
      <c r="K1805" t="inlineStr">
        <is>
          <t>In Stock</t>
        </is>
      </c>
      <c r="L1805" t="inlineStr">
        <is>
          <t>In Stock</t>
        </is>
      </c>
    </row>
    <row r="1806">
      <c r="A1806" s="1">
        <f>Hyperlink("https://www.wallsandfloors.co.uk/harmonie-mosaic-tiles-aster-tiles","Product")</f>
        <v/>
      </c>
      <c r="B1806" s="1" t="inlineStr">
        <is>
          <t>226</t>
        </is>
      </c>
      <c r="C1806" s="1" t="inlineStr">
        <is>
          <t>Harmonie Aster Blue Mosaic Tiles</t>
        </is>
      </c>
      <c r="D1806" s="1" t="inlineStr">
        <is>
          <t>348x348x4mm</t>
        </is>
      </c>
      <c r="E1806" s="1" t="n">
        <v>17.95</v>
      </c>
      <c r="F1806" s="1" t="n">
        <v>0</v>
      </c>
      <c r="G1806" s="1" t="inlineStr">
        <is>
          <t>Sheet</t>
        </is>
      </c>
      <c r="H1806" s="1" t="inlineStr">
        <is>
          <t>Porcelain</t>
        </is>
      </c>
      <c r="I1806" s="1" t="inlineStr">
        <is>
          <t>Matt</t>
        </is>
      </c>
      <c r="J1806" t="inlineStr"/>
      <c r="K1806" t="inlineStr">
        <is>
          <t>In Stock</t>
        </is>
      </c>
      <c r="L1806" t="inlineStr">
        <is>
          <t>In Stock</t>
        </is>
      </c>
    </row>
    <row r="1807">
      <c r="A1807" s="1">
        <f>Hyperlink("https://www.wallsandfloors.co.uk/hardrock-tiles-structured-mid-grey-speckle-tiles","Product")</f>
        <v/>
      </c>
      <c r="B1807" s="1" t="inlineStr">
        <is>
          <t>11388</t>
        </is>
      </c>
      <c r="C1807" s="1" t="inlineStr">
        <is>
          <t>Hardrock Matt Mid Grey Anti Slip Speckle Tiles</t>
        </is>
      </c>
      <c r="D1807" s="1" t="inlineStr">
        <is>
          <t>300x300x9mm</t>
        </is>
      </c>
      <c r="E1807" s="1" t="n">
        <v>20.95</v>
      </c>
      <c r="F1807" s="1" t="n">
        <v>0</v>
      </c>
      <c r="G1807" s="1" t="inlineStr">
        <is>
          <t>SQM</t>
        </is>
      </c>
      <c r="H1807" s="1" t="inlineStr">
        <is>
          <t>Porcelain</t>
        </is>
      </c>
      <c r="I1807" s="1" t="inlineStr">
        <is>
          <t>Matt</t>
        </is>
      </c>
      <c r="J1807" t="inlineStr"/>
      <c r="K1807" t="n">
        <v>141</v>
      </c>
      <c r="L1807" t="n">
        <v>141</v>
      </c>
    </row>
    <row r="1808">
      <c r="A1808" s="1">
        <f>Hyperlink("https://www.wallsandfloors.co.uk/hardrock-tiles-structured-light-grey-speckle-tiles","Product")</f>
        <v/>
      </c>
      <c r="B1808" s="1" t="inlineStr">
        <is>
          <t>11359</t>
        </is>
      </c>
      <c r="C1808" s="1" t="inlineStr">
        <is>
          <t>Hardock Matt Light Grey Anti Slip Speckle Tiles</t>
        </is>
      </c>
      <c r="D1808" s="1" t="inlineStr">
        <is>
          <t>300x300x9mm</t>
        </is>
      </c>
      <c r="E1808" s="1" t="n">
        <v>20.95</v>
      </c>
      <c r="F1808" s="1" t="n">
        <v>0</v>
      </c>
      <c r="G1808" s="1" t="inlineStr">
        <is>
          <t>SQM</t>
        </is>
      </c>
      <c r="H1808" s="1" t="inlineStr">
        <is>
          <t>Porcelain</t>
        </is>
      </c>
      <c r="I1808" s="1" t="inlineStr">
        <is>
          <t>Matt</t>
        </is>
      </c>
      <c r="J1808" t="n">
        <v>110</v>
      </c>
      <c r="K1808" t="n">
        <v>110</v>
      </c>
      <c r="L1808" t="n">
        <v>110</v>
      </c>
    </row>
    <row r="1809">
      <c r="A1809" s="1">
        <f>Hyperlink("https://www.wallsandfloors.co.uk/hardrock-tiles-natural-mid-grey-speckle-tiles","Product")</f>
        <v/>
      </c>
      <c r="B1809" s="1" t="inlineStr">
        <is>
          <t>11387</t>
        </is>
      </c>
      <c r="C1809" s="1" t="inlineStr">
        <is>
          <t>Natural Mid Grey Speckle Tiles</t>
        </is>
      </c>
      <c r="D1809" s="1" t="inlineStr">
        <is>
          <t>300x300x9mm</t>
        </is>
      </c>
      <c r="E1809" s="1" t="n">
        <v>20.95</v>
      </c>
      <c r="F1809" s="1" t="n">
        <v>0</v>
      </c>
      <c r="G1809" s="1" t="inlineStr">
        <is>
          <t>SQM</t>
        </is>
      </c>
      <c r="H1809" s="1" t="inlineStr">
        <is>
          <t>Porcelain</t>
        </is>
      </c>
      <c r="I1809" s="1" t="inlineStr">
        <is>
          <t>Matt</t>
        </is>
      </c>
      <c r="J1809" t="n">
        <v>64</v>
      </c>
      <c r="K1809" t="n">
        <v>64</v>
      </c>
      <c r="L1809" t="n">
        <v>64</v>
      </c>
    </row>
    <row r="1810">
      <c r="A1810" s="1">
        <f>Hyperlink("https://www.wallsandfloors.co.uk/zoro-mosaic-diamond-3d-gloss-white","Product")</f>
        <v/>
      </c>
      <c r="B1810" s="1" t="inlineStr">
        <is>
          <t>39980</t>
        </is>
      </c>
      <c r="C1810" s="1" t="inlineStr">
        <is>
          <t>Bijou Gloss Hexacube 3D White Mosaic Tiles</t>
        </is>
      </c>
      <c r="D1810" s="1" t="inlineStr">
        <is>
          <t>300x262x6mm</t>
        </is>
      </c>
      <c r="E1810" s="1" t="n">
        <v>1.95</v>
      </c>
      <c r="F1810" s="1" t="n">
        <v>0</v>
      </c>
      <c r="G1810" s="1" t="inlineStr">
        <is>
          <t>Sheet</t>
        </is>
      </c>
      <c r="H1810" s="1" t="inlineStr">
        <is>
          <t>Porcelain</t>
        </is>
      </c>
      <c r="I1810" s="1" t="inlineStr">
        <is>
          <t>Gloss</t>
        </is>
      </c>
      <c r="J1810" t="n">
        <v>25</v>
      </c>
      <c r="K1810" t="n">
        <v>25</v>
      </c>
      <c r="L1810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2021-10-25T14:41:13Z</dcterms:created>
  <dcterms:modified xmlns:dcterms="http://purl.org/dc/terms/" xmlns:xsi="http://www.w3.org/2001/XMLSchema-instance" xsi:type="dcterms:W3CDTF">2021-10-25T14:41:13Z</dcterms:modified>
</cp:coreProperties>
</file>