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asee\OneDrive\Desktop\Hummer\"/>
    </mc:Choice>
  </mc:AlternateContent>
  <xr:revisionPtr revIDLastSave="0" documentId="13_ncr:1_{88263B77-E79A-4881-9F1C-FD443463EEB2}" xr6:coauthVersionLast="47" xr6:coauthVersionMax="47" xr10:uidLastSave="{00000000-0000-0000-0000-000000000000}"/>
  <bookViews>
    <workbookView xWindow="-120" yWindow="-120" windowWidth="20730" windowHeight="11160" tabRatio="894" activeTab="1" xr2:uid="{00000000-000D-0000-FFFF-FFFF00000000}"/>
  </bookViews>
  <sheets>
    <sheet name="index" sheetId="2" r:id="rId1"/>
    <sheet name="cash register" sheetId="1" r:id="rId2"/>
    <sheet name="Sheet1" sheetId="9" r:id="rId3"/>
    <sheet name="Material Slip" sheetId="4" r:id="rId4"/>
    <sheet name="parta" sheetId="8" r:id="rId5"/>
  </sheets>
  <definedNames>
    <definedName name="_xlnm._FilterDatabase" localSheetId="1" hidden="1">'cash register'!$B$5:$N$1031</definedName>
    <definedName name="_xlnm.Print_Area" localSheetId="1">'cash register'!$B$1:$N$379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1" i="1"/>
  <c r="G7" i="1"/>
  <c r="F12" i="1"/>
  <c r="G12" i="1" s="1"/>
  <c r="G8" i="1"/>
  <c r="G216" i="1"/>
  <c r="G173" i="1"/>
  <c r="G174" i="1"/>
  <c r="G175" i="1"/>
  <c r="G16" i="1" l="1"/>
  <c r="D22" i="1"/>
  <c r="F22" i="1" s="1"/>
  <c r="D21" i="1"/>
  <c r="F21" i="1" s="1"/>
  <c r="G20" i="1"/>
  <c r="G23" i="1"/>
  <c r="G19" i="1"/>
  <c r="D37" i="1"/>
  <c r="G37" i="1" s="1"/>
  <c r="G31" i="1"/>
  <c r="G32" i="1"/>
  <c r="G33" i="1"/>
  <c r="G34" i="1"/>
  <c r="G35" i="1"/>
  <c r="G36" i="1"/>
  <c r="G30" i="1"/>
  <c r="G39" i="1"/>
  <c r="G42" i="1"/>
  <c r="G43" i="1"/>
  <c r="G45" i="1"/>
  <c r="G46" i="1"/>
  <c r="G47" i="1"/>
  <c r="G48" i="1"/>
  <c r="G50" i="1"/>
  <c r="D51" i="1"/>
  <c r="F51" i="1" s="1"/>
  <c r="G52" i="1"/>
  <c r="D55" i="1"/>
  <c r="F55" i="1" s="1"/>
  <c r="G57" i="1"/>
  <c r="D57" i="1"/>
  <c r="G60" i="1"/>
  <c r="G75" i="1"/>
  <c r="G80" i="1"/>
  <c r="G124" i="1"/>
  <c r="G134" i="1"/>
  <c r="G147" i="1"/>
  <c r="D145" i="1"/>
  <c r="F145" i="1" s="1"/>
  <c r="G153" i="1"/>
  <c r="G160" i="1"/>
  <c r="F57" i="1" l="1"/>
  <c r="G64" i="1"/>
  <c r="G65" i="1"/>
  <c r="G66" i="1"/>
  <c r="G67" i="1"/>
  <c r="G68" i="1"/>
  <c r="G69" i="1"/>
  <c r="G70" i="1"/>
  <c r="G195" i="1" l="1"/>
  <c r="G199" i="1"/>
  <c r="G217" i="1"/>
  <c r="G224" i="1"/>
  <c r="D240" i="1"/>
  <c r="G247" i="1"/>
  <c r="G260" i="1"/>
  <c r="D260" i="1"/>
  <c r="D261" i="1"/>
  <c r="F261" i="1" s="1"/>
  <c r="G265" i="1"/>
  <c r="K270" i="1"/>
  <c r="G270" i="1"/>
  <c r="G275" i="1"/>
  <c r="D283" i="1"/>
  <c r="D284" i="1"/>
  <c r="G370" i="1"/>
  <c r="F260" i="1" l="1"/>
  <c r="G212" i="1"/>
  <c r="G211" i="1"/>
  <c r="G210" i="1"/>
  <c r="G209" i="1"/>
  <c r="G206" i="1"/>
  <c r="G205" i="1"/>
  <c r="G197" i="1"/>
  <c r="G196" i="1"/>
  <c r="G204" i="1"/>
  <c r="G194" i="1"/>
  <c r="G193" i="1"/>
  <c r="G191" i="1"/>
  <c r="G190" i="1"/>
  <c r="G189" i="1"/>
  <c r="G188" i="1"/>
  <c r="G184" i="1"/>
  <c r="G183" i="1"/>
  <c r="G182" i="1"/>
  <c r="G181" i="1"/>
  <c r="G180" i="1"/>
  <c r="G179" i="1"/>
  <c r="G178" i="1"/>
  <c r="G172" i="1"/>
  <c r="G171" i="1"/>
  <c r="G170" i="1"/>
  <c r="G169" i="1"/>
  <c r="G168" i="1"/>
  <c r="G167" i="1"/>
  <c r="G163" i="1"/>
  <c r="G162" i="1"/>
  <c r="G161" i="1"/>
  <c r="G159" i="1"/>
  <c r="G158" i="1"/>
  <c r="G157" i="1"/>
  <c r="G156" i="1"/>
  <c r="G148" i="1"/>
  <c r="G144" i="1"/>
  <c r="G143" i="1"/>
  <c r="G142" i="1"/>
  <c r="G141" i="1"/>
  <c r="G140" i="1"/>
  <c r="G139" i="1"/>
  <c r="G138" i="1"/>
  <c r="G137" i="1"/>
  <c r="G108" i="1"/>
  <c r="G136" i="1"/>
  <c r="G130" i="1"/>
  <c r="G129" i="1"/>
  <c r="G128" i="1"/>
  <c r="G127" i="1"/>
  <c r="G126" i="1"/>
  <c r="G125" i="1"/>
  <c r="G123" i="1"/>
  <c r="G122" i="1"/>
  <c r="G118" i="1"/>
  <c r="G117" i="1"/>
  <c r="G116" i="1"/>
  <c r="G115" i="1"/>
  <c r="G114" i="1"/>
  <c r="G113" i="1"/>
  <c r="G112" i="1"/>
  <c r="G111" i="1"/>
  <c r="G110" i="1"/>
  <c r="G104" i="1"/>
  <c r="G103" i="1"/>
  <c r="G102" i="1"/>
  <c r="G98" i="1"/>
  <c r="G97" i="1"/>
  <c r="G96" i="1"/>
  <c r="G91" i="1"/>
  <c r="G90" i="1"/>
  <c r="G89" i="1"/>
  <c r="G88" i="1"/>
  <c r="F87" i="1"/>
  <c r="G71" i="1"/>
  <c r="D253" i="1" l="1"/>
  <c r="G262" i="1"/>
  <c r="G252" i="1"/>
  <c r="G251" i="1"/>
  <c r="G250" i="1"/>
  <c r="G249" i="1"/>
  <c r="G248" i="1"/>
  <c r="F246" i="1"/>
  <c r="G245" i="1"/>
  <c r="G240" i="1"/>
  <c r="G244" i="1"/>
  <c r="D239" i="1"/>
  <c r="G239" i="1" s="1"/>
  <c r="G238" i="1"/>
  <c r="G236" i="1"/>
  <c r="D235" i="1"/>
  <c r="F235" i="1" s="1"/>
  <c r="G234" i="1"/>
  <c r="G233" i="1"/>
  <c r="G232" i="1"/>
  <c r="G231" i="1"/>
  <c r="G230" i="1"/>
  <c r="D229" i="1"/>
  <c r="F229" i="1" s="1"/>
  <c r="G228" i="1"/>
  <c r="G227" i="1"/>
  <c r="G226" i="1"/>
  <c r="G222" i="1"/>
  <c r="D221" i="1"/>
  <c r="G221" i="1" s="1"/>
  <c r="D220" i="1"/>
  <c r="F220" i="1" s="1"/>
  <c r="G219" i="1"/>
  <c r="G218" i="1"/>
  <c r="D218" i="1"/>
  <c r="G215" i="1"/>
  <c r="G214" i="1"/>
  <c r="F218" i="1" l="1"/>
  <c r="B3" i="8"/>
  <c r="F253" i="1" l="1"/>
  <c r="G253" i="1" s="1"/>
  <c r="G254" i="1"/>
  <c r="G255" i="1"/>
  <c r="G257" i="1"/>
  <c r="G256" i="1"/>
  <c r="F264" i="1"/>
  <c r="D262" i="1"/>
  <c r="F262" i="1" s="1"/>
  <c r="G271" i="1" l="1"/>
  <c r="G272" i="1"/>
  <c r="G273" i="1"/>
  <c r="G274" i="1"/>
  <c r="G276" i="1"/>
  <c r="G277" i="1"/>
  <c r="G278" i="1"/>
  <c r="G279" i="1"/>
  <c r="G280" i="1"/>
  <c r="G296" i="1" l="1"/>
  <c r="G287" i="1"/>
  <c r="G282" i="1" l="1"/>
  <c r="G284" i="1"/>
  <c r="D290" i="1"/>
  <c r="G283" i="1"/>
  <c r="D303" i="1"/>
  <c r="D316" i="1"/>
  <c r="D318" i="1"/>
  <c r="D317" i="1"/>
  <c r="G288" i="1" l="1"/>
  <c r="G290" i="1" l="1"/>
  <c r="G292" i="1" l="1"/>
  <c r="F297" i="1"/>
  <c r="G297" i="1" s="1"/>
  <c r="D298" i="1"/>
  <c r="F298" i="1" s="1"/>
  <c r="G300" i="1"/>
  <c r="G303" i="1" l="1"/>
  <c r="G305" i="1" l="1"/>
  <c r="G306" i="1"/>
  <c r="G310" i="1"/>
  <c r="G311" i="1" l="1"/>
  <c r="F312" i="1"/>
  <c r="G313" i="1"/>
  <c r="G314" i="1"/>
  <c r="G315" i="1"/>
  <c r="G316" i="1"/>
  <c r="G317" i="1"/>
  <c r="G318" i="1"/>
  <c r="F319" i="1" l="1"/>
  <c r="G374" i="1"/>
  <c r="G323" i="1" l="1"/>
  <c r="G351" i="1"/>
  <c r="G325" i="1"/>
  <c r="G330" i="1" l="1"/>
  <c r="D356" i="1"/>
  <c r="D340" i="1"/>
  <c r="G333" i="1" l="1"/>
  <c r="G335" i="1"/>
  <c r="G338" i="1"/>
  <c r="G340" i="1" l="1"/>
  <c r="G348" i="1"/>
  <c r="G349" i="1"/>
  <c r="G353" i="1" l="1"/>
  <c r="G354" i="1"/>
  <c r="G356" i="1" l="1"/>
  <c r="G359" i="1" l="1"/>
  <c r="G360" i="1" l="1"/>
  <c r="G362" i="1" l="1"/>
  <c r="G363" i="1"/>
  <c r="G364" i="1" l="1"/>
  <c r="G365" i="1"/>
  <c r="G368" i="1" l="1"/>
  <c r="G375" i="1" l="1"/>
  <c r="G371" i="1"/>
  <c r="G372" i="1"/>
  <c r="G377" i="1" l="1"/>
  <c r="H2" i="1" s="1"/>
  <c r="H4" i="1"/>
  <c r="H3" i="1"/>
  <c r="D4" i="1" l="1"/>
  <c r="D3" i="1"/>
  <c r="C3" i="8" l="1"/>
  <c r="K4" i="1" l="1"/>
  <c r="K3" i="1"/>
  <c r="B7" i="8" l="1"/>
  <c r="B33" i="8"/>
  <c r="B16" i="8"/>
  <c r="B9" i="8"/>
  <c r="D34" i="8" l="1"/>
  <c r="C36" i="8"/>
  <c r="B36" i="8"/>
  <c r="B38" i="8" s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5" i="8"/>
  <c r="D7" i="8"/>
  <c r="F3" i="8"/>
  <c r="D36" i="8" l="1"/>
  <c r="D37" i="8" l="1"/>
  <c r="D2" i="1"/>
  <c r="K2" i="1" s="1"/>
</calcChain>
</file>

<file path=xl/sharedStrings.xml><?xml version="1.0" encoding="utf-8"?>
<sst xmlns="http://schemas.openxmlformats.org/spreadsheetml/2006/main" count="2131" uniqueCount="584">
  <si>
    <t>Details</t>
  </si>
  <si>
    <t>Head</t>
  </si>
  <si>
    <t>Mode</t>
  </si>
  <si>
    <t>Balance</t>
  </si>
  <si>
    <t>Paid By</t>
  </si>
  <si>
    <t>Cash in Parts</t>
  </si>
  <si>
    <t>Cheque</t>
  </si>
  <si>
    <t xml:space="preserve">Omer </t>
  </si>
  <si>
    <t>Hamza</t>
  </si>
  <si>
    <t>Ledger Ref #</t>
  </si>
  <si>
    <t>Services</t>
  </si>
  <si>
    <t>Daily Transaction Record</t>
  </si>
  <si>
    <t>Transaction Type</t>
  </si>
  <si>
    <t>Credit Given</t>
  </si>
  <si>
    <t>On Credit</t>
  </si>
  <si>
    <t>Advance</t>
  </si>
  <si>
    <t>Unit</t>
  </si>
  <si>
    <t>DAILY ACCOUNTS SHEET</t>
  </si>
  <si>
    <t>Personal</t>
  </si>
  <si>
    <t xml:space="preserve">Cash </t>
  </si>
  <si>
    <t>Raw Material</t>
  </si>
  <si>
    <t>Bank Transfer</t>
  </si>
  <si>
    <t>Total Amount (PKR)</t>
  </si>
  <si>
    <t>Unit Amount (PKR)</t>
  </si>
  <si>
    <t xml:space="preserve"> Type</t>
  </si>
  <si>
    <t>Wages</t>
  </si>
  <si>
    <t>Qty</t>
  </si>
  <si>
    <t>DATE</t>
  </si>
  <si>
    <t>kgs</t>
  </si>
  <si>
    <t>Tools &amp; Consumables</t>
  </si>
  <si>
    <t>Food, welfare &amp; Entertainment</t>
  </si>
  <si>
    <t>Silver</t>
  </si>
  <si>
    <t>Copper</t>
  </si>
  <si>
    <t>Khulaai</t>
  </si>
  <si>
    <t>Iron Scrap</t>
  </si>
  <si>
    <t>Brass</t>
  </si>
  <si>
    <t>Zinc</t>
  </si>
  <si>
    <t>SS</t>
  </si>
  <si>
    <t>Bacha Part</t>
  </si>
  <si>
    <t>Party</t>
  </si>
  <si>
    <t>تاریخ</t>
  </si>
  <si>
    <t>بیچنے والا</t>
  </si>
  <si>
    <t>جنس</t>
  </si>
  <si>
    <t xml:space="preserve">بھرا وزن بیچنے والا </t>
  </si>
  <si>
    <t>خریدنے والا</t>
  </si>
  <si>
    <t>بھرا وزن خریدنے والا</t>
  </si>
  <si>
    <t>وزن باردانہ</t>
  </si>
  <si>
    <t>صافی وزن</t>
  </si>
  <si>
    <t>باردانہ واپسی</t>
  </si>
  <si>
    <t>تاریخ واپسی</t>
  </si>
  <si>
    <t>فا‌‎ئنل وزن</t>
  </si>
  <si>
    <t>دیگرتفصیلات و مہر</t>
  </si>
  <si>
    <t>بیع حوالہ</t>
  </si>
  <si>
    <t>دستخط ڈرائیور</t>
  </si>
  <si>
    <t xml:space="preserve">اجازت دفتر </t>
  </si>
  <si>
    <t>دستخط خریدار</t>
  </si>
  <si>
    <t>میٹیریل پرچی</t>
  </si>
  <si>
    <t>نمبر گاڑی</t>
  </si>
  <si>
    <t>گاڑی و ڈرائیور</t>
  </si>
  <si>
    <t>RECOVERY</t>
  </si>
  <si>
    <t>Material Slip</t>
  </si>
  <si>
    <t>Date</t>
  </si>
  <si>
    <t>Seller</t>
  </si>
  <si>
    <t>Buyer</t>
  </si>
  <si>
    <t>Commodity</t>
  </si>
  <si>
    <t>Gross Wt. Seller</t>
  </si>
  <si>
    <t>Gross Wt. Buyer</t>
  </si>
  <si>
    <t>Tare Weight</t>
  </si>
  <si>
    <t>Net Weight</t>
  </si>
  <si>
    <t>Tare Amount Return</t>
  </si>
  <si>
    <t>Tare Return Date</t>
  </si>
  <si>
    <t>Vehicle &amp; Driver</t>
  </si>
  <si>
    <t>Vehicle Number</t>
  </si>
  <si>
    <t>Final Weight</t>
  </si>
  <si>
    <t>Details &amp; Stamp</t>
  </si>
  <si>
    <t>Sale Reference</t>
  </si>
  <si>
    <t>Driver Signature</t>
  </si>
  <si>
    <t>Office Approval</t>
  </si>
  <si>
    <t>Buyer Signature</t>
  </si>
  <si>
    <t>EXPENSE</t>
  </si>
  <si>
    <t>Cast Iron</t>
  </si>
  <si>
    <t>Yard Cash</t>
  </si>
  <si>
    <t>لوہا</t>
  </si>
  <si>
    <t>دیگ</t>
  </si>
  <si>
    <t>تانبہ</t>
  </si>
  <si>
    <t>چڑا تانبہ</t>
  </si>
  <si>
    <t>روٹر تانبہ</t>
  </si>
  <si>
    <t>نالی تانبہ</t>
  </si>
  <si>
    <t>ریڈی ایٹر</t>
  </si>
  <si>
    <t>پیتل</t>
  </si>
  <si>
    <t>نرم سلور</t>
  </si>
  <si>
    <t>سخت سلور</t>
  </si>
  <si>
    <t>سلورانیمل وا‌‎ئر</t>
  </si>
  <si>
    <t>روٹرسلور</t>
  </si>
  <si>
    <t>اسٹین لیس اسٹیل</t>
  </si>
  <si>
    <t>بیرنگ</t>
  </si>
  <si>
    <t>جستہ</t>
  </si>
  <si>
    <t>کاربن</t>
  </si>
  <si>
    <t>چالو مال</t>
  </si>
  <si>
    <t>تار ٹکرے</t>
  </si>
  <si>
    <t>کارڈ</t>
  </si>
  <si>
    <t>میگنیٹ</t>
  </si>
  <si>
    <t>تیل</t>
  </si>
  <si>
    <t>چھلہ</t>
  </si>
  <si>
    <t>بچہ پارٹ</t>
  </si>
  <si>
    <t xml:space="preserve">پلاسٹک </t>
  </si>
  <si>
    <t>کچرا</t>
  </si>
  <si>
    <t>Value</t>
  </si>
  <si>
    <t>Rate</t>
  </si>
  <si>
    <t>Iron</t>
  </si>
  <si>
    <t>%</t>
  </si>
  <si>
    <t>Others</t>
  </si>
  <si>
    <t>weight</t>
  </si>
  <si>
    <t>rate</t>
  </si>
  <si>
    <t>total</t>
  </si>
  <si>
    <t>.copperدیگر 1</t>
  </si>
  <si>
    <t>دیگر 2. Steel Router</t>
  </si>
  <si>
    <t>دیگر 4</t>
  </si>
  <si>
    <t>Total Raw Material Purchase</t>
  </si>
  <si>
    <t>Total Raw Material Worth</t>
  </si>
  <si>
    <t>Total Expenses</t>
  </si>
  <si>
    <t>Total COST</t>
  </si>
  <si>
    <t xml:space="preserve">دیگر 3. </t>
  </si>
  <si>
    <t>Difference</t>
  </si>
  <si>
    <t xml:space="preserve">NET </t>
  </si>
  <si>
    <t>Total returns (probable)</t>
  </si>
  <si>
    <t>Account Details</t>
  </si>
  <si>
    <t xml:space="preserve">اکاؤنٹ تفصیلات </t>
  </si>
  <si>
    <t>اکاؤنٹ تفصیلات</t>
  </si>
  <si>
    <t>weight loss</t>
  </si>
  <si>
    <t>Gate Pass #</t>
  </si>
  <si>
    <t>Cash Voucher #</t>
  </si>
  <si>
    <t>Entry Code</t>
  </si>
  <si>
    <t>RECOVERIES (pkr)</t>
  </si>
  <si>
    <t>EXPENSES (pkr)</t>
  </si>
  <si>
    <t>BALANCE (pkr)</t>
  </si>
  <si>
    <t>INPUT (kgs)</t>
  </si>
  <si>
    <t>OUTPUT (kgs)</t>
  </si>
  <si>
    <t>BALANCE (kgs)</t>
  </si>
  <si>
    <t>Rotor</t>
  </si>
  <si>
    <t>Payable</t>
  </si>
  <si>
    <t>Recievable</t>
  </si>
  <si>
    <t>Recievables (pkr)</t>
  </si>
  <si>
    <t>Payables (pkr)</t>
  </si>
  <si>
    <t>Recieveable</t>
  </si>
  <si>
    <t>CASH SURPLUS / DEFICIT</t>
  </si>
  <si>
    <t>Chalu</t>
  </si>
  <si>
    <t>misc</t>
  </si>
  <si>
    <t>kashif</t>
  </si>
  <si>
    <t>kanta kiraya JV 8775</t>
  </si>
  <si>
    <t>labor paid for rearranging factory</t>
  </si>
  <si>
    <t xml:space="preserve">shahzad trali kiraya </t>
  </si>
  <si>
    <t>container purchase from loha ltd</t>
  </si>
  <si>
    <t>loha ltd</t>
  </si>
  <si>
    <t>shaukat advance cash</t>
  </si>
  <si>
    <t>umer saeed</t>
  </si>
  <si>
    <t>gear sale from ayaz</t>
  </si>
  <si>
    <t>ayaz</t>
  </si>
  <si>
    <t>chalu</t>
  </si>
  <si>
    <t>moter sale from ayaz</t>
  </si>
  <si>
    <t>gear sale from saif ullah</t>
  </si>
  <si>
    <t>saif ullah</t>
  </si>
  <si>
    <t>kanta kiraya TLA021</t>
  </si>
  <si>
    <t>ajmal</t>
  </si>
  <si>
    <t>iron scrap purchase from loha ltd</t>
  </si>
  <si>
    <t xml:space="preserve">   </t>
  </si>
  <si>
    <t>iron scrap sale from mohsin</t>
  </si>
  <si>
    <t>mohsin</t>
  </si>
  <si>
    <t>WEIGHT LEDGER</t>
  </si>
  <si>
    <t>RATE LEDGER</t>
  </si>
  <si>
    <t>CLIENT:</t>
  </si>
  <si>
    <t>Wt Out</t>
  </si>
  <si>
    <t>Wt In</t>
  </si>
  <si>
    <t>Money IN</t>
  </si>
  <si>
    <t>Money Out</t>
  </si>
  <si>
    <t>Deal Date</t>
  </si>
  <si>
    <t>Deal Rate</t>
  </si>
  <si>
    <t>Batch</t>
  </si>
  <si>
    <t>aneel latif</t>
  </si>
  <si>
    <t>router sale from aneel latif</t>
  </si>
  <si>
    <t>motor fan sale from aneel latif</t>
  </si>
  <si>
    <t>dagi part sale from jazib ali</t>
  </si>
  <si>
    <t xml:space="preserve">jazib ali </t>
  </si>
  <si>
    <t>tarpal purchase from shahbaz</t>
  </si>
  <si>
    <t>dagi part sale from danish</t>
  </si>
  <si>
    <t>danish</t>
  </si>
  <si>
    <t>mason tools purchase</t>
  </si>
  <si>
    <t>258+270</t>
  </si>
  <si>
    <t>rana bilal</t>
  </si>
  <si>
    <t>copper</t>
  </si>
  <si>
    <t>shoukat food exp</t>
  </si>
  <si>
    <t>rajput steel</t>
  </si>
  <si>
    <t>cast iron loding labour paid</t>
  </si>
  <si>
    <t xml:space="preserve">drill machine sale from shahid electriction </t>
  </si>
  <si>
    <t>iron scrap purchase from shoukat</t>
  </si>
  <si>
    <t>shoukat</t>
  </si>
  <si>
    <t>baring purchase from rajput steel</t>
  </si>
  <si>
    <t>shahbaz thekedar cash paid</t>
  </si>
  <si>
    <t>food exp thursday</t>
  </si>
  <si>
    <t>tanvir guard Friday food exp</t>
  </si>
  <si>
    <t>clean hall labour paid cash</t>
  </si>
  <si>
    <t>tishu/shahzad labor</t>
  </si>
  <si>
    <t>shoukat cash paid kanta</t>
  </si>
  <si>
    <t>rizwan loder cash</t>
  </si>
  <si>
    <t>rizwan loder cash paid copper loding</t>
  </si>
  <si>
    <t>rizwan loder</t>
  </si>
  <si>
    <t>botel+kashif food exp</t>
  </si>
  <si>
    <t xml:space="preserve">loha scrap pipe sale from abdullah </t>
  </si>
  <si>
    <t>abdullah brass</t>
  </si>
  <si>
    <t>rizwan loder cash paid pipe loding</t>
  </si>
  <si>
    <t>shahzad</t>
  </si>
  <si>
    <t>iron scrap sale from pak steel</t>
  </si>
  <si>
    <t>shahzad trali cash paid</t>
  </si>
  <si>
    <t>tanvir guard fuel bike for kanta</t>
  </si>
  <si>
    <t>shoukat bike fuel</t>
  </si>
  <si>
    <t>muzammil naseem</t>
  </si>
  <si>
    <t>self generators sale from imran</t>
  </si>
  <si>
    <t>imran</t>
  </si>
  <si>
    <t xml:space="preserve">shoukat fuel bike </t>
  </si>
  <si>
    <t>muzammil naseem kiraya loder for cast iron</t>
  </si>
  <si>
    <t>khulaai</t>
  </si>
  <si>
    <t xml:space="preserve">coil machine advance cash </t>
  </si>
  <si>
    <t xml:space="preserve">abdul qadeer cash paid rari </t>
  </si>
  <si>
    <t>bilal alkasin loder kiraya paid</t>
  </si>
  <si>
    <t>bilal</t>
  </si>
  <si>
    <t>alkasin &amp; bardana/ fuel 12900+50+100</t>
  </si>
  <si>
    <t>shahbaz thekedar</t>
  </si>
  <si>
    <t>Shahzad</t>
  </si>
  <si>
    <t>transport</t>
  </si>
  <si>
    <t>Shahid electrician</t>
  </si>
  <si>
    <t>shahbaz tikka food butt sb</t>
  </si>
  <si>
    <t>alkasin &amp; bardana/ fuel 100</t>
  </si>
  <si>
    <t>silver body moter sale from imran</t>
  </si>
  <si>
    <t>254+274+297</t>
  </si>
  <si>
    <t>asad</t>
  </si>
  <si>
    <t xml:space="preserve">Silver body moter sale </t>
  </si>
  <si>
    <t>Chandu</t>
  </si>
  <si>
    <t>Hard silver sale to shiekh shoaib</t>
  </si>
  <si>
    <t>Shoaib</t>
  </si>
  <si>
    <t>fuuel bike</t>
  </si>
  <si>
    <t xml:space="preserve">registerd </t>
  </si>
  <si>
    <t>cast iron sale to muzammil naseem</t>
  </si>
  <si>
    <t xml:space="preserve">cast iron sale to rajput steel </t>
  </si>
  <si>
    <t>SS rotor sale to asad</t>
  </si>
  <si>
    <t>SS sale to asad</t>
  </si>
  <si>
    <t>motor parts sale to chandu</t>
  </si>
  <si>
    <t>loder kiraya for copper transport</t>
  </si>
  <si>
    <t>loder kiraya for silver scrap transport</t>
  </si>
  <si>
    <t>yasir</t>
  </si>
  <si>
    <t>scrap purchase from Adnan Sb</t>
  </si>
  <si>
    <t>Adnan Yusuf</t>
  </si>
  <si>
    <t>toy motor sale</t>
  </si>
  <si>
    <t>bike fuel</t>
  </si>
  <si>
    <t>umair</t>
  </si>
  <si>
    <t>tanvir</t>
  </si>
  <si>
    <t>scrap to PSR ref Rajput Steel</t>
  </si>
  <si>
    <t>steel rotor &amp; SS scrap</t>
  </si>
  <si>
    <t>Asad</t>
  </si>
  <si>
    <t>Rotor sale</t>
  </si>
  <si>
    <t>Mitti sale</t>
  </si>
  <si>
    <t>Arslan</t>
  </si>
  <si>
    <t>Alkasin</t>
  </si>
  <si>
    <t>transport for alkasin</t>
  </si>
  <si>
    <t>Alkasin transport</t>
  </si>
  <si>
    <t>888+892</t>
  </si>
  <si>
    <t>5000 kg@ 1400</t>
  </si>
  <si>
    <t>5000 kg@1400</t>
  </si>
  <si>
    <t>choti motor sold to shabaan</t>
  </si>
  <si>
    <t>Silver kari sale to Asad rotor</t>
  </si>
  <si>
    <t>tariq</t>
  </si>
  <si>
    <t>scrap transport to PSR</t>
  </si>
  <si>
    <t>alkasin</t>
  </si>
  <si>
    <t>nos</t>
  </si>
  <si>
    <t>pedestal fans</t>
  </si>
  <si>
    <t>baby rotor purchase</t>
  </si>
  <si>
    <t>baby rotor sale</t>
  </si>
  <si>
    <t>scrap purchase</t>
  </si>
  <si>
    <t>Anees</t>
  </si>
  <si>
    <t>pcs</t>
  </si>
  <si>
    <t>bardaana bags</t>
  </si>
  <si>
    <t>Chalu pump sale</t>
  </si>
  <si>
    <t xml:space="preserve">SS Sale </t>
  </si>
  <si>
    <t>container offloading charges</t>
  </si>
  <si>
    <t>2 x Australia Containers</t>
  </si>
  <si>
    <t>341+349</t>
  </si>
  <si>
    <t>Shahid FSD</t>
  </si>
  <si>
    <t>Chalu motor sale</t>
  </si>
  <si>
    <t>mitti sale to Shokat</t>
  </si>
  <si>
    <t>Shokat</t>
  </si>
  <si>
    <t>scrap purchase from Anees</t>
  </si>
  <si>
    <t>Silver purchase from Anees</t>
  </si>
  <si>
    <t>15000 kg@ 1400</t>
  </si>
  <si>
    <t>2000 kgs @ 1400 / kg</t>
  </si>
  <si>
    <t>Fahad Copper</t>
  </si>
  <si>
    <t>LOHA LTD</t>
  </si>
  <si>
    <t>To PSR ref Rajpoot. Rate yet to be decided</t>
  </si>
  <si>
    <t>Chalu sale</t>
  </si>
  <si>
    <t>Laal</t>
  </si>
  <si>
    <t>silver karri sale</t>
  </si>
  <si>
    <t>Luqman</t>
  </si>
  <si>
    <t>Rafiq Chalu</t>
  </si>
  <si>
    <t>Abdullah</t>
  </si>
  <si>
    <t>Rotor molten silver</t>
  </si>
  <si>
    <t>Claim lot purchase</t>
  </si>
  <si>
    <t>Gear part sale</t>
  </si>
  <si>
    <t>Zubair Khan</t>
  </si>
  <si>
    <t>USA AC washing container</t>
  </si>
  <si>
    <t>2000 kgs @ 1400/kg</t>
  </si>
  <si>
    <t>MS plate sale. Hawala fwd to LOHA LTD</t>
  </si>
  <si>
    <t>Popular</t>
  </si>
  <si>
    <t>2000 kgs @ 292/kg</t>
  </si>
  <si>
    <t>cast iron sale</t>
  </si>
  <si>
    <t>Muzammil Naseem</t>
  </si>
  <si>
    <t>local chalu sale</t>
  </si>
  <si>
    <t>ref LOHA GP # 712</t>
  </si>
  <si>
    <t>Rana Bilal</t>
  </si>
  <si>
    <t>64.2 kgs baardana</t>
  </si>
  <si>
    <t>bearing</t>
  </si>
  <si>
    <t>Ahmed bearing</t>
  </si>
  <si>
    <t>gross wt hard silver</t>
  </si>
  <si>
    <t>transformer sheet sale</t>
  </si>
  <si>
    <t>Afzaal patri</t>
  </si>
  <si>
    <t>scrap purchase from muzammil</t>
  </si>
  <si>
    <t>rotor sale</t>
  </si>
  <si>
    <t xml:space="preserve">To PSR ref Rajpoot. </t>
  </si>
  <si>
    <t>2000 kg @ 1400. 38.4 kgs return</t>
  </si>
  <si>
    <t>Copper to Rana Bilal</t>
  </si>
  <si>
    <t>Mitti to Arslan</t>
  </si>
  <si>
    <t>SS sale</t>
  </si>
  <si>
    <t>Asad Ali</t>
  </si>
  <si>
    <t>Shoaib Younas</t>
  </si>
  <si>
    <t>Silver sale to Shoaib Younas</t>
  </si>
  <si>
    <t>Drill Grinder sale</t>
  </si>
  <si>
    <t>Refrence Tanveer shb</t>
  </si>
  <si>
    <t>Scrape to Mighty steel</t>
  </si>
  <si>
    <t>Mighty Steel</t>
  </si>
  <si>
    <t>Silver Router</t>
  </si>
  <si>
    <t>Asad Shb</t>
  </si>
  <si>
    <t>Silver to Shoaib Younas</t>
  </si>
  <si>
    <t>Daig to Muzamil</t>
  </si>
  <si>
    <t>Muzamil</t>
  </si>
  <si>
    <t>Mitti to Yousaf</t>
  </si>
  <si>
    <t>Yousaf</t>
  </si>
  <si>
    <t>Bari Motor to Khalil Ahmad</t>
  </si>
  <si>
    <t>Motor to khalil Ahmad</t>
  </si>
  <si>
    <t xml:space="preserve">Chalu to Khalil Ahmad </t>
  </si>
  <si>
    <t>Khalil Ahmad</t>
  </si>
  <si>
    <t>Summer Pump to Umar Shb</t>
  </si>
  <si>
    <t>Umar Shb</t>
  </si>
  <si>
    <t>Chalu to Bilal Shb</t>
  </si>
  <si>
    <t>Bilal Shb</t>
  </si>
  <si>
    <t>1563-1561</t>
  </si>
  <si>
    <t>858-859</t>
  </si>
  <si>
    <t>Mitti to Dilawar</t>
  </si>
  <si>
    <t>Dilawar</t>
  </si>
  <si>
    <t>1559-1560</t>
  </si>
  <si>
    <t>Abdul Qayum</t>
  </si>
  <si>
    <t>Chalu to Abdul Qayum</t>
  </si>
  <si>
    <t xml:space="preserve">Chalu to Afzaal </t>
  </si>
  <si>
    <t xml:space="preserve">Afzaal </t>
  </si>
  <si>
    <t>Chalu to Nawaz</t>
  </si>
  <si>
    <t>Nawaz</t>
  </si>
  <si>
    <t>Daigi Motor to Khalil Ahmad</t>
  </si>
  <si>
    <t>1402-1450</t>
  </si>
  <si>
    <t>Container received from LOHA</t>
  </si>
  <si>
    <t>LOHA ltd</t>
  </si>
  <si>
    <t>MD Steel</t>
  </si>
  <si>
    <t>Iron Scrap to MD steel</t>
  </si>
  <si>
    <t>Chalu to Suleman</t>
  </si>
  <si>
    <t>Suleman Shb</t>
  </si>
  <si>
    <t>Scrap Received from LOHA ltd</t>
  </si>
  <si>
    <t>Chalu to Mohsin LAHORIA</t>
  </si>
  <si>
    <t>Mohsin Shb</t>
  </si>
  <si>
    <t>Miti to Yousaf</t>
  </si>
  <si>
    <t>Chalu to Sajid shb</t>
  </si>
  <si>
    <t>Sajid Shb</t>
  </si>
  <si>
    <t xml:space="preserve">Cast Iron to Muzamil Shb </t>
  </si>
  <si>
    <t xml:space="preserve">Chiri Copper to Dilawar </t>
  </si>
  <si>
    <t>1424-1431</t>
  </si>
  <si>
    <t>Two Containers received from Grey Metals(Zaid shb)</t>
  </si>
  <si>
    <t>Grey Metals</t>
  </si>
  <si>
    <t>Bras to Irfan Usman</t>
  </si>
  <si>
    <t>Irfan Usman</t>
  </si>
  <si>
    <t>Chalu  to Ashfaq</t>
  </si>
  <si>
    <t>Ashfaq Shb</t>
  </si>
  <si>
    <t>Chalu to Ghulam Mustafa</t>
  </si>
  <si>
    <t>Ghulam Mustafa</t>
  </si>
  <si>
    <t>830-832</t>
  </si>
  <si>
    <t>Chalu to usman</t>
  </si>
  <si>
    <t>Usman Shb</t>
  </si>
  <si>
    <t>1637-1423</t>
  </si>
  <si>
    <t>Hard Silver to Shoaib Younus</t>
  </si>
  <si>
    <t>Chalu to Andaaz khan</t>
  </si>
  <si>
    <t>Andaaz khan</t>
  </si>
  <si>
    <t>Chalu to Shahid Faisalabadi</t>
  </si>
  <si>
    <t>Shahid Shb</t>
  </si>
  <si>
    <t>Daig to Hafiz Ishtiaaq</t>
  </si>
  <si>
    <t>Hafiz Ishtiaaq</t>
  </si>
  <si>
    <t>Router to Saad shb</t>
  </si>
  <si>
    <t>Chalu to Rafique Shb</t>
  </si>
  <si>
    <t>Rafique</t>
  </si>
  <si>
    <t>Copper to Fahad</t>
  </si>
  <si>
    <t>Fahad</t>
  </si>
  <si>
    <t>Chalu to Burhan</t>
  </si>
  <si>
    <t>Burhan Shb</t>
  </si>
  <si>
    <t>Tanveer Shb ko jumy ki labour k diye</t>
  </si>
  <si>
    <t>Tanveer Shb</t>
  </si>
  <si>
    <t>Daily Expenses</t>
  </si>
  <si>
    <t>Shaban thekedar ko diye</t>
  </si>
  <si>
    <t>Shaban</t>
  </si>
  <si>
    <t>advance wapis kiya yousaf ko</t>
  </si>
  <si>
    <t>Yousaf mitti</t>
  </si>
  <si>
    <t>Salary to Shahnaz Shb</t>
  </si>
  <si>
    <t>shahnaz shb</t>
  </si>
  <si>
    <t>salary to Hamza Asif</t>
  </si>
  <si>
    <t>Hamza Asif</t>
  </si>
  <si>
    <t>Tanveer Shb ko diye</t>
  </si>
  <si>
    <t>Kashif Electricin ko diye</t>
  </si>
  <si>
    <t>Shehzad Tarali</t>
  </si>
  <si>
    <t xml:space="preserve">Tahir Loader </t>
  </si>
  <si>
    <t xml:space="preserve">Kashif </t>
  </si>
  <si>
    <t>Shehzad</t>
  </si>
  <si>
    <t>tahir</t>
  </si>
  <si>
    <t>Thursday k Khanay k</t>
  </si>
  <si>
    <t>Kashif</t>
  </si>
  <si>
    <t>Shaban Thekedar ko diye</t>
  </si>
  <si>
    <t>wages</t>
  </si>
  <si>
    <t>Tarali waly ko diye</t>
  </si>
  <si>
    <t>Tahir loader waly ko diye</t>
  </si>
  <si>
    <t>Tahir Loader</t>
  </si>
  <si>
    <t>Ali ko Machine k diye</t>
  </si>
  <si>
    <t>Tanveer ko Toron k diye</t>
  </si>
  <si>
    <t>Tanveer</t>
  </si>
  <si>
    <t>Shehzad tarali waly ko diye</t>
  </si>
  <si>
    <t>shehzad</t>
  </si>
  <si>
    <t>Shahbaz Thekedar ko diye</t>
  </si>
  <si>
    <t>shahbaz</t>
  </si>
  <si>
    <t>services</t>
  </si>
  <si>
    <t>Tahir loader ko Alkasen k diye</t>
  </si>
  <si>
    <t>mughal kanta</t>
  </si>
  <si>
    <t>cash paid to mughal kanta</t>
  </si>
  <si>
    <t>tahir loader ko diye</t>
  </si>
  <si>
    <t>cash paid to ali mughal</t>
  </si>
  <si>
    <t>Ali mughal</t>
  </si>
  <si>
    <t>irshaad tarali waly ko diye</t>
  </si>
  <si>
    <t>irshaad</t>
  </si>
  <si>
    <t>tanveer shb ko diye</t>
  </si>
  <si>
    <t>shahid tarali waly ko diye</t>
  </si>
  <si>
    <t>shahid tarali</t>
  </si>
  <si>
    <t>shehzad tarali</t>
  </si>
  <si>
    <t>bucket ko diya</t>
  </si>
  <si>
    <t>sajjad ko guard k diye</t>
  </si>
  <si>
    <t xml:space="preserve">sajjad </t>
  </si>
  <si>
    <t>shaban thekdar</t>
  </si>
  <si>
    <t>shaban thekedar ko diye</t>
  </si>
  <si>
    <t xml:space="preserve">irshad loader ko diye </t>
  </si>
  <si>
    <t>irshad loader</t>
  </si>
  <si>
    <t>tahir loader waly ko diye</t>
  </si>
  <si>
    <t>Tahir loader</t>
  </si>
  <si>
    <t>c</t>
  </si>
  <si>
    <t>n</t>
  </si>
  <si>
    <t>gpb1401</t>
  </si>
  <si>
    <t>cvb1252</t>
  </si>
  <si>
    <t>cvb1253</t>
  </si>
  <si>
    <t>cvbm2</t>
  </si>
  <si>
    <t>cvb1263</t>
  </si>
  <si>
    <t>thekedaar</t>
  </si>
  <si>
    <t>cvb1259</t>
  </si>
  <si>
    <t>cvb1261</t>
  </si>
  <si>
    <t>cvb1260</t>
  </si>
  <si>
    <t>54410+54035 kg material rent paid</t>
  </si>
  <si>
    <t>cvb1255</t>
  </si>
  <si>
    <t>gpb1402</t>
  </si>
  <si>
    <t>gpb1403</t>
  </si>
  <si>
    <t>gpb1409</t>
  </si>
  <si>
    <t>gpb1405</t>
  </si>
  <si>
    <t>gpb1404</t>
  </si>
  <si>
    <t>300+287</t>
  </si>
  <si>
    <t>daily wages worker</t>
  </si>
  <si>
    <t>misc expenses</t>
  </si>
  <si>
    <t>442+443+444</t>
  </si>
  <si>
    <t>scrap to mighty ref Rajput Steel</t>
  </si>
  <si>
    <t>shabaan</t>
  </si>
  <si>
    <t>electrician salary &amp; stuff</t>
  </si>
  <si>
    <t>core machine</t>
  </si>
  <si>
    <t>Ali Waqar</t>
  </si>
  <si>
    <t>badr autos</t>
  </si>
  <si>
    <t>scrap to Mighty steel</t>
  </si>
  <si>
    <t>Afzaal Laal</t>
  </si>
  <si>
    <t>345+346</t>
  </si>
  <si>
    <t>755+756</t>
  </si>
  <si>
    <t>To Akram Jutt ref Shahzad tractor</t>
  </si>
  <si>
    <t>347+350+1610</t>
  </si>
  <si>
    <t>1606+1601</t>
  </si>
  <si>
    <t>887+898+1608</t>
  </si>
  <si>
    <t>791+792</t>
  </si>
  <si>
    <t>molvi tahir</t>
  </si>
  <si>
    <t>1619+1623</t>
  </si>
  <si>
    <t>mix metal purchase from loha</t>
  </si>
  <si>
    <t>Chalu core rotor to usman</t>
  </si>
  <si>
    <t>loha ki mitti</t>
  </si>
  <si>
    <t>Yusuf</t>
  </si>
  <si>
    <t>Chalu self</t>
  </si>
  <si>
    <t>1622+1648</t>
  </si>
  <si>
    <t>asad Shb</t>
  </si>
  <si>
    <t>SS to Nawaz</t>
  </si>
  <si>
    <t>Anees sy iron scrap aya</t>
  </si>
  <si>
    <t>Anees Baby rotor</t>
  </si>
  <si>
    <t>Anees ko baby rotor gya</t>
  </si>
  <si>
    <t>Anees ko compressor gya</t>
  </si>
  <si>
    <t>Mohsin ko daigi gear becha</t>
  </si>
  <si>
    <t>Mohsin Lahoria</t>
  </si>
  <si>
    <t>Mighty steel ko scrap gya (Refrence Adil sahab)</t>
  </si>
  <si>
    <t>Mighty steel</t>
  </si>
  <si>
    <t>Shoaib yonus ko hard silver gya</t>
  </si>
  <si>
    <t>Shoaib Yonus</t>
  </si>
  <si>
    <t>Qasim ko magnet body rotor gya</t>
  </si>
  <si>
    <t xml:space="preserve">Qasim </t>
  </si>
  <si>
    <t>1442-1553</t>
  </si>
  <si>
    <t>yousaf ko miti bechi</t>
  </si>
  <si>
    <t>Mehtab ko daigi motor bechi</t>
  </si>
  <si>
    <t>Mehtab</t>
  </si>
  <si>
    <t>Shehzad Tarali waly ko bucket or tarali k diye</t>
  </si>
  <si>
    <t>Transport</t>
  </si>
  <si>
    <t>container + scrap</t>
  </si>
  <si>
    <t>1569-1570</t>
  </si>
  <si>
    <t>Guard shahbaz salary</t>
  </si>
  <si>
    <t>Guard</t>
  </si>
  <si>
    <t>1582+</t>
  </si>
  <si>
    <t>From Abdul Qadeer</t>
  </si>
  <si>
    <t>Abdul Qadeer</t>
  </si>
  <si>
    <t>1589+</t>
  </si>
  <si>
    <t>iron piece</t>
  </si>
  <si>
    <t>Wajid</t>
  </si>
  <si>
    <t xml:space="preserve">chalu </t>
  </si>
  <si>
    <t>Afzaal</t>
  </si>
  <si>
    <t xml:space="preserve">Tahir </t>
  </si>
  <si>
    <t>Loader</t>
  </si>
  <si>
    <t>Daily expenses</t>
  </si>
  <si>
    <t>Bilal</t>
  </si>
  <si>
    <t>Chalu sold to mehtab</t>
  </si>
  <si>
    <t xml:space="preserve">Deegi motor </t>
  </si>
  <si>
    <t>imran shb</t>
  </si>
  <si>
    <t xml:space="preserve">Baby rotor sold to anees </t>
  </si>
  <si>
    <t>Scrap received from anees</t>
  </si>
  <si>
    <t>Shaban thekedar sy copper k wasool hoye</t>
  </si>
  <si>
    <t>moin shb sy motor li</t>
  </si>
  <si>
    <t>Moin shb</t>
  </si>
  <si>
    <t>Shoaib Younus</t>
  </si>
  <si>
    <t>three oxygen cylinder</t>
  </si>
  <si>
    <t>miitti to amanat</t>
  </si>
  <si>
    <t>Amanat</t>
  </si>
  <si>
    <t>one container received from rajput steel</t>
  </si>
  <si>
    <t>Magnet Rotor sold</t>
  </si>
  <si>
    <t>Chalu to Abdul Rehman</t>
  </si>
  <si>
    <t>Abdul Rehman</t>
  </si>
  <si>
    <t>Scrap to Adil shb AA steel</t>
  </si>
  <si>
    <t xml:space="preserve">Adil Shb </t>
  </si>
  <si>
    <t>Copper to Shoaib Younus</t>
  </si>
  <si>
    <t>Copper to Shoaib Younus(Godam-15)</t>
  </si>
  <si>
    <t>Router to Asad shb</t>
  </si>
  <si>
    <t>Daig to Abdullah Mehar</t>
  </si>
  <si>
    <t>Abdullah Mehar</t>
  </si>
  <si>
    <t>Shaban thekedaar ko diye</t>
  </si>
  <si>
    <t>Deegi pump to Irfan shb</t>
  </si>
  <si>
    <t>Irfan Shb</t>
  </si>
  <si>
    <t>Steel to sajid shb</t>
  </si>
  <si>
    <t>Shahid</t>
  </si>
  <si>
    <t>Chalu to faisal</t>
  </si>
  <si>
    <t>Faisal</t>
  </si>
  <si>
    <t xml:space="preserve">Mitti sold to Yousaf </t>
  </si>
  <si>
    <t>Ali Muhammad Guard ko diye</t>
  </si>
  <si>
    <t>Ali Muhammad</t>
  </si>
  <si>
    <t>Tahir loader ko diye</t>
  </si>
  <si>
    <t>Tanveer shb ko alkasin k diye</t>
  </si>
  <si>
    <t>Copper to Humber Fiaz (Refrence Abdullah shb)</t>
  </si>
  <si>
    <t>Humber Fiaz</t>
  </si>
  <si>
    <t>Shabaz thekedar ko diye</t>
  </si>
  <si>
    <t>d</t>
  </si>
  <si>
    <t>One Container box received from LOHA ltd</t>
  </si>
  <si>
    <t>Two Container box received from LOHA ltd</t>
  </si>
  <si>
    <t>Three Container box received from LOHA ltd</t>
  </si>
  <si>
    <t>Scrap to Waqas steel(ref Adil sada )</t>
  </si>
  <si>
    <t>Waqas steel (adil)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</si>
</sst>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#,##0.0"/>
  </numFmts>
  <fonts count="16" x14ac:knownFonts="1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</font>
    <font>
      <b/>
      <sz val="11"/>
      <color theme="1"/>
      <name val="Arial Black"/>
      <family val="2"/>
    </font>
    <font>
      <sz val="7"/>
      <color theme="1"/>
      <name val="Calibri"/>
      <family val="2"/>
    </font>
    <font>
      <sz val="6"/>
      <color theme="1"/>
      <name val="Calibri"/>
      <family val="2"/>
    </font>
    <font>
      <sz val="9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14" fontId="5" fillId="0" borderId="0" xfId="0" applyNumberFormat="1" applyFont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0" fillId="0" borderId="1" xfId="0" applyFill="1" applyBorder="1"/>
    <xf numFmtId="164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5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" fontId="11" fillId="4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0" fillId="0" borderId="9" xfId="0" applyBorder="1"/>
    <xf numFmtId="49" fontId="8" fillId="3" borderId="1" xfId="0" applyNumberFormat="1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14" fontId="8" fillId="7" borderId="1" xfId="0" applyNumberFormat="1" applyFont="1" applyFill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14" fontId="8" fillId="7" borderId="1" xfId="0" applyNumberFormat="1" applyFont="1" applyFill="1" applyBorder="1" applyAlignment="1">
      <alignment horizontal="left" vertical="center" wrapText="1"/>
    </xf>
    <xf numFmtId="9" fontId="5" fillId="7" borderId="1" xfId="1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 wrapText="1"/>
    </xf>
    <xf numFmtId="165" fontId="8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7" borderId="19" xfId="0" applyFill="1" applyBorder="1"/>
    <xf numFmtId="0" fontId="0" fillId="7" borderId="1" xfId="0" applyFill="1" applyBorder="1"/>
    <xf numFmtId="0" fontId="0" fillId="7" borderId="21" xfId="0" applyFill="1" applyBorder="1"/>
    <xf numFmtId="0" fontId="0" fillId="7" borderId="22" xfId="0" applyFill="1" applyBorder="1"/>
    <xf numFmtId="0" fontId="0" fillId="0" borderId="0" xfId="0" applyAlignment="1"/>
    <xf numFmtId="0" fontId="0" fillId="0" borderId="24" xfId="0" applyBorder="1" applyAlignment="1"/>
    <xf numFmtId="0" fontId="0" fillId="0" borderId="24" xfId="0" applyBorder="1"/>
    <xf numFmtId="0" fontId="0" fillId="0" borderId="0" xfId="0" applyBorder="1" applyAlignment="1">
      <alignment horizontal="center"/>
    </xf>
    <xf numFmtId="0" fontId="0" fillId="7" borderId="20" xfId="0" applyFill="1" applyBorder="1"/>
    <xf numFmtId="0" fontId="0" fillId="7" borderId="23" xfId="0" applyFill="1" applyBorder="1"/>
    <xf numFmtId="14" fontId="5" fillId="0" borderId="1" xfId="0" applyNumberFormat="1" applyFont="1" applyFill="1" applyBorder="1" applyAlignment="1">
      <alignment horizontal="left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14" fontId="8" fillId="9" borderId="1" xfId="0" applyNumberFormat="1" applyFont="1" applyFill="1" applyBorder="1" applyAlignment="1">
      <alignment horizontal="center" vertical="center" wrapText="1"/>
    </xf>
    <xf numFmtId="3" fontId="6" fillId="9" borderId="1" xfId="0" applyNumberFormat="1" applyFont="1" applyFill="1" applyBorder="1" applyAlignment="1">
      <alignment horizontal="center" vertical="center" wrapText="1"/>
    </xf>
    <xf numFmtId="14" fontId="8" fillId="9" borderId="1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left" vertical="center" wrapText="1"/>
    </xf>
    <xf numFmtId="9" fontId="5" fillId="2" borderId="1" xfId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left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4" fontId="8" fillId="10" borderId="1" xfId="0" applyNumberFormat="1" applyFont="1" applyFill="1" applyBorder="1" applyAlignment="1">
      <alignment horizontal="left" vertical="center" wrapText="1"/>
    </xf>
    <xf numFmtId="14" fontId="13" fillId="10" borderId="1" xfId="0" applyNumberFormat="1" applyFont="1" applyFill="1" applyBorder="1" applyAlignment="1">
      <alignment horizontal="left" vertical="center" wrapText="1"/>
    </xf>
    <xf numFmtId="164" fontId="8" fillId="11" borderId="1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3" fontId="3" fillId="5" borderId="3" xfId="0" applyNumberFormat="1" applyFont="1" applyFill="1" applyBorder="1" applyAlignment="1">
      <alignment horizontal="center" vertical="center" wrapText="1"/>
    </xf>
    <xf numFmtId="3" fontId="3" fillId="5" borderId="9" xfId="0" applyNumberFormat="1" applyFont="1" applyFill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8" borderId="18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A22" sqref="A22"/>
    </sheetView>
  </sheetViews>
  <sheetFormatPr defaultRowHeight="15" x14ac:dyDescent="0.25"/>
  <cols>
    <col min="1" max="1" width="20.85546875" bestFit="1" customWidth="1"/>
    <col min="2" max="2" width="12.140625" bestFit="1" customWidth="1"/>
    <col min="3" max="3" width="12.140625" customWidth="1"/>
    <col min="5" max="5" width="16.85546875" customWidth="1"/>
  </cols>
  <sheetData>
    <row r="1" spans="1:5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12</v>
      </c>
    </row>
    <row r="2" spans="1:5" x14ac:dyDescent="0.25">
      <c r="A2" s="9" t="s">
        <v>20</v>
      </c>
      <c r="B2" s="4" t="s">
        <v>19</v>
      </c>
      <c r="C2" s="4" t="s">
        <v>140</v>
      </c>
      <c r="D2" s="4" t="s">
        <v>7</v>
      </c>
      <c r="E2" s="4" t="s">
        <v>79</v>
      </c>
    </row>
    <row r="3" spans="1:5" x14ac:dyDescent="0.25">
      <c r="A3" t="s">
        <v>29</v>
      </c>
      <c r="B3" s="4" t="s">
        <v>5</v>
      </c>
      <c r="C3" s="4" t="s">
        <v>141</v>
      </c>
      <c r="D3" s="4" t="s">
        <v>8</v>
      </c>
      <c r="E3" s="4" t="s">
        <v>59</v>
      </c>
    </row>
    <row r="4" spans="1:5" x14ac:dyDescent="0.25">
      <c r="A4" s="4" t="s">
        <v>10</v>
      </c>
      <c r="B4" s="4" t="s">
        <v>13</v>
      </c>
      <c r="C4" s="4"/>
      <c r="D4" s="4" t="s">
        <v>81</v>
      </c>
      <c r="E4" s="4" t="s">
        <v>140</v>
      </c>
    </row>
    <row r="5" spans="1:5" x14ac:dyDescent="0.25">
      <c r="A5" s="4" t="s">
        <v>18</v>
      </c>
      <c r="B5" s="4" t="s">
        <v>6</v>
      </c>
      <c r="C5" s="4"/>
      <c r="D5" s="4"/>
      <c r="E5" s="4" t="s">
        <v>144</v>
      </c>
    </row>
    <row r="6" spans="1:5" x14ac:dyDescent="0.25">
      <c r="A6" s="4" t="s">
        <v>30</v>
      </c>
      <c r="B6" s="4" t="s">
        <v>14</v>
      </c>
      <c r="C6" s="4"/>
      <c r="D6" s="4"/>
      <c r="E6" s="4"/>
    </row>
    <row r="7" spans="1:5" x14ac:dyDescent="0.25">
      <c r="A7" s="4" t="s">
        <v>34</v>
      </c>
      <c r="B7" s="10" t="s">
        <v>15</v>
      </c>
      <c r="C7" s="10"/>
      <c r="D7" s="4"/>
      <c r="E7" s="4"/>
    </row>
    <row r="8" spans="1:5" x14ac:dyDescent="0.25">
      <c r="A8" s="4" t="s">
        <v>139</v>
      </c>
      <c r="B8" s="10" t="s">
        <v>21</v>
      </c>
      <c r="C8" s="47"/>
      <c r="D8" s="9"/>
      <c r="E8" s="4"/>
    </row>
    <row r="9" spans="1:5" x14ac:dyDescent="0.25">
      <c r="A9" s="4" t="s">
        <v>80</v>
      </c>
      <c r="E9" s="19"/>
    </row>
    <row r="10" spans="1:5" x14ac:dyDescent="0.25">
      <c r="A10" s="4" t="s">
        <v>31</v>
      </c>
      <c r="E10" s="19"/>
    </row>
    <row r="11" spans="1:5" x14ac:dyDescent="0.25">
      <c r="A11" s="4" t="s">
        <v>32</v>
      </c>
      <c r="E11" s="19"/>
    </row>
    <row r="12" spans="1:5" x14ac:dyDescent="0.25">
      <c r="A12" s="4" t="s">
        <v>33</v>
      </c>
      <c r="E12" s="19"/>
    </row>
    <row r="13" spans="1:5" x14ac:dyDescent="0.25">
      <c r="A13" s="4" t="s">
        <v>25</v>
      </c>
      <c r="E13" s="19"/>
    </row>
    <row r="14" spans="1:5" x14ac:dyDescent="0.25">
      <c r="A14" s="4" t="s">
        <v>35</v>
      </c>
      <c r="E14" s="19"/>
    </row>
    <row r="15" spans="1:5" x14ac:dyDescent="0.25">
      <c r="A15" s="4" t="s">
        <v>36</v>
      </c>
      <c r="E15" s="19"/>
    </row>
    <row r="16" spans="1:5" x14ac:dyDescent="0.25">
      <c r="A16" s="19" t="s">
        <v>37</v>
      </c>
      <c r="E16" s="19"/>
    </row>
    <row r="17" spans="1:5" x14ac:dyDescent="0.25">
      <c r="A17" s="4" t="s">
        <v>38</v>
      </c>
      <c r="E17" s="4"/>
    </row>
    <row r="18" spans="1:5" x14ac:dyDescent="0.25">
      <c r="A18" s="4" t="s">
        <v>129</v>
      </c>
    </row>
    <row r="19" spans="1:5" x14ac:dyDescent="0.25">
      <c r="A19" s="4" t="s">
        <v>146</v>
      </c>
    </row>
    <row r="20" spans="1:5" x14ac:dyDescent="0.25">
      <c r="A20" s="4" t="s">
        <v>147</v>
      </c>
    </row>
    <row r="21" spans="1:5" x14ac:dyDescent="0.25">
      <c r="A21" s="4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32"/>
  <sheetViews>
    <sheetView tabSelected="1" topLeftCell="B1" zoomScaleNormal="100" zoomScaleSheetLayoutView="110" workbookViewId="0">
      <pane ySplit="5" topLeftCell="A6" activePane="bottomLeft" state="frozen"/>
      <selection activeCell="B1" sqref="B1"/>
      <selection pane="bottomLeft" activeCell="H7" sqref="H7"/>
    </sheetView>
  </sheetViews>
  <sheetFormatPr defaultRowHeight="15" x14ac:dyDescent="0.25"/>
  <cols>
    <col min="1" max="1" width="10.85546875" style="1" hidden="1" customWidth="1"/>
    <col min="2" max="2" width="10" style="18" bestFit="1" customWidth="1"/>
    <col min="3" max="3" width="15.85546875" style="11" customWidth="1"/>
    <col min="4" max="4" width="10.140625" style="16" bestFit="1" customWidth="1"/>
    <col min="5" max="5" width="9.28515625" style="2" bestFit="1" customWidth="1"/>
    <col min="6" max="6" width="9.28515625" style="20" customWidth="1"/>
    <col min="7" max="7" width="12.7109375" style="13" customWidth="1"/>
    <col min="8" max="8" width="29.85546875" style="3" customWidth="1"/>
    <col min="9" max="9" width="13.7109375" style="1" customWidth="1"/>
    <col min="10" max="10" width="13.28515625" style="1" bestFit="1" customWidth="1"/>
    <col min="11" max="11" width="10.85546875" style="1" customWidth="1"/>
    <col min="12" max="12" width="9.140625" style="44" customWidth="1"/>
    <col min="13" max="13" width="9" style="42" customWidth="1"/>
    <col min="14" max="14" width="8.42578125" style="42" customWidth="1"/>
    <col min="15" max="16" width="9.140625" style="1"/>
    <col min="17" max="17" width="1.140625" style="1" customWidth="1"/>
    <col min="18" max="25" width="9.140625" style="1"/>
    <col min="26" max="26" width="9.5703125" style="1" customWidth="1"/>
    <col min="27" max="16384" width="9.140625" style="1"/>
  </cols>
  <sheetData>
    <row r="1" spans="1:15" ht="15" customHeight="1" x14ac:dyDescent="0.25">
      <c r="A1" s="8" t="s">
        <v>11</v>
      </c>
      <c r="B1" s="92" t="s">
        <v>17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5" s="21" customFormat="1" ht="15.75" x14ac:dyDescent="0.25">
      <c r="A2" s="8"/>
      <c r="B2" s="93" t="s">
        <v>133</v>
      </c>
      <c r="C2" s="93"/>
      <c r="D2" s="94">
        <f>SUMIF(C6:C1371, "RECOVERY", G6:G1371)</f>
        <v>65175491.089386992</v>
      </c>
      <c r="E2" s="94"/>
      <c r="F2" s="93" t="s">
        <v>134</v>
      </c>
      <c r="G2" s="93"/>
      <c r="H2" s="22">
        <f>SUMIF(C6:C1371, "EXPENSE", G6:G1371)</f>
        <v>112273858.69999999</v>
      </c>
      <c r="I2" s="93" t="s">
        <v>135</v>
      </c>
      <c r="J2" s="93"/>
      <c r="K2" s="95">
        <f>D2-H2</f>
        <v>-47098367.610612996</v>
      </c>
      <c r="L2" s="95"/>
      <c r="M2" s="95"/>
      <c r="N2" s="95"/>
    </row>
    <row r="3" spans="1:15" s="45" customFormat="1" ht="15.75" x14ac:dyDescent="0.25">
      <c r="A3" s="8"/>
      <c r="B3" s="99" t="s">
        <v>136</v>
      </c>
      <c r="C3" s="100"/>
      <c r="D3" s="101">
        <f>SUMIF(C6:C1371, "EXPENSE", D6:D1371)</f>
        <v>475603.14999999997</v>
      </c>
      <c r="E3" s="102"/>
      <c r="F3" s="99" t="s">
        <v>137</v>
      </c>
      <c r="G3" s="100"/>
      <c r="H3" s="46">
        <f>SUMIF(C6:C1371, "RECOVERY", D6:D1371)</f>
        <v>266621.50000000006</v>
      </c>
      <c r="I3" s="99" t="s">
        <v>138</v>
      </c>
      <c r="J3" s="100"/>
      <c r="K3" s="96">
        <f>D3-H3</f>
        <v>208981.64999999991</v>
      </c>
      <c r="L3" s="97"/>
      <c r="M3" s="97"/>
      <c r="N3" s="98"/>
    </row>
    <row r="4" spans="1:15" s="45" customFormat="1" ht="15.75" x14ac:dyDescent="0.25">
      <c r="A4" s="8"/>
      <c r="B4" s="99" t="s">
        <v>143</v>
      </c>
      <c r="C4" s="100"/>
      <c r="D4" s="101">
        <f>SUMIF(C6:C1371, "Payable", G6:G1371)</f>
        <v>0</v>
      </c>
      <c r="E4" s="102"/>
      <c r="F4" s="99" t="s">
        <v>142</v>
      </c>
      <c r="G4" s="100"/>
      <c r="H4" s="46">
        <f>SUMIF(C6:C1371, "Recieveable", G6:G1371)</f>
        <v>0</v>
      </c>
      <c r="I4" s="99" t="s">
        <v>145</v>
      </c>
      <c r="J4" s="100"/>
      <c r="K4" s="96">
        <f>H4-D4</f>
        <v>0</v>
      </c>
      <c r="L4" s="97"/>
      <c r="M4" s="97"/>
      <c r="N4" s="98"/>
    </row>
    <row r="5" spans="1:15" s="7" customFormat="1" ht="36" x14ac:dyDescent="0.25">
      <c r="A5" s="6" t="s">
        <v>9</v>
      </c>
      <c r="B5" s="17" t="s">
        <v>27</v>
      </c>
      <c r="C5" s="14" t="s">
        <v>24</v>
      </c>
      <c r="D5" s="15" t="s">
        <v>26</v>
      </c>
      <c r="E5" s="14" t="s">
        <v>16</v>
      </c>
      <c r="F5" s="15" t="s">
        <v>23</v>
      </c>
      <c r="G5" s="14" t="s">
        <v>22</v>
      </c>
      <c r="H5" s="14" t="s">
        <v>0</v>
      </c>
      <c r="I5" s="14" t="s">
        <v>39</v>
      </c>
      <c r="J5" s="14" t="s">
        <v>1</v>
      </c>
      <c r="K5" s="14" t="s">
        <v>3</v>
      </c>
      <c r="L5" s="14" t="s">
        <v>132</v>
      </c>
      <c r="M5" s="40" t="s">
        <v>131</v>
      </c>
      <c r="N5" s="40" t="s">
        <v>130</v>
      </c>
    </row>
    <row r="6" spans="1:15" s="7" customFormat="1" x14ac:dyDescent="0.25">
      <c r="A6" s="6"/>
      <c r="B6" s="24"/>
      <c r="C6" s="37"/>
      <c r="D6" s="26"/>
      <c r="E6" s="25"/>
      <c r="F6" s="26"/>
      <c r="G6" s="12"/>
      <c r="H6" s="27"/>
      <c r="I6" s="25"/>
      <c r="J6" s="37"/>
      <c r="K6" s="12"/>
      <c r="L6" s="48"/>
      <c r="M6" s="41"/>
      <c r="N6" s="41"/>
    </row>
    <row r="7" spans="1:15" s="7" customFormat="1" ht="22.5" x14ac:dyDescent="0.25">
      <c r="A7" s="6"/>
      <c r="B7" s="24">
        <v>44391</v>
      </c>
      <c r="C7" s="37" t="s">
        <v>59</v>
      </c>
      <c r="D7" s="26">
        <v>905</v>
      </c>
      <c r="E7" s="25" t="s">
        <v>28</v>
      </c>
      <c r="F7" s="26">
        <v>292</v>
      </c>
      <c r="G7" s="12">
        <f>D7*F7</f>
        <v>264260</v>
      </c>
      <c r="H7" s="27" t="s">
        <v>391</v>
      </c>
      <c r="I7" s="25" t="s">
        <v>548</v>
      </c>
      <c r="J7" s="37" t="s">
        <v>30</v>
      </c>
      <c r="K7" s="12"/>
      <c r="L7" s="84"/>
      <c r="M7" s="41"/>
      <c r="N7" s="41">
        <v>924</v>
      </c>
    </row>
    <row r="8" spans="1:15" s="7" customFormat="1" ht="24" x14ac:dyDescent="0.25">
      <c r="A8" s="6"/>
      <c r="B8" s="24">
        <v>44391</v>
      </c>
      <c r="C8" s="37" t="s">
        <v>59</v>
      </c>
      <c r="D8" s="26">
        <v>16515</v>
      </c>
      <c r="E8" s="25" t="s">
        <v>28</v>
      </c>
      <c r="F8" s="26">
        <v>103</v>
      </c>
      <c r="G8" s="12">
        <f>D8*F8</f>
        <v>1701045</v>
      </c>
      <c r="H8" s="27" t="s">
        <v>582</v>
      </c>
      <c r="I8" s="25" t="s">
        <v>583</v>
      </c>
      <c r="J8" s="37" t="s">
        <v>34</v>
      </c>
      <c r="K8" s="12"/>
      <c r="L8" s="84"/>
      <c r="M8" s="41"/>
      <c r="N8" s="41">
        <v>923</v>
      </c>
      <c r="O8" s="7" t="s">
        <v>578</v>
      </c>
    </row>
    <row r="9" spans="1:15" s="7" customFormat="1" x14ac:dyDescent="0.25">
      <c r="A9" s="6"/>
      <c r="B9" s="24">
        <v>44390</v>
      </c>
      <c r="C9" s="37" t="s">
        <v>79</v>
      </c>
      <c r="D9" s="26"/>
      <c r="E9" s="25"/>
      <c r="F9" s="26"/>
      <c r="G9" s="12">
        <v>2000</v>
      </c>
      <c r="H9" s="27" t="s">
        <v>577</v>
      </c>
      <c r="I9" s="25" t="s">
        <v>466</v>
      </c>
      <c r="J9" s="37" t="s">
        <v>33</v>
      </c>
      <c r="K9" s="12"/>
      <c r="L9" s="84"/>
      <c r="M9" s="41">
        <v>1642</v>
      </c>
      <c r="N9" s="41"/>
    </row>
    <row r="10" spans="1:15" s="7" customFormat="1" x14ac:dyDescent="0.25">
      <c r="A10" s="6"/>
      <c r="B10" s="24">
        <v>44390</v>
      </c>
      <c r="C10" s="37" t="s">
        <v>59</v>
      </c>
      <c r="D10" s="26"/>
      <c r="E10" s="25"/>
      <c r="F10" s="26"/>
      <c r="G10" s="12">
        <v>80000</v>
      </c>
      <c r="H10" s="27" t="s">
        <v>341</v>
      </c>
      <c r="I10" s="25" t="s">
        <v>342</v>
      </c>
      <c r="J10" s="37" t="s">
        <v>38</v>
      </c>
      <c r="K10" s="12"/>
      <c r="L10" s="84"/>
      <c r="M10" s="41">
        <v>1641</v>
      </c>
      <c r="N10" s="41">
        <v>922</v>
      </c>
    </row>
    <row r="11" spans="1:15" s="7" customFormat="1" x14ac:dyDescent="0.25">
      <c r="A11" s="6"/>
      <c r="B11" s="24">
        <v>44390</v>
      </c>
      <c r="C11" s="37" t="s">
        <v>59</v>
      </c>
      <c r="D11" s="26">
        <v>566.70000000000005</v>
      </c>
      <c r="E11" s="25" t="s">
        <v>28</v>
      </c>
      <c r="F11" s="26">
        <v>292</v>
      </c>
      <c r="G11" s="12">
        <f>D11*F11</f>
        <v>165476.40000000002</v>
      </c>
      <c r="H11" s="27" t="s">
        <v>326</v>
      </c>
      <c r="I11" s="25" t="s">
        <v>315</v>
      </c>
      <c r="J11" s="37" t="s">
        <v>32</v>
      </c>
      <c r="K11" s="12"/>
      <c r="L11" s="84"/>
      <c r="M11" s="41"/>
      <c r="N11" s="41">
        <v>921</v>
      </c>
      <c r="O11" s="7" t="s">
        <v>578</v>
      </c>
    </row>
    <row r="12" spans="1:15" s="7" customFormat="1" x14ac:dyDescent="0.25">
      <c r="A12" s="6"/>
      <c r="B12" s="24">
        <v>44389</v>
      </c>
      <c r="C12" s="37" t="s">
        <v>59</v>
      </c>
      <c r="D12" s="26">
        <v>848.6</v>
      </c>
      <c r="E12" s="25" t="s">
        <v>28</v>
      </c>
      <c r="F12" s="26">
        <f>51500/37.324</f>
        <v>1379.8092380237917</v>
      </c>
      <c r="G12" s="12">
        <f>D12*F12</f>
        <v>1170906.1193869896</v>
      </c>
      <c r="H12" s="27" t="s">
        <v>558</v>
      </c>
      <c r="I12" s="25" t="s">
        <v>548</v>
      </c>
      <c r="J12" s="37" t="s">
        <v>32</v>
      </c>
      <c r="K12" s="12"/>
      <c r="L12" s="84"/>
      <c r="M12" s="41"/>
      <c r="N12" s="41">
        <v>920</v>
      </c>
      <c r="O12" s="7" t="s">
        <v>578</v>
      </c>
    </row>
    <row r="13" spans="1:15" s="7" customFormat="1" x14ac:dyDescent="0.25">
      <c r="A13" s="6"/>
      <c r="B13" s="24">
        <v>44389</v>
      </c>
      <c r="C13" s="37" t="s">
        <v>59</v>
      </c>
      <c r="D13" s="26">
        <v>668.4</v>
      </c>
      <c r="E13" s="25" t="s">
        <v>28</v>
      </c>
      <c r="F13" s="26">
        <v>292</v>
      </c>
      <c r="G13" s="12">
        <f t="shared" ref="G13:G14" si="0">D13*F13</f>
        <v>195172.8</v>
      </c>
      <c r="H13" s="27" t="s">
        <v>391</v>
      </c>
      <c r="I13" s="25" t="s">
        <v>548</v>
      </c>
      <c r="J13" s="37" t="s">
        <v>31</v>
      </c>
      <c r="K13" s="12"/>
      <c r="L13" s="84"/>
      <c r="M13" s="41"/>
      <c r="N13" s="41">
        <v>919</v>
      </c>
    </row>
    <row r="14" spans="1:15" s="7" customFormat="1" ht="24" x14ac:dyDescent="0.25">
      <c r="A14" s="6"/>
      <c r="B14" s="24">
        <v>44387</v>
      </c>
      <c r="C14" s="37" t="s">
        <v>59</v>
      </c>
      <c r="D14" s="26">
        <v>1036.7</v>
      </c>
      <c r="E14" s="25" t="s">
        <v>28</v>
      </c>
      <c r="F14" s="26">
        <v>1393.2</v>
      </c>
      <c r="G14" s="12">
        <f t="shared" si="0"/>
        <v>1444330.4400000002</v>
      </c>
      <c r="H14" s="27" t="s">
        <v>575</v>
      </c>
      <c r="I14" s="25" t="s">
        <v>576</v>
      </c>
      <c r="J14" s="37" t="s">
        <v>32</v>
      </c>
      <c r="K14" s="12"/>
      <c r="L14" s="84"/>
      <c r="M14" s="41"/>
      <c r="N14" s="41">
        <v>918</v>
      </c>
      <c r="O14" s="7" t="s">
        <v>578</v>
      </c>
    </row>
    <row r="15" spans="1:15" s="7" customFormat="1" ht="22.5" x14ac:dyDescent="0.25">
      <c r="A15" s="6"/>
      <c r="B15" s="24">
        <v>44387</v>
      </c>
      <c r="C15" s="37" t="s">
        <v>79</v>
      </c>
      <c r="D15" s="26"/>
      <c r="E15" s="25"/>
      <c r="F15" s="26"/>
      <c r="G15" s="12">
        <v>3600</v>
      </c>
      <c r="H15" s="27" t="s">
        <v>538</v>
      </c>
      <c r="I15" s="25" t="s">
        <v>147</v>
      </c>
      <c r="J15" s="37" t="s">
        <v>30</v>
      </c>
      <c r="K15" s="12"/>
      <c r="L15" s="84"/>
      <c r="M15" s="41"/>
      <c r="N15" s="41"/>
    </row>
    <row r="16" spans="1:15" s="7" customFormat="1" ht="22.5" x14ac:dyDescent="0.25">
      <c r="A16" s="6"/>
      <c r="B16" s="24">
        <v>44385</v>
      </c>
      <c r="C16" s="37" t="s">
        <v>79</v>
      </c>
      <c r="D16" s="26"/>
      <c r="E16" s="25"/>
      <c r="F16" s="26"/>
      <c r="G16" s="12">
        <f>650+1000+1700+430+1500+1000</f>
        <v>6280</v>
      </c>
      <c r="H16" s="27" t="s">
        <v>538</v>
      </c>
      <c r="I16" s="25" t="s">
        <v>147</v>
      </c>
      <c r="J16" s="37" t="s">
        <v>30</v>
      </c>
      <c r="K16" s="12"/>
      <c r="L16" s="84"/>
      <c r="M16" s="41"/>
      <c r="N16" s="41"/>
    </row>
    <row r="17" spans="1:15" s="7" customFormat="1" x14ac:dyDescent="0.25">
      <c r="A17" s="6"/>
      <c r="B17" s="24">
        <v>44385</v>
      </c>
      <c r="C17" s="37" t="s">
        <v>79</v>
      </c>
      <c r="D17" s="26"/>
      <c r="E17" s="25"/>
      <c r="F17" s="26"/>
      <c r="G17" s="12">
        <v>277000</v>
      </c>
      <c r="H17" s="27" t="s">
        <v>563</v>
      </c>
      <c r="I17" s="25" t="s">
        <v>466</v>
      </c>
      <c r="J17" s="37" t="s">
        <v>33</v>
      </c>
      <c r="K17" s="12"/>
      <c r="L17" s="84"/>
      <c r="M17" s="41">
        <v>1639</v>
      </c>
      <c r="N17" s="41"/>
    </row>
    <row r="18" spans="1:15" s="7" customFormat="1" x14ac:dyDescent="0.25">
      <c r="A18" s="6"/>
      <c r="B18" s="24">
        <v>44385</v>
      </c>
      <c r="C18" s="37" t="s">
        <v>79</v>
      </c>
      <c r="D18" s="26"/>
      <c r="E18" s="25"/>
      <c r="F18" s="26"/>
      <c r="G18" s="12">
        <v>16100</v>
      </c>
      <c r="H18" s="27" t="s">
        <v>574</v>
      </c>
      <c r="I18" s="25" t="s">
        <v>432</v>
      </c>
      <c r="J18" s="37" t="s">
        <v>20</v>
      </c>
      <c r="K18" s="12"/>
      <c r="L18" s="84"/>
      <c r="M18" s="41">
        <v>1635</v>
      </c>
      <c r="N18" s="41"/>
    </row>
    <row r="19" spans="1:15" s="7" customFormat="1" x14ac:dyDescent="0.25">
      <c r="A19" s="6"/>
      <c r="B19" s="24">
        <v>44385</v>
      </c>
      <c r="C19" s="37" t="s">
        <v>59</v>
      </c>
      <c r="D19" s="26">
        <v>70.599999999999994</v>
      </c>
      <c r="E19" s="25" t="s">
        <v>28</v>
      </c>
      <c r="F19" s="26">
        <v>240.75</v>
      </c>
      <c r="G19" s="12">
        <f>D19*F19</f>
        <v>16996.949999999997</v>
      </c>
      <c r="H19" s="27" t="s">
        <v>564</v>
      </c>
      <c r="I19" s="25" t="s">
        <v>565</v>
      </c>
      <c r="J19" s="37" t="s">
        <v>146</v>
      </c>
      <c r="K19" s="12"/>
      <c r="L19" s="84"/>
      <c r="M19" s="41">
        <v>1628</v>
      </c>
      <c r="N19" s="41">
        <v>911</v>
      </c>
    </row>
    <row r="20" spans="1:15" s="7" customFormat="1" x14ac:dyDescent="0.25">
      <c r="A20" s="6"/>
      <c r="B20" s="24">
        <v>44385</v>
      </c>
      <c r="C20" s="37" t="s">
        <v>59</v>
      </c>
      <c r="D20" s="26">
        <v>340.4</v>
      </c>
      <c r="E20" s="25" t="s">
        <v>28</v>
      </c>
      <c r="F20" s="26">
        <v>243.7</v>
      </c>
      <c r="G20" s="12">
        <f t="shared" ref="G20:G23" si="1">D20*F20</f>
        <v>82955.48</v>
      </c>
      <c r="H20" s="27" t="s">
        <v>566</v>
      </c>
      <c r="I20" s="25" t="s">
        <v>375</v>
      </c>
      <c r="J20" s="37" t="s">
        <v>37</v>
      </c>
      <c r="K20" s="12"/>
      <c r="L20" s="84"/>
      <c r="M20" s="41">
        <v>1630</v>
      </c>
      <c r="N20" s="41">
        <v>912</v>
      </c>
    </row>
    <row r="21" spans="1:15" s="7" customFormat="1" x14ac:dyDescent="0.25">
      <c r="A21" s="6"/>
      <c r="B21" s="24">
        <v>44385</v>
      </c>
      <c r="C21" s="37" t="s">
        <v>59</v>
      </c>
      <c r="D21" s="26">
        <f>183.7+21</f>
        <v>204.7</v>
      </c>
      <c r="E21" s="25" t="s">
        <v>28</v>
      </c>
      <c r="F21" s="26">
        <f>G21/D21</f>
        <v>268.68588177821204</v>
      </c>
      <c r="G21" s="12">
        <v>55000</v>
      </c>
      <c r="H21" s="27" t="s">
        <v>394</v>
      </c>
      <c r="I21" s="25" t="s">
        <v>567</v>
      </c>
      <c r="J21" s="37" t="s">
        <v>146</v>
      </c>
      <c r="K21" s="12"/>
      <c r="L21" s="84"/>
      <c r="M21" s="41">
        <v>1631</v>
      </c>
      <c r="N21" s="41">
        <v>913</v>
      </c>
    </row>
    <row r="22" spans="1:15" s="7" customFormat="1" x14ac:dyDescent="0.25">
      <c r="A22" s="6"/>
      <c r="B22" s="24">
        <v>44385</v>
      </c>
      <c r="C22" s="37" t="s">
        <v>59</v>
      </c>
      <c r="D22" s="26">
        <f>13.1+2.7</f>
        <v>15.8</v>
      </c>
      <c r="E22" s="25" t="s">
        <v>28</v>
      </c>
      <c r="F22" s="26">
        <f>G22/D22</f>
        <v>392.40506329113924</v>
      </c>
      <c r="G22" s="12">
        <v>6200</v>
      </c>
      <c r="H22" s="27" t="s">
        <v>568</v>
      </c>
      <c r="I22" s="25" t="s">
        <v>569</v>
      </c>
      <c r="J22" s="37" t="s">
        <v>146</v>
      </c>
      <c r="K22" s="12"/>
      <c r="L22" s="84"/>
      <c r="M22" s="41">
        <v>1636</v>
      </c>
      <c r="N22" s="41">
        <v>914</v>
      </c>
    </row>
    <row r="23" spans="1:15" s="7" customFormat="1" x14ac:dyDescent="0.25">
      <c r="A23" s="6"/>
      <c r="B23" s="24">
        <v>44385</v>
      </c>
      <c r="C23" s="37" t="s">
        <v>59</v>
      </c>
      <c r="D23" s="26">
        <v>8325</v>
      </c>
      <c r="E23" s="25" t="s">
        <v>28</v>
      </c>
      <c r="F23" s="26">
        <v>99.25</v>
      </c>
      <c r="G23" s="12">
        <f t="shared" si="1"/>
        <v>826256.25</v>
      </c>
      <c r="H23" s="27" t="s">
        <v>556</v>
      </c>
      <c r="I23" s="25" t="s">
        <v>557</v>
      </c>
      <c r="J23" s="37" t="s">
        <v>34</v>
      </c>
      <c r="K23" s="12"/>
      <c r="L23" s="84"/>
      <c r="M23" s="41"/>
      <c r="N23" s="41">
        <v>915</v>
      </c>
      <c r="O23" s="7" t="s">
        <v>578</v>
      </c>
    </row>
    <row r="24" spans="1:15" s="7" customFormat="1" x14ac:dyDescent="0.25">
      <c r="A24" s="6"/>
      <c r="B24" s="24">
        <v>44385</v>
      </c>
      <c r="C24" s="37" t="s">
        <v>59</v>
      </c>
      <c r="D24" s="26"/>
      <c r="E24" s="25"/>
      <c r="F24" s="26"/>
      <c r="G24" s="12">
        <v>125000</v>
      </c>
      <c r="H24" s="27" t="s">
        <v>570</v>
      </c>
      <c r="I24" s="25" t="s">
        <v>411</v>
      </c>
      <c r="J24" s="37" t="s">
        <v>38</v>
      </c>
      <c r="K24" s="12"/>
      <c r="L24" s="84"/>
      <c r="M24" s="41">
        <v>1638</v>
      </c>
      <c r="N24" s="41">
        <v>917</v>
      </c>
    </row>
    <row r="25" spans="1:15" s="7" customFormat="1" x14ac:dyDescent="0.25">
      <c r="A25" s="6"/>
      <c r="B25" s="24">
        <v>44385</v>
      </c>
      <c r="C25" s="37" t="s">
        <v>79</v>
      </c>
      <c r="D25" s="26"/>
      <c r="E25" s="25"/>
      <c r="F25" s="26"/>
      <c r="G25" s="12">
        <v>1500</v>
      </c>
      <c r="H25" s="27" t="s">
        <v>571</v>
      </c>
      <c r="I25" s="25" t="s">
        <v>572</v>
      </c>
      <c r="J25" s="37" t="s">
        <v>25</v>
      </c>
      <c r="K25" s="12"/>
      <c r="L25" s="84"/>
      <c r="M25" s="41">
        <v>1629</v>
      </c>
      <c r="N25" s="41"/>
    </row>
    <row r="26" spans="1:15" s="7" customFormat="1" x14ac:dyDescent="0.25">
      <c r="A26" s="6"/>
      <c r="B26" s="24">
        <v>44385</v>
      </c>
      <c r="C26" s="37" t="s">
        <v>79</v>
      </c>
      <c r="D26" s="26"/>
      <c r="E26" s="25"/>
      <c r="F26" s="26"/>
      <c r="G26" s="12">
        <v>20000</v>
      </c>
      <c r="H26" s="27" t="s">
        <v>433</v>
      </c>
      <c r="I26" s="25" t="s">
        <v>421</v>
      </c>
      <c r="J26" s="37" t="s">
        <v>228</v>
      </c>
      <c r="K26" s="12"/>
      <c r="L26" s="84"/>
      <c r="M26" s="41">
        <v>1633</v>
      </c>
      <c r="N26" s="41"/>
    </row>
    <row r="27" spans="1:15" s="7" customFormat="1" x14ac:dyDescent="0.25">
      <c r="A27" s="6"/>
      <c r="B27" s="24">
        <v>44385</v>
      </c>
      <c r="C27" s="37" t="s">
        <v>79</v>
      </c>
      <c r="D27" s="26"/>
      <c r="E27" s="25"/>
      <c r="F27" s="26"/>
      <c r="G27" s="12">
        <v>5900</v>
      </c>
      <c r="H27" s="27" t="s">
        <v>573</v>
      </c>
      <c r="I27" s="25" t="s">
        <v>429</v>
      </c>
      <c r="J27" s="37" t="s">
        <v>228</v>
      </c>
      <c r="K27" s="12"/>
      <c r="L27" s="84"/>
      <c r="M27" s="41">
        <v>1634</v>
      </c>
      <c r="N27" s="41"/>
    </row>
    <row r="28" spans="1:15" s="7" customFormat="1" ht="22.5" x14ac:dyDescent="0.25">
      <c r="A28" s="6"/>
      <c r="B28" s="24">
        <v>44384</v>
      </c>
      <c r="C28" s="37" t="s">
        <v>79</v>
      </c>
      <c r="D28" s="26"/>
      <c r="E28" s="25"/>
      <c r="F28" s="26"/>
      <c r="G28" s="12">
        <v>3000</v>
      </c>
      <c r="H28" s="27" t="s">
        <v>538</v>
      </c>
      <c r="I28" s="25" t="s">
        <v>147</v>
      </c>
      <c r="J28" s="37" t="s">
        <v>30</v>
      </c>
      <c r="K28" s="12"/>
      <c r="L28" s="84"/>
      <c r="M28" s="41"/>
      <c r="N28" s="41"/>
    </row>
    <row r="29" spans="1:15" s="7" customFormat="1" x14ac:dyDescent="0.25">
      <c r="A29" s="6"/>
      <c r="B29" s="24">
        <v>44384</v>
      </c>
      <c r="C29" s="37" t="s">
        <v>79</v>
      </c>
      <c r="D29" s="26"/>
      <c r="E29" s="25"/>
      <c r="F29" s="26"/>
      <c r="G29" s="12">
        <v>1500</v>
      </c>
      <c r="H29" s="27" t="s">
        <v>563</v>
      </c>
      <c r="I29" s="25" t="s">
        <v>466</v>
      </c>
      <c r="J29" s="37" t="s">
        <v>33</v>
      </c>
      <c r="K29" s="12"/>
      <c r="L29" s="84"/>
      <c r="M29" s="41">
        <v>1624</v>
      </c>
      <c r="N29" s="41"/>
    </row>
    <row r="30" spans="1:15" s="7" customFormat="1" x14ac:dyDescent="0.25">
      <c r="A30" s="6"/>
      <c r="B30" s="24">
        <v>44384</v>
      </c>
      <c r="C30" s="37" t="s">
        <v>59</v>
      </c>
      <c r="D30" s="26">
        <v>104.5</v>
      </c>
      <c r="E30" s="25" t="s">
        <v>28</v>
      </c>
      <c r="F30" s="26">
        <v>180</v>
      </c>
      <c r="G30" s="12">
        <f>D30*F30</f>
        <v>18810</v>
      </c>
      <c r="H30" s="27" t="s">
        <v>553</v>
      </c>
      <c r="I30" s="25" t="s">
        <v>147</v>
      </c>
      <c r="J30" s="37" t="s">
        <v>38</v>
      </c>
      <c r="K30" s="12"/>
      <c r="L30" s="84"/>
      <c r="M30" s="41">
        <v>1623</v>
      </c>
      <c r="N30" s="41">
        <v>903</v>
      </c>
    </row>
    <row r="31" spans="1:15" s="7" customFormat="1" x14ac:dyDescent="0.25">
      <c r="A31" s="6"/>
      <c r="B31" s="24">
        <v>44384</v>
      </c>
      <c r="C31" s="37" t="s">
        <v>59</v>
      </c>
      <c r="D31" s="26">
        <v>39.1</v>
      </c>
      <c r="E31" s="25" t="s">
        <v>28</v>
      </c>
      <c r="F31" s="26">
        <v>280</v>
      </c>
      <c r="G31" s="12">
        <f t="shared" ref="G31:G37" si="2">D31*F31</f>
        <v>10948</v>
      </c>
      <c r="H31" s="27" t="s">
        <v>554</v>
      </c>
      <c r="I31" s="25" t="s">
        <v>555</v>
      </c>
      <c r="J31" s="37" t="s">
        <v>146</v>
      </c>
      <c r="K31" s="12"/>
      <c r="L31" s="84"/>
      <c r="M31" s="41">
        <v>1622</v>
      </c>
      <c r="N31" s="41">
        <v>904</v>
      </c>
    </row>
    <row r="32" spans="1:15" s="7" customFormat="1" x14ac:dyDescent="0.25">
      <c r="A32" s="6"/>
      <c r="B32" s="24">
        <v>44384</v>
      </c>
      <c r="C32" s="37" t="s">
        <v>59</v>
      </c>
      <c r="D32" s="26">
        <v>12070</v>
      </c>
      <c r="E32" s="25" t="s">
        <v>28</v>
      </c>
      <c r="F32" s="26">
        <v>99.25</v>
      </c>
      <c r="G32" s="12">
        <f t="shared" si="2"/>
        <v>1197947.5</v>
      </c>
      <c r="H32" s="27" t="s">
        <v>556</v>
      </c>
      <c r="I32" s="25" t="s">
        <v>557</v>
      </c>
      <c r="J32" s="37" t="s">
        <v>34</v>
      </c>
      <c r="K32" s="12"/>
      <c r="L32" s="84"/>
      <c r="M32" s="41"/>
      <c r="N32" s="41">
        <v>905</v>
      </c>
      <c r="O32" s="7" t="s">
        <v>578</v>
      </c>
    </row>
    <row r="33" spans="1:15" s="7" customFormat="1" ht="24" x14ac:dyDescent="0.25">
      <c r="A33" s="6"/>
      <c r="B33" s="24">
        <v>44384</v>
      </c>
      <c r="C33" s="37" t="s">
        <v>59</v>
      </c>
      <c r="D33" s="26">
        <v>1175.5</v>
      </c>
      <c r="E33" s="25" t="s">
        <v>28</v>
      </c>
      <c r="F33" s="26">
        <v>1400</v>
      </c>
      <c r="G33" s="12">
        <f t="shared" si="2"/>
        <v>1645700</v>
      </c>
      <c r="H33" s="27" t="s">
        <v>559</v>
      </c>
      <c r="I33" s="25" t="s">
        <v>548</v>
      </c>
      <c r="J33" s="37" t="s">
        <v>32</v>
      </c>
      <c r="K33" s="12"/>
      <c r="L33" s="84"/>
      <c r="M33" s="41"/>
      <c r="N33" s="41">
        <v>906</v>
      </c>
      <c r="O33" s="7" t="s">
        <v>578</v>
      </c>
    </row>
    <row r="34" spans="1:15" s="7" customFormat="1" x14ac:dyDescent="0.25">
      <c r="A34" s="6"/>
      <c r="B34" s="24">
        <v>44384</v>
      </c>
      <c r="C34" s="37" t="s">
        <v>59</v>
      </c>
      <c r="D34" s="26">
        <v>37.6</v>
      </c>
      <c r="E34" s="25" t="s">
        <v>28</v>
      </c>
      <c r="F34" s="26">
        <v>160</v>
      </c>
      <c r="G34" s="12">
        <f t="shared" si="2"/>
        <v>6016</v>
      </c>
      <c r="H34" s="27" t="s">
        <v>358</v>
      </c>
      <c r="I34" s="25" t="s">
        <v>359</v>
      </c>
      <c r="J34" s="37" t="s">
        <v>146</v>
      </c>
      <c r="K34" s="12"/>
      <c r="L34" s="84"/>
      <c r="M34" s="41">
        <v>1621</v>
      </c>
      <c r="N34" s="41">
        <v>907</v>
      </c>
    </row>
    <row r="35" spans="1:15" s="7" customFormat="1" x14ac:dyDescent="0.25">
      <c r="A35" s="6"/>
      <c r="B35" s="24">
        <v>44384</v>
      </c>
      <c r="C35" s="37" t="s">
        <v>59</v>
      </c>
      <c r="D35" s="26">
        <v>1490</v>
      </c>
      <c r="E35" s="25" t="s">
        <v>28</v>
      </c>
      <c r="F35" s="26">
        <v>99</v>
      </c>
      <c r="G35" s="12">
        <f t="shared" si="2"/>
        <v>147510</v>
      </c>
      <c r="H35" s="27" t="s">
        <v>560</v>
      </c>
      <c r="I35" s="25" t="s">
        <v>337</v>
      </c>
      <c r="J35" s="37" t="s">
        <v>139</v>
      </c>
      <c r="K35" s="12"/>
      <c r="L35" s="84"/>
      <c r="M35" s="41"/>
      <c r="N35" s="41">
        <v>908</v>
      </c>
    </row>
    <row r="36" spans="1:15" s="7" customFormat="1" x14ac:dyDescent="0.25">
      <c r="A36" s="6"/>
      <c r="B36" s="24">
        <v>44384</v>
      </c>
      <c r="C36" s="37" t="s">
        <v>59</v>
      </c>
      <c r="D36" s="26">
        <v>4750</v>
      </c>
      <c r="E36" s="25" t="s">
        <v>28</v>
      </c>
      <c r="F36" s="26">
        <v>92</v>
      </c>
      <c r="G36" s="12">
        <f t="shared" si="2"/>
        <v>437000</v>
      </c>
      <c r="H36" s="27" t="s">
        <v>561</v>
      </c>
      <c r="I36" s="25" t="s">
        <v>562</v>
      </c>
      <c r="J36" s="37" t="s">
        <v>80</v>
      </c>
      <c r="K36" s="12"/>
      <c r="L36" s="84"/>
      <c r="M36" s="41">
        <v>1619</v>
      </c>
      <c r="N36" s="41">
        <v>909</v>
      </c>
    </row>
    <row r="37" spans="1:15" s="7" customFormat="1" x14ac:dyDescent="0.25">
      <c r="A37" s="6"/>
      <c r="B37" s="24">
        <v>44384</v>
      </c>
      <c r="C37" s="37" t="s">
        <v>59</v>
      </c>
      <c r="D37" s="26">
        <f>1840+2115</f>
        <v>3955</v>
      </c>
      <c r="E37" s="25" t="s">
        <v>28</v>
      </c>
      <c r="F37" s="26">
        <v>99</v>
      </c>
      <c r="G37" s="12">
        <f t="shared" si="2"/>
        <v>391545</v>
      </c>
      <c r="H37" s="27" t="s">
        <v>560</v>
      </c>
      <c r="I37" s="25" t="s">
        <v>337</v>
      </c>
      <c r="J37" s="37" t="s">
        <v>139</v>
      </c>
      <c r="K37" s="12"/>
      <c r="L37" s="84"/>
      <c r="M37" s="41"/>
      <c r="N37" s="41">
        <v>910</v>
      </c>
    </row>
    <row r="38" spans="1:15" s="7" customFormat="1" ht="22.5" x14ac:dyDescent="0.25">
      <c r="A38" s="6"/>
      <c r="B38" s="24">
        <v>44383</v>
      </c>
      <c r="C38" s="37" t="s">
        <v>79</v>
      </c>
      <c r="D38" s="26"/>
      <c r="E38" s="25"/>
      <c r="F38" s="26"/>
      <c r="G38" s="12">
        <v>4200</v>
      </c>
      <c r="H38" s="27" t="s">
        <v>538</v>
      </c>
      <c r="I38" s="25" t="s">
        <v>147</v>
      </c>
      <c r="J38" s="37" t="s">
        <v>30</v>
      </c>
      <c r="K38" s="12"/>
      <c r="L38" s="84"/>
      <c r="M38" s="41"/>
      <c r="N38" s="41"/>
    </row>
    <row r="39" spans="1:15" s="7" customFormat="1" ht="24" x14ac:dyDescent="0.25">
      <c r="A39" s="6"/>
      <c r="B39" s="24">
        <v>44383</v>
      </c>
      <c r="C39" s="37" t="s">
        <v>79</v>
      </c>
      <c r="D39" s="91">
        <v>19745</v>
      </c>
      <c r="E39" s="25" t="s">
        <v>28</v>
      </c>
      <c r="F39" s="26">
        <v>235</v>
      </c>
      <c r="G39" s="12">
        <f>D39*F39</f>
        <v>4640075</v>
      </c>
      <c r="H39" s="89" t="s">
        <v>552</v>
      </c>
      <c r="I39" s="25" t="s">
        <v>191</v>
      </c>
      <c r="J39" s="37" t="s">
        <v>20</v>
      </c>
      <c r="K39" s="12"/>
      <c r="L39" s="84"/>
      <c r="M39" s="41"/>
      <c r="N39" s="41">
        <v>916</v>
      </c>
      <c r="O39" s="7" t="s">
        <v>578</v>
      </c>
    </row>
    <row r="40" spans="1:15" s="7" customFormat="1" x14ac:dyDescent="0.25">
      <c r="A40" s="6"/>
      <c r="B40" s="24">
        <v>44383</v>
      </c>
      <c r="C40" s="37" t="s">
        <v>59</v>
      </c>
      <c r="D40" s="26"/>
      <c r="E40" s="25"/>
      <c r="F40" s="26"/>
      <c r="G40" s="12">
        <v>130000</v>
      </c>
      <c r="H40" s="27" t="s">
        <v>550</v>
      </c>
      <c r="I40" s="25" t="s">
        <v>551</v>
      </c>
      <c r="J40" s="37" t="s">
        <v>38</v>
      </c>
      <c r="K40" s="12"/>
      <c r="L40" s="84"/>
      <c r="M40" s="41">
        <v>1617</v>
      </c>
      <c r="N40" s="41">
        <v>902</v>
      </c>
    </row>
    <row r="41" spans="1:15" s="7" customFormat="1" ht="22.5" x14ac:dyDescent="0.25">
      <c r="A41" s="6"/>
      <c r="B41" s="24">
        <v>44383</v>
      </c>
      <c r="C41" s="37" t="s">
        <v>79</v>
      </c>
      <c r="D41" s="26"/>
      <c r="E41" s="25"/>
      <c r="F41" s="26"/>
      <c r="G41" s="12">
        <v>4800</v>
      </c>
      <c r="H41" s="27" t="s">
        <v>549</v>
      </c>
      <c r="I41" s="25" t="s">
        <v>466</v>
      </c>
      <c r="J41" s="37" t="s">
        <v>29</v>
      </c>
      <c r="K41" s="12"/>
      <c r="L41" s="84"/>
      <c r="M41" s="41"/>
      <c r="N41" s="41">
        <v>901</v>
      </c>
    </row>
    <row r="42" spans="1:15" s="7" customFormat="1" x14ac:dyDescent="0.25">
      <c r="A42" s="6"/>
      <c r="B42" s="24">
        <v>44383</v>
      </c>
      <c r="C42" s="37" t="s">
        <v>59</v>
      </c>
      <c r="D42" s="26">
        <v>920</v>
      </c>
      <c r="E42" s="25" t="s">
        <v>28</v>
      </c>
      <c r="F42" s="26">
        <v>292</v>
      </c>
      <c r="G42" s="12">
        <f>D42*F42</f>
        <v>268640</v>
      </c>
      <c r="H42" s="27" t="s">
        <v>391</v>
      </c>
      <c r="I42" s="25" t="s">
        <v>548</v>
      </c>
      <c r="J42" s="37" t="s">
        <v>31</v>
      </c>
      <c r="K42" s="12"/>
      <c r="L42" s="84"/>
      <c r="M42" s="41"/>
      <c r="N42" s="41">
        <v>900</v>
      </c>
    </row>
    <row r="43" spans="1:15" s="7" customFormat="1" x14ac:dyDescent="0.25">
      <c r="A43" s="6"/>
      <c r="B43" s="24">
        <v>44383</v>
      </c>
      <c r="C43" s="37" t="s">
        <v>79</v>
      </c>
      <c r="D43" s="26">
        <v>34.6</v>
      </c>
      <c r="E43" s="25" t="s">
        <v>28</v>
      </c>
      <c r="F43" s="26">
        <v>200</v>
      </c>
      <c r="G43" s="12">
        <f>D43*F43</f>
        <v>6920</v>
      </c>
      <c r="H43" s="27" t="s">
        <v>546</v>
      </c>
      <c r="I43" s="25" t="s">
        <v>547</v>
      </c>
      <c r="J43" s="37" t="s">
        <v>20</v>
      </c>
      <c r="K43" s="12"/>
      <c r="L43" s="84"/>
      <c r="M43" s="41"/>
      <c r="N43" s="41">
        <v>899</v>
      </c>
    </row>
    <row r="44" spans="1:15" s="7" customFormat="1" ht="24" x14ac:dyDescent="0.25">
      <c r="A44" s="6"/>
      <c r="B44" s="24">
        <v>44383</v>
      </c>
      <c r="C44" s="37" t="s">
        <v>59</v>
      </c>
      <c r="D44" s="26"/>
      <c r="E44" s="25"/>
      <c r="F44" s="26"/>
      <c r="G44" s="12">
        <v>81000</v>
      </c>
      <c r="H44" s="27" t="s">
        <v>545</v>
      </c>
      <c r="I44" s="25" t="s">
        <v>466</v>
      </c>
      <c r="J44" s="37" t="s">
        <v>38</v>
      </c>
      <c r="K44" s="12"/>
      <c r="L44" s="84"/>
      <c r="M44" s="41">
        <v>898</v>
      </c>
      <c r="N44" s="41">
        <v>1615</v>
      </c>
    </row>
    <row r="45" spans="1:15" s="7" customFormat="1" ht="24" x14ac:dyDescent="0.25">
      <c r="A45" s="6"/>
      <c r="B45" s="24">
        <v>44382</v>
      </c>
      <c r="C45" s="37" t="s">
        <v>79</v>
      </c>
      <c r="D45" s="26">
        <v>600</v>
      </c>
      <c r="E45" s="25" t="s">
        <v>28</v>
      </c>
      <c r="F45" s="26">
        <v>96</v>
      </c>
      <c r="G45" s="12">
        <f>D45*F45</f>
        <v>57600</v>
      </c>
      <c r="H45" s="27" t="s">
        <v>544</v>
      </c>
      <c r="I45" s="25" t="s">
        <v>507</v>
      </c>
      <c r="J45" s="37" t="s">
        <v>20</v>
      </c>
      <c r="K45" s="12"/>
      <c r="L45" s="84"/>
      <c r="M45" s="41"/>
      <c r="N45" s="41">
        <v>897</v>
      </c>
    </row>
    <row r="46" spans="1:15" s="7" customFormat="1" ht="24" x14ac:dyDescent="0.25">
      <c r="A46" s="6"/>
      <c r="B46" s="24">
        <v>44382</v>
      </c>
      <c r="C46" s="37" t="s">
        <v>59</v>
      </c>
      <c r="D46" s="26">
        <v>1035</v>
      </c>
      <c r="E46" s="25" t="s">
        <v>28</v>
      </c>
      <c r="F46" s="26">
        <v>98</v>
      </c>
      <c r="G46" s="12">
        <f>D46*F46</f>
        <v>101430</v>
      </c>
      <c r="H46" s="27" t="s">
        <v>543</v>
      </c>
      <c r="I46" s="25" t="s">
        <v>507</v>
      </c>
      <c r="J46" s="37" t="s">
        <v>139</v>
      </c>
      <c r="K46" s="12"/>
      <c r="L46" s="84"/>
      <c r="M46" s="41"/>
      <c r="N46" s="41">
        <v>897</v>
      </c>
    </row>
    <row r="47" spans="1:15" s="7" customFormat="1" x14ac:dyDescent="0.25">
      <c r="A47" s="6"/>
      <c r="B47" s="24">
        <v>44382</v>
      </c>
      <c r="C47" s="37" t="s">
        <v>59</v>
      </c>
      <c r="D47" s="26">
        <v>584.4</v>
      </c>
      <c r="E47" s="25" t="s">
        <v>28</v>
      </c>
      <c r="F47" s="26">
        <v>1400</v>
      </c>
      <c r="G47" s="12">
        <f>D47*F47</f>
        <v>818160</v>
      </c>
      <c r="H47" s="27" t="s">
        <v>326</v>
      </c>
      <c r="I47" s="25" t="s">
        <v>315</v>
      </c>
      <c r="J47" s="37" t="s">
        <v>32</v>
      </c>
      <c r="K47" s="12"/>
      <c r="L47" s="84"/>
      <c r="M47" s="41"/>
      <c r="N47" s="41">
        <v>895</v>
      </c>
      <c r="O47" s="7" t="s">
        <v>578</v>
      </c>
    </row>
    <row r="48" spans="1:15" s="7" customFormat="1" x14ac:dyDescent="0.25">
      <c r="A48" s="6"/>
      <c r="B48" s="24">
        <v>44382</v>
      </c>
      <c r="C48" s="37" t="s">
        <v>59</v>
      </c>
      <c r="D48" s="26">
        <v>829.6</v>
      </c>
      <c r="E48" s="25" t="s">
        <v>28</v>
      </c>
      <c r="F48" s="26">
        <v>260</v>
      </c>
      <c r="G48" s="12">
        <f>D48*F48</f>
        <v>215696</v>
      </c>
      <c r="H48" s="27" t="s">
        <v>541</v>
      </c>
      <c r="I48" s="25" t="s">
        <v>542</v>
      </c>
      <c r="J48" s="37" t="s">
        <v>146</v>
      </c>
      <c r="K48" s="12"/>
      <c r="L48" s="84"/>
      <c r="M48" s="41">
        <v>1613</v>
      </c>
      <c r="N48" s="41">
        <v>896</v>
      </c>
    </row>
    <row r="49" spans="1:15" s="7" customFormat="1" x14ac:dyDescent="0.25">
      <c r="A49" s="6"/>
      <c r="B49" s="24">
        <v>44382</v>
      </c>
      <c r="C49" s="37" t="s">
        <v>79</v>
      </c>
      <c r="D49" s="26"/>
      <c r="E49" s="25"/>
      <c r="F49" s="26"/>
      <c r="G49" s="12">
        <v>16000</v>
      </c>
      <c r="H49" s="27"/>
      <c r="I49" s="25" t="s">
        <v>466</v>
      </c>
      <c r="J49" s="37" t="s">
        <v>33</v>
      </c>
      <c r="K49" s="12"/>
      <c r="L49" s="84"/>
      <c r="M49" s="41">
        <v>1612</v>
      </c>
      <c r="N49" s="41"/>
    </row>
    <row r="50" spans="1:15" s="7" customFormat="1" x14ac:dyDescent="0.25">
      <c r="A50" s="6"/>
      <c r="B50" s="24">
        <v>44382</v>
      </c>
      <c r="C50" s="37" t="s">
        <v>59</v>
      </c>
      <c r="D50" s="26">
        <v>192.4</v>
      </c>
      <c r="E50" s="25" t="s">
        <v>28</v>
      </c>
      <c r="F50" s="26">
        <v>260</v>
      </c>
      <c r="G50" s="12">
        <f>D50*F50</f>
        <v>50024</v>
      </c>
      <c r="H50" s="27" t="s">
        <v>540</v>
      </c>
      <c r="I50" s="25" t="s">
        <v>521</v>
      </c>
      <c r="J50" s="37" t="s">
        <v>146</v>
      </c>
      <c r="K50" s="12"/>
      <c r="L50" s="84"/>
      <c r="M50" s="41">
        <v>1610</v>
      </c>
      <c r="N50" s="41">
        <v>894</v>
      </c>
    </row>
    <row r="51" spans="1:15" s="7" customFormat="1" x14ac:dyDescent="0.25">
      <c r="A51" s="6"/>
      <c r="B51" s="24">
        <v>44382</v>
      </c>
      <c r="C51" s="37" t="s">
        <v>59</v>
      </c>
      <c r="D51" s="26">
        <f>10.7+81.2+8.2</f>
        <v>100.10000000000001</v>
      </c>
      <c r="E51" s="25" t="s">
        <v>28</v>
      </c>
      <c r="F51" s="26">
        <f>G51/D51</f>
        <v>274.72527472527469</v>
      </c>
      <c r="G51" s="12">
        <v>27500</v>
      </c>
      <c r="H51" s="27" t="s">
        <v>158</v>
      </c>
      <c r="I51" s="25" t="s">
        <v>539</v>
      </c>
      <c r="J51" s="37" t="s">
        <v>146</v>
      </c>
      <c r="K51" s="12"/>
      <c r="L51" s="84"/>
      <c r="M51" s="41">
        <v>1607</v>
      </c>
      <c r="N51" s="41">
        <v>893</v>
      </c>
    </row>
    <row r="52" spans="1:15" s="7" customFormat="1" ht="22.5" x14ac:dyDescent="0.25">
      <c r="A52" s="6"/>
      <c r="B52" s="24">
        <v>44381</v>
      </c>
      <c r="C52" s="37" t="s">
        <v>79</v>
      </c>
      <c r="D52" s="26"/>
      <c r="E52" s="25"/>
      <c r="F52" s="26"/>
      <c r="G52" s="12">
        <f>3500+700+250</f>
        <v>4450</v>
      </c>
      <c r="H52" s="27" t="s">
        <v>538</v>
      </c>
      <c r="I52" s="25" t="s">
        <v>147</v>
      </c>
      <c r="J52" s="37" t="s">
        <v>30</v>
      </c>
      <c r="K52" s="12"/>
      <c r="L52" s="84"/>
      <c r="M52" s="41"/>
      <c r="N52" s="41"/>
    </row>
    <row r="53" spans="1:15" s="7" customFormat="1" x14ac:dyDescent="0.25">
      <c r="A53" s="6"/>
      <c r="B53" s="24">
        <v>44381</v>
      </c>
      <c r="C53" s="37" t="s">
        <v>79</v>
      </c>
      <c r="D53" s="26"/>
      <c r="E53" s="25"/>
      <c r="F53" s="26"/>
      <c r="G53" s="12">
        <v>3000</v>
      </c>
      <c r="H53" s="27"/>
      <c r="I53" s="25" t="s">
        <v>466</v>
      </c>
      <c r="J53" s="37" t="s">
        <v>33</v>
      </c>
      <c r="K53" s="12"/>
      <c r="L53" s="84"/>
      <c r="M53" s="41"/>
      <c r="N53" s="41"/>
    </row>
    <row r="54" spans="1:15" s="7" customFormat="1" x14ac:dyDescent="0.25">
      <c r="A54" s="6"/>
      <c r="B54" s="24">
        <v>44381</v>
      </c>
      <c r="C54" s="37" t="s">
        <v>79</v>
      </c>
      <c r="D54" s="26"/>
      <c r="E54" s="25"/>
      <c r="F54" s="26"/>
      <c r="G54" s="12">
        <v>6200</v>
      </c>
      <c r="H54" s="27" t="s">
        <v>536</v>
      </c>
      <c r="I54" s="25" t="s">
        <v>537</v>
      </c>
      <c r="J54" s="37" t="s">
        <v>228</v>
      </c>
      <c r="K54" s="12"/>
      <c r="L54" s="84"/>
      <c r="M54" s="41">
        <v>1607</v>
      </c>
      <c r="N54" s="41"/>
    </row>
    <row r="55" spans="1:15" s="7" customFormat="1" x14ac:dyDescent="0.25">
      <c r="A55" s="6"/>
      <c r="B55" s="24">
        <v>44381</v>
      </c>
      <c r="C55" s="37" t="s">
        <v>59</v>
      </c>
      <c r="D55" s="26">
        <f>94.2+9.4+1.6</f>
        <v>105.2</v>
      </c>
      <c r="E55" s="25" t="s">
        <v>28</v>
      </c>
      <c r="F55" s="26">
        <f>G55/D55</f>
        <v>311.59695817490496</v>
      </c>
      <c r="G55" s="12">
        <v>32780</v>
      </c>
      <c r="H55" s="27" t="s">
        <v>534</v>
      </c>
      <c r="I55" s="25" t="s">
        <v>535</v>
      </c>
      <c r="J55" s="37" t="s">
        <v>146</v>
      </c>
      <c r="K55" s="12"/>
      <c r="L55" s="84"/>
      <c r="M55" s="41">
        <v>1605</v>
      </c>
      <c r="N55" s="41">
        <v>891</v>
      </c>
    </row>
    <row r="56" spans="1:15" s="7" customFormat="1" ht="22.5" x14ac:dyDescent="0.25">
      <c r="A56" s="6"/>
      <c r="B56" s="24">
        <v>44381</v>
      </c>
      <c r="C56" s="37" t="s">
        <v>79</v>
      </c>
      <c r="D56" s="26"/>
      <c r="E56" s="25"/>
      <c r="F56" s="26"/>
      <c r="G56" s="12">
        <v>16900</v>
      </c>
      <c r="H56" s="27" t="s">
        <v>261</v>
      </c>
      <c r="I56" s="25" t="s">
        <v>147</v>
      </c>
      <c r="J56" s="37" t="s">
        <v>29</v>
      </c>
      <c r="K56" s="12"/>
      <c r="L56" s="84"/>
      <c r="M56" s="41">
        <v>1604</v>
      </c>
      <c r="N56" s="41">
        <v>892</v>
      </c>
    </row>
    <row r="57" spans="1:15" s="7" customFormat="1" x14ac:dyDescent="0.25">
      <c r="A57" s="6"/>
      <c r="B57" s="24">
        <v>44381</v>
      </c>
      <c r="C57" s="37" t="s">
        <v>59</v>
      </c>
      <c r="D57" s="26">
        <f>41.9+10.2+8.1</f>
        <v>60.199999999999996</v>
      </c>
      <c r="E57" s="25" t="s">
        <v>28</v>
      </c>
      <c r="F57" s="26">
        <f>G57/D57</f>
        <v>240.86378737541531</v>
      </c>
      <c r="G57" s="12">
        <f>14500</f>
        <v>14500</v>
      </c>
      <c r="H57" s="27" t="s">
        <v>534</v>
      </c>
      <c r="I57" s="25" t="s">
        <v>147</v>
      </c>
      <c r="J57" s="37" t="s">
        <v>146</v>
      </c>
      <c r="K57" s="12"/>
      <c r="L57" s="84"/>
      <c r="M57" s="41">
        <v>1603</v>
      </c>
      <c r="N57" s="41">
        <v>890</v>
      </c>
    </row>
    <row r="58" spans="1:15" s="7" customFormat="1" x14ac:dyDescent="0.25">
      <c r="A58" s="6"/>
      <c r="B58" s="24">
        <v>44381</v>
      </c>
      <c r="C58" s="37" t="s">
        <v>59</v>
      </c>
      <c r="D58" s="26">
        <v>1</v>
      </c>
      <c r="E58" s="25" t="s">
        <v>28</v>
      </c>
      <c r="F58" s="26">
        <v>300</v>
      </c>
      <c r="G58" s="12">
        <v>300</v>
      </c>
      <c r="H58" s="27" t="s">
        <v>532</v>
      </c>
      <c r="I58" s="25" t="s">
        <v>533</v>
      </c>
      <c r="J58" s="37" t="s">
        <v>146</v>
      </c>
      <c r="K58" s="12"/>
      <c r="L58" s="84"/>
      <c r="M58" s="41">
        <v>1602</v>
      </c>
      <c r="N58" s="41">
        <v>889</v>
      </c>
    </row>
    <row r="59" spans="1:15" s="7" customFormat="1" ht="22.5" x14ac:dyDescent="0.25">
      <c r="A59" s="6"/>
      <c r="B59" s="24">
        <v>44381</v>
      </c>
      <c r="C59" s="37" t="s">
        <v>79</v>
      </c>
      <c r="D59" s="26"/>
      <c r="E59" s="25"/>
      <c r="F59" s="26"/>
      <c r="G59" s="12">
        <v>5400</v>
      </c>
      <c r="H59" s="27" t="s">
        <v>279</v>
      </c>
      <c r="I59" s="25"/>
      <c r="J59" s="37" t="s">
        <v>29</v>
      </c>
      <c r="K59" s="12"/>
      <c r="L59" s="84"/>
      <c r="M59" s="41"/>
      <c r="N59" s="41">
        <v>888</v>
      </c>
    </row>
    <row r="60" spans="1:15" s="7" customFormat="1" x14ac:dyDescent="0.25">
      <c r="A60" s="6"/>
      <c r="B60" s="24">
        <v>44381</v>
      </c>
      <c r="C60" s="37" t="s">
        <v>59</v>
      </c>
      <c r="D60" s="26">
        <v>1284.5999999999999</v>
      </c>
      <c r="E60" s="25" t="s">
        <v>28</v>
      </c>
      <c r="F60" s="26">
        <v>1400</v>
      </c>
      <c r="G60" s="12">
        <f>D60*F60</f>
        <v>1798439.9999999998</v>
      </c>
      <c r="H60" s="27" t="s">
        <v>189</v>
      </c>
      <c r="I60" s="25" t="s">
        <v>315</v>
      </c>
      <c r="J60" s="37" t="s">
        <v>32</v>
      </c>
      <c r="K60" s="12"/>
      <c r="L60" s="84"/>
      <c r="M60" s="41"/>
      <c r="N60" s="41">
        <v>887</v>
      </c>
      <c r="O60" s="7" t="s">
        <v>578</v>
      </c>
    </row>
    <row r="61" spans="1:15" s="7" customFormat="1" ht="24" x14ac:dyDescent="0.25">
      <c r="A61" s="6"/>
      <c r="B61" s="24">
        <v>44381</v>
      </c>
      <c r="C61" s="37" t="s">
        <v>79</v>
      </c>
      <c r="D61" s="26"/>
      <c r="E61" s="25"/>
      <c r="F61" s="26"/>
      <c r="G61" s="12">
        <v>7000</v>
      </c>
      <c r="H61" s="27" t="s">
        <v>522</v>
      </c>
      <c r="I61" s="25" t="s">
        <v>421</v>
      </c>
      <c r="J61" s="37" t="s">
        <v>523</v>
      </c>
      <c r="K61" s="12"/>
      <c r="L61" s="84"/>
      <c r="M61" s="41">
        <v>1599</v>
      </c>
      <c r="N61" s="41"/>
    </row>
    <row r="62" spans="1:15" s="7" customFormat="1" x14ac:dyDescent="0.25">
      <c r="A62" s="6"/>
      <c r="B62" s="24">
        <v>44381</v>
      </c>
      <c r="C62" s="37" t="s">
        <v>59</v>
      </c>
      <c r="D62" s="26">
        <v>68</v>
      </c>
      <c r="E62" s="25" t="s">
        <v>28</v>
      </c>
      <c r="F62" s="26">
        <v>250</v>
      </c>
      <c r="G62" s="12">
        <v>16500</v>
      </c>
      <c r="H62" s="27" t="s">
        <v>520</v>
      </c>
      <c r="I62" s="25" t="s">
        <v>521</v>
      </c>
      <c r="J62" s="37" t="s">
        <v>146</v>
      </c>
      <c r="K62" s="12"/>
      <c r="L62" s="84"/>
      <c r="M62" s="41">
        <v>1600</v>
      </c>
      <c r="N62" s="41">
        <v>886</v>
      </c>
    </row>
    <row r="63" spans="1:15" s="7" customFormat="1" x14ac:dyDescent="0.25">
      <c r="A63" s="6"/>
      <c r="B63" s="24">
        <v>44381</v>
      </c>
      <c r="C63" s="37" t="s">
        <v>59</v>
      </c>
      <c r="D63" s="26"/>
      <c r="E63" s="25"/>
      <c r="F63" s="26"/>
      <c r="G63" s="12">
        <v>79000</v>
      </c>
      <c r="H63" s="27" t="s">
        <v>519</v>
      </c>
      <c r="I63" s="25" t="s">
        <v>411</v>
      </c>
      <c r="J63" s="37" t="s">
        <v>38</v>
      </c>
      <c r="K63" s="12"/>
      <c r="L63" s="84"/>
      <c r="M63" s="41">
        <v>1598</v>
      </c>
      <c r="N63" s="41">
        <v>885</v>
      </c>
    </row>
    <row r="64" spans="1:15" s="7" customFormat="1" x14ac:dyDescent="0.25">
      <c r="A64" s="6"/>
      <c r="B64" s="24">
        <v>44381</v>
      </c>
      <c r="C64" s="37" t="s">
        <v>59</v>
      </c>
      <c r="D64" s="26">
        <v>415</v>
      </c>
      <c r="E64" s="25" t="s">
        <v>28</v>
      </c>
      <c r="F64" s="26">
        <v>190</v>
      </c>
      <c r="G64" s="12">
        <f t="shared" ref="G64:G67" si="3">D64*F64</f>
        <v>78850</v>
      </c>
      <c r="H64" s="27" t="s">
        <v>516</v>
      </c>
      <c r="I64" s="25" t="s">
        <v>517</v>
      </c>
      <c r="J64" s="37" t="s">
        <v>139</v>
      </c>
      <c r="K64" s="12"/>
      <c r="L64" s="84"/>
      <c r="M64" s="41" t="s">
        <v>518</v>
      </c>
      <c r="N64" s="41">
        <v>884</v>
      </c>
    </row>
    <row r="65" spans="1:15" s="7" customFormat="1" x14ac:dyDescent="0.25">
      <c r="A65" s="6"/>
      <c r="B65" s="24">
        <v>44381</v>
      </c>
      <c r="C65" s="37" t="s">
        <v>59</v>
      </c>
      <c r="D65" s="26">
        <v>657</v>
      </c>
      <c r="E65" s="25" t="s">
        <v>28</v>
      </c>
      <c r="F65" s="26">
        <v>292</v>
      </c>
      <c r="G65" s="12">
        <f t="shared" si="3"/>
        <v>191844</v>
      </c>
      <c r="H65" s="27" t="s">
        <v>514</v>
      </c>
      <c r="I65" s="25" t="s">
        <v>515</v>
      </c>
      <c r="J65" s="37" t="s">
        <v>31</v>
      </c>
      <c r="K65" s="12"/>
      <c r="L65" s="84"/>
      <c r="M65" s="41"/>
      <c r="N65" s="41">
        <v>883</v>
      </c>
    </row>
    <row r="66" spans="1:15" s="7" customFormat="1" ht="24" x14ac:dyDescent="0.25">
      <c r="A66" s="6"/>
      <c r="B66" s="24">
        <v>44381</v>
      </c>
      <c r="C66" s="37" t="s">
        <v>59</v>
      </c>
      <c r="D66" s="26">
        <v>8615</v>
      </c>
      <c r="E66" s="25" t="s">
        <v>28</v>
      </c>
      <c r="F66" s="26">
        <v>95.5</v>
      </c>
      <c r="G66" s="12">
        <f t="shared" si="3"/>
        <v>822732.5</v>
      </c>
      <c r="H66" s="27" t="s">
        <v>512</v>
      </c>
      <c r="I66" s="25" t="s">
        <v>513</v>
      </c>
      <c r="J66" s="37" t="s">
        <v>34</v>
      </c>
      <c r="K66" s="12"/>
      <c r="L66" s="84"/>
      <c r="M66" s="41"/>
      <c r="N66" s="41">
        <v>882</v>
      </c>
      <c r="O66" s="7" t="s">
        <v>578</v>
      </c>
    </row>
    <row r="67" spans="1:15" s="7" customFormat="1" x14ac:dyDescent="0.25">
      <c r="A67" s="6"/>
      <c r="B67" s="24">
        <v>44381</v>
      </c>
      <c r="C67" s="37" t="s">
        <v>59</v>
      </c>
      <c r="D67" s="26">
        <v>128.19999999999999</v>
      </c>
      <c r="E67" s="25" t="s">
        <v>28</v>
      </c>
      <c r="F67" s="26">
        <v>140</v>
      </c>
      <c r="G67" s="12">
        <f t="shared" si="3"/>
        <v>17948</v>
      </c>
      <c r="H67" s="27" t="s">
        <v>510</v>
      </c>
      <c r="I67" s="25" t="s">
        <v>511</v>
      </c>
      <c r="J67" s="37" t="s">
        <v>146</v>
      </c>
      <c r="K67" s="12"/>
      <c r="L67" s="84"/>
      <c r="M67" s="41"/>
      <c r="N67" s="41">
        <v>881</v>
      </c>
    </row>
    <row r="68" spans="1:15" s="7" customFormat="1" ht="24" x14ac:dyDescent="0.25">
      <c r="A68" s="6"/>
      <c r="B68" s="24">
        <v>44380</v>
      </c>
      <c r="C68" s="37" t="s">
        <v>59</v>
      </c>
      <c r="D68" s="26">
        <v>1043.7</v>
      </c>
      <c r="E68" s="25" t="s">
        <v>28</v>
      </c>
      <c r="F68" s="26">
        <v>97.5</v>
      </c>
      <c r="G68" s="12">
        <f>D68*F68</f>
        <v>101760.75</v>
      </c>
      <c r="H68" s="27" t="s">
        <v>508</v>
      </c>
      <c r="I68" s="25" t="s">
        <v>507</v>
      </c>
      <c r="J68" s="37" t="s">
        <v>139</v>
      </c>
      <c r="K68" s="12"/>
      <c r="L68" s="84"/>
      <c r="M68" s="41"/>
      <c r="N68" s="41">
        <v>880</v>
      </c>
    </row>
    <row r="69" spans="1:15" s="7" customFormat="1" ht="24" x14ac:dyDescent="0.25">
      <c r="A69" s="6"/>
      <c r="B69" s="24">
        <v>44380</v>
      </c>
      <c r="C69" s="37" t="s">
        <v>59</v>
      </c>
      <c r="D69" s="26">
        <v>621.79999999999995</v>
      </c>
      <c r="E69" s="25" t="s">
        <v>28</v>
      </c>
      <c r="F69" s="26">
        <v>203</v>
      </c>
      <c r="G69" s="12">
        <f>D69*F69</f>
        <v>126225.4</v>
      </c>
      <c r="H69" s="27" t="s">
        <v>509</v>
      </c>
      <c r="I69" s="25" t="s">
        <v>507</v>
      </c>
      <c r="J69" s="37" t="s">
        <v>147</v>
      </c>
      <c r="K69" s="12"/>
      <c r="L69" s="84"/>
      <c r="M69" s="41"/>
      <c r="N69" s="41">
        <v>880</v>
      </c>
    </row>
    <row r="70" spans="1:15" s="7" customFormat="1" ht="24" x14ac:dyDescent="0.25">
      <c r="A70" s="6"/>
      <c r="B70" s="24">
        <v>44380</v>
      </c>
      <c r="C70" s="37" t="s">
        <v>79</v>
      </c>
      <c r="D70" s="26">
        <v>1715</v>
      </c>
      <c r="E70" s="25" t="s">
        <v>28</v>
      </c>
      <c r="F70" s="26">
        <v>95.5</v>
      </c>
      <c r="G70" s="12">
        <f>D70*F70</f>
        <v>163782.5</v>
      </c>
      <c r="H70" s="27" t="s">
        <v>506</v>
      </c>
      <c r="I70" s="25" t="s">
        <v>507</v>
      </c>
      <c r="J70" s="37" t="s">
        <v>20</v>
      </c>
      <c r="K70" s="12"/>
      <c r="L70" s="84"/>
      <c r="M70" s="41"/>
      <c r="N70" s="41">
        <v>879</v>
      </c>
    </row>
    <row r="71" spans="1:15" s="7" customFormat="1" x14ac:dyDescent="0.25">
      <c r="A71" s="6"/>
      <c r="B71" s="24">
        <v>44380</v>
      </c>
      <c r="C71" s="37" t="s">
        <v>59</v>
      </c>
      <c r="D71" s="26">
        <v>446</v>
      </c>
      <c r="E71" s="25" t="s">
        <v>28</v>
      </c>
      <c r="F71" s="26">
        <v>1400</v>
      </c>
      <c r="G71" s="12">
        <f>D71*F71</f>
        <v>624400</v>
      </c>
      <c r="H71" s="27" t="s">
        <v>326</v>
      </c>
      <c r="I71" s="25" t="s">
        <v>315</v>
      </c>
      <c r="J71" s="37" t="s">
        <v>32</v>
      </c>
      <c r="K71" s="12"/>
      <c r="L71" s="84"/>
      <c r="M71" s="41"/>
      <c r="N71" s="41">
        <v>878</v>
      </c>
      <c r="O71" s="7" t="s">
        <v>578</v>
      </c>
    </row>
    <row r="72" spans="1:15" s="7" customFormat="1" ht="22.5" x14ac:dyDescent="0.25">
      <c r="A72" s="6"/>
      <c r="B72" s="24">
        <v>44380</v>
      </c>
      <c r="C72" s="37" t="s">
        <v>79</v>
      </c>
      <c r="D72" s="26"/>
      <c r="E72" s="25"/>
      <c r="F72" s="26"/>
      <c r="G72" s="12">
        <v>4450</v>
      </c>
      <c r="H72" s="27" t="s">
        <v>407</v>
      </c>
      <c r="I72" s="25"/>
      <c r="J72" s="37" t="s">
        <v>30</v>
      </c>
      <c r="K72" s="12"/>
      <c r="L72" s="84"/>
      <c r="M72" s="41"/>
      <c r="N72" s="41"/>
    </row>
    <row r="73" spans="1:15" s="7" customFormat="1" x14ac:dyDescent="0.25">
      <c r="A73" s="6"/>
      <c r="B73" s="24">
        <v>44378</v>
      </c>
      <c r="C73" s="37" t="s">
        <v>79</v>
      </c>
      <c r="D73" s="26"/>
      <c r="E73" s="25"/>
      <c r="F73" s="26"/>
      <c r="G73" s="12">
        <v>10000</v>
      </c>
      <c r="H73" s="27" t="s">
        <v>405</v>
      </c>
      <c r="I73" s="25" t="s">
        <v>406</v>
      </c>
      <c r="J73" s="37" t="s">
        <v>33</v>
      </c>
      <c r="K73" s="12"/>
      <c r="L73" s="84"/>
      <c r="M73" s="41">
        <v>1596</v>
      </c>
      <c r="N73" s="41"/>
    </row>
    <row r="74" spans="1:15" s="7" customFormat="1" ht="22.5" x14ac:dyDescent="0.25">
      <c r="A74" s="6"/>
      <c r="B74" s="24">
        <v>44378</v>
      </c>
      <c r="C74" s="37" t="s">
        <v>79</v>
      </c>
      <c r="D74" s="26"/>
      <c r="E74" s="25"/>
      <c r="F74" s="26"/>
      <c r="G74" s="12">
        <v>2500</v>
      </c>
      <c r="H74" s="27" t="s">
        <v>407</v>
      </c>
      <c r="I74" s="25"/>
      <c r="J74" s="37" t="s">
        <v>30</v>
      </c>
      <c r="K74" s="12"/>
      <c r="L74" s="84"/>
      <c r="M74" s="41"/>
      <c r="N74" s="41"/>
    </row>
    <row r="75" spans="1:15" s="7" customFormat="1" x14ac:dyDescent="0.25">
      <c r="A75" s="6"/>
      <c r="B75" s="24">
        <v>44378</v>
      </c>
      <c r="C75" s="37" t="s">
        <v>59</v>
      </c>
      <c r="D75" s="26"/>
      <c r="E75" s="25"/>
      <c r="F75" s="26"/>
      <c r="G75" s="12">
        <f>40000+40000</f>
        <v>80000</v>
      </c>
      <c r="H75" s="27" t="s">
        <v>529</v>
      </c>
      <c r="I75" s="25" t="s">
        <v>530</v>
      </c>
      <c r="J75" s="37" t="s">
        <v>18</v>
      </c>
      <c r="K75" s="12"/>
      <c r="L75" s="84"/>
      <c r="M75" s="41" t="s">
        <v>531</v>
      </c>
      <c r="N75" s="41"/>
    </row>
    <row r="76" spans="1:15" s="7" customFormat="1" x14ac:dyDescent="0.25">
      <c r="A76" s="6"/>
      <c r="B76" s="24">
        <v>44378</v>
      </c>
      <c r="C76" s="37" t="s">
        <v>79</v>
      </c>
      <c r="D76" s="26"/>
      <c r="E76" s="25"/>
      <c r="F76" s="26"/>
      <c r="G76" s="12">
        <v>100000</v>
      </c>
      <c r="H76" s="27" t="s">
        <v>408</v>
      </c>
      <c r="I76" s="25" t="s">
        <v>409</v>
      </c>
      <c r="J76" s="37" t="s">
        <v>33</v>
      </c>
      <c r="K76" s="12"/>
      <c r="L76" s="84"/>
      <c r="M76" s="41">
        <v>1584</v>
      </c>
      <c r="N76" s="41"/>
    </row>
    <row r="77" spans="1:15" s="7" customFormat="1" x14ac:dyDescent="0.25">
      <c r="A77" s="6"/>
      <c r="B77" s="24">
        <v>44378</v>
      </c>
      <c r="C77" s="37" t="s">
        <v>79</v>
      </c>
      <c r="D77" s="26"/>
      <c r="E77" s="25"/>
      <c r="F77" s="26"/>
      <c r="G77" s="12">
        <v>5000</v>
      </c>
      <c r="H77" s="27" t="s">
        <v>410</v>
      </c>
      <c r="I77" s="25" t="s">
        <v>411</v>
      </c>
      <c r="J77" s="37" t="s">
        <v>147</v>
      </c>
      <c r="K77" s="12"/>
      <c r="L77" s="84"/>
      <c r="M77" s="41">
        <v>1581</v>
      </c>
      <c r="N77" s="41"/>
    </row>
    <row r="78" spans="1:15" s="7" customFormat="1" x14ac:dyDescent="0.25">
      <c r="A78" s="6"/>
      <c r="B78" s="24">
        <v>44378</v>
      </c>
      <c r="C78" s="37" t="s">
        <v>79</v>
      </c>
      <c r="D78" s="26"/>
      <c r="E78" s="25"/>
      <c r="F78" s="26"/>
      <c r="G78" s="12">
        <v>18500</v>
      </c>
      <c r="H78" s="27" t="s">
        <v>412</v>
      </c>
      <c r="I78" s="25" t="s">
        <v>413</v>
      </c>
      <c r="J78" s="37" t="s">
        <v>25</v>
      </c>
      <c r="K78" s="12"/>
      <c r="L78" s="84"/>
      <c r="M78" s="41">
        <v>1587</v>
      </c>
      <c r="N78" s="41"/>
    </row>
    <row r="79" spans="1:15" s="7" customFormat="1" x14ac:dyDescent="0.25">
      <c r="A79" s="6"/>
      <c r="B79" s="24">
        <v>44378</v>
      </c>
      <c r="C79" s="37" t="s">
        <v>79</v>
      </c>
      <c r="D79" s="26"/>
      <c r="E79" s="25"/>
      <c r="F79" s="26"/>
      <c r="G79" s="12">
        <v>100000</v>
      </c>
      <c r="H79" s="27" t="s">
        <v>408</v>
      </c>
      <c r="I79" s="25" t="s">
        <v>409</v>
      </c>
      <c r="J79" s="37" t="s">
        <v>33</v>
      </c>
      <c r="K79" s="12"/>
      <c r="L79" s="84"/>
      <c r="M79" s="41">
        <v>1588</v>
      </c>
      <c r="N79" s="41"/>
    </row>
    <row r="80" spans="1:15" s="7" customFormat="1" x14ac:dyDescent="0.25">
      <c r="A80" s="6"/>
      <c r="B80" s="24">
        <v>44378</v>
      </c>
      <c r="C80" s="37" t="s">
        <v>79</v>
      </c>
      <c r="D80" s="26"/>
      <c r="E80" s="25"/>
      <c r="F80" s="26"/>
      <c r="G80" s="12">
        <f>2670+4000</f>
        <v>6670</v>
      </c>
      <c r="H80" s="27" t="s">
        <v>526</v>
      </c>
      <c r="I80" s="25" t="s">
        <v>527</v>
      </c>
      <c r="J80" s="37" t="s">
        <v>25</v>
      </c>
      <c r="K80" s="12"/>
      <c r="L80" s="84"/>
      <c r="M80" s="41" t="s">
        <v>528</v>
      </c>
      <c r="N80" s="41"/>
    </row>
    <row r="81" spans="1:15" s="7" customFormat="1" x14ac:dyDescent="0.25">
      <c r="A81" s="6"/>
      <c r="B81" s="24">
        <v>44378</v>
      </c>
      <c r="C81" s="37" t="s">
        <v>79</v>
      </c>
      <c r="D81" s="26"/>
      <c r="E81" s="25"/>
      <c r="F81" s="26"/>
      <c r="G81" s="12">
        <v>8000</v>
      </c>
      <c r="H81" s="27" t="s">
        <v>414</v>
      </c>
      <c r="I81" s="25" t="s">
        <v>415</v>
      </c>
      <c r="J81" s="37" t="s">
        <v>25</v>
      </c>
      <c r="K81" s="12"/>
      <c r="L81" s="84"/>
      <c r="M81" s="41">
        <v>1593</v>
      </c>
      <c r="N81" s="41"/>
    </row>
    <row r="82" spans="1:15" s="7" customFormat="1" x14ac:dyDescent="0.25">
      <c r="A82" s="6"/>
      <c r="B82" s="24">
        <v>44378</v>
      </c>
      <c r="C82" s="37" t="s">
        <v>79</v>
      </c>
      <c r="D82" s="26"/>
      <c r="E82" s="25"/>
      <c r="F82" s="26"/>
      <c r="G82" s="12">
        <v>5000</v>
      </c>
      <c r="H82" s="27" t="s">
        <v>416</v>
      </c>
      <c r="I82" s="25" t="s">
        <v>406</v>
      </c>
      <c r="J82" s="37" t="s">
        <v>25</v>
      </c>
      <c r="K82" s="12"/>
      <c r="L82" s="84"/>
      <c r="M82" s="41">
        <v>1594</v>
      </c>
      <c r="N82" s="41"/>
    </row>
    <row r="83" spans="1:15" s="7" customFormat="1" ht="22.5" x14ac:dyDescent="0.25">
      <c r="A83" s="6"/>
      <c r="B83" s="24">
        <v>44378</v>
      </c>
      <c r="C83" s="37" t="s">
        <v>79</v>
      </c>
      <c r="D83" s="26"/>
      <c r="E83" s="25"/>
      <c r="F83" s="26"/>
      <c r="G83" s="12">
        <v>4450</v>
      </c>
      <c r="H83" s="27" t="s">
        <v>417</v>
      </c>
      <c r="I83" s="25" t="s">
        <v>420</v>
      </c>
      <c r="J83" s="37" t="s">
        <v>29</v>
      </c>
      <c r="K83" s="12"/>
      <c r="L83" s="84"/>
      <c r="M83" s="41">
        <v>1591</v>
      </c>
      <c r="N83" s="41"/>
    </row>
    <row r="84" spans="1:15" s="7" customFormat="1" x14ac:dyDescent="0.25">
      <c r="A84" s="6"/>
      <c r="B84" s="24">
        <v>44378</v>
      </c>
      <c r="C84" s="37" t="s">
        <v>79</v>
      </c>
      <c r="D84" s="26"/>
      <c r="E84" s="25"/>
      <c r="F84" s="26"/>
      <c r="G84" s="12">
        <v>8850</v>
      </c>
      <c r="H84" s="27" t="s">
        <v>418</v>
      </c>
      <c r="I84" s="25" t="s">
        <v>421</v>
      </c>
      <c r="J84" s="37" t="s">
        <v>228</v>
      </c>
      <c r="K84" s="12"/>
      <c r="L84" s="84"/>
      <c r="M84" s="41">
        <v>1590</v>
      </c>
      <c r="N84" s="41"/>
    </row>
    <row r="85" spans="1:15" s="7" customFormat="1" x14ac:dyDescent="0.25">
      <c r="A85" s="6"/>
      <c r="B85" s="24">
        <v>44378</v>
      </c>
      <c r="C85" s="37" t="s">
        <v>79</v>
      </c>
      <c r="D85" s="26"/>
      <c r="E85" s="25"/>
      <c r="F85" s="26"/>
      <c r="G85" s="12">
        <v>3600</v>
      </c>
      <c r="H85" s="27" t="s">
        <v>419</v>
      </c>
      <c r="I85" s="25" t="s">
        <v>422</v>
      </c>
      <c r="J85" s="37" t="s">
        <v>228</v>
      </c>
      <c r="K85" s="12"/>
      <c r="L85" s="84"/>
      <c r="M85" s="41">
        <v>1592</v>
      </c>
      <c r="N85" s="41"/>
    </row>
    <row r="86" spans="1:15" s="7" customFormat="1" x14ac:dyDescent="0.25">
      <c r="A86" s="6"/>
      <c r="B86" s="24">
        <v>44378</v>
      </c>
      <c r="C86" s="37" t="s">
        <v>59</v>
      </c>
      <c r="D86" s="26"/>
      <c r="E86" s="25"/>
      <c r="F86" s="26"/>
      <c r="G86" s="12">
        <v>120000</v>
      </c>
      <c r="H86" s="27" t="s">
        <v>327</v>
      </c>
      <c r="I86" s="25" t="s">
        <v>260</v>
      </c>
      <c r="J86" s="37" t="s">
        <v>38</v>
      </c>
      <c r="K86" s="12"/>
      <c r="L86" s="84"/>
      <c r="M86" s="41">
        <v>1585</v>
      </c>
      <c r="N86" s="41">
        <v>877</v>
      </c>
    </row>
    <row r="87" spans="1:15" s="7" customFormat="1" x14ac:dyDescent="0.25">
      <c r="A87" s="6"/>
      <c r="B87" s="24">
        <v>44378</v>
      </c>
      <c r="C87" s="37" t="s">
        <v>59</v>
      </c>
      <c r="D87" s="26">
        <v>213.8</v>
      </c>
      <c r="E87" s="25" t="s">
        <v>28</v>
      </c>
      <c r="F87" s="26">
        <f>G87/D87</f>
        <v>246.95977549111316</v>
      </c>
      <c r="G87" s="12">
        <v>52800</v>
      </c>
      <c r="H87" s="27" t="s">
        <v>328</v>
      </c>
      <c r="I87" s="25" t="s">
        <v>329</v>
      </c>
      <c r="J87" s="37" t="s">
        <v>37</v>
      </c>
      <c r="K87" s="12"/>
      <c r="L87" s="84"/>
      <c r="M87" s="41">
        <v>1583</v>
      </c>
      <c r="N87" s="41">
        <v>876</v>
      </c>
    </row>
    <row r="88" spans="1:15" s="7" customFormat="1" x14ac:dyDescent="0.25">
      <c r="A88" s="6"/>
      <c r="B88" s="24">
        <v>44378</v>
      </c>
      <c r="C88" s="37" t="s">
        <v>59</v>
      </c>
      <c r="D88" s="26">
        <v>717.7</v>
      </c>
      <c r="E88" s="25" t="s">
        <v>28</v>
      </c>
      <c r="F88" s="26">
        <v>1400</v>
      </c>
      <c r="G88" s="12">
        <f>D88*F88</f>
        <v>1004780.0000000001</v>
      </c>
      <c r="H88" s="27" t="s">
        <v>326</v>
      </c>
      <c r="I88" s="25" t="s">
        <v>315</v>
      </c>
      <c r="J88" s="37" t="s">
        <v>32</v>
      </c>
      <c r="K88" s="12"/>
      <c r="L88" s="84"/>
      <c r="M88" s="41"/>
      <c r="N88" s="41">
        <v>875</v>
      </c>
      <c r="O88" s="7" t="s">
        <v>578</v>
      </c>
    </row>
    <row r="89" spans="1:15" s="7" customFormat="1" x14ac:dyDescent="0.25">
      <c r="A89" s="6"/>
      <c r="B89" s="24">
        <v>44378</v>
      </c>
      <c r="C89" s="37" t="s">
        <v>59</v>
      </c>
      <c r="D89" s="26">
        <v>1056.8</v>
      </c>
      <c r="E89" s="25" t="s">
        <v>28</v>
      </c>
      <c r="F89" s="26">
        <v>1400</v>
      </c>
      <c r="G89" s="12">
        <f>D89*F89</f>
        <v>1479520</v>
      </c>
      <c r="H89" s="27" t="s">
        <v>326</v>
      </c>
      <c r="I89" s="25" t="s">
        <v>315</v>
      </c>
      <c r="J89" s="37" t="s">
        <v>32</v>
      </c>
      <c r="K89" s="12"/>
      <c r="L89" s="84"/>
      <c r="M89" s="41"/>
      <c r="N89" s="41">
        <v>874</v>
      </c>
      <c r="O89" s="7" t="s">
        <v>578</v>
      </c>
    </row>
    <row r="90" spans="1:15" s="7" customFormat="1" x14ac:dyDescent="0.25">
      <c r="A90" s="6"/>
      <c r="B90" s="24">
        <v>44378</v>
      </c>
      <c r="C90" s="37" t="s">
        <v>59</v>
      </c>
      <c r="D90" s="26">
        <v>852</v>
      </c>
      <c r="E90" s="25" t="s">
        <v>28</v>
      </c>
      <c r="F90" s="26">
        <v>292</v>
      </c>
      <c r="G90" s="12">
        <f t="shared" ref="G90:G108" si="4">D90*F90</f>
        <v>248784</v>
      </c>
      <c r="H90" s="27" t="s">
        <v>331</v>
      </c>
      <c r="I90" s="25" t="s">
        <v>330</v>
      </c>
      <c r="J90" s="37" t="s">
        <v>31</v>
      </c>
      <c r="K90" s="12"/>
      <c r="L90" s="84"/>
      <c r="M90" s="41"/>
      <c r="N90" s="41">
        <v>873</v>
      </c>
    </row>
    <row r="91" spans="1:15" s="7" customFormat="1" ht="24" x14ac:dyDescent="0.25">
      <c r="A91" s="6"/>
      <c r="B91" s="24">
        <v>44378</v>
      </c>
      <c r="C91" s="37" t="s">
        <v>59</v>
      </c>
      <c r="D91" s="26">
        <v>2.4</v>
      </c>
      <c r="E91" s="25" t="s">
        <v>28</v>
      </c>
      <c r="F91" s="26">
        <v>400</v>
      </c>
      <c r="G91" s="12">
        <f t="shared" si="4"/>
        <v>960</v>
      </c>
      <c r="H91" s="27" t="s">
        <v>332</v>
      </c>
      <c r="I91" s="25" t="s">
        <v>333</v>
      </c>
      <c r="J91" s="37" t="s">
        <v>29</v>
      </c>
      <c r="K91" s="12"/>
      <c r="L91" s="84"/>
      <c r="M91" s="41">
        <v>1579</v>
      </c>
      <c r="N91" s="41">
        <v>872</v>
      </c>
    </row>
    <row r="92" spans="1:15" s="7" customFormat="1" ht="22.5" x14ac:dyDescent="0.25">
      <c r="A92" s="6"/>
      <c r="B92" s="24">
        <v>44377</v>
      </c>
      <c r="C92" s="37" t="s">
        <v>79</v>
      </c>
      <c r="D92" s="26"/>
      <c r="E92" s="25"/>
      <c r="F92" s="26"/>
      <c r="G92" s="12">
        <v>1240</v>
      </c>
      <c r="H92" s="27" t="s">
        <v>423</v>
      </c>
      <c r="I92" s="25" t="s">
        <v>424</v>
      </c>
      <c r="J92" s="37" t="s">
        <v>30</v>
      </c>
      <c r="K92" s="12"/>
      <c r="L92" s="84"/>
      <c r="M92" s="41"/>
      <c r="N92" s="41"/>
    </row>
    <row r="93" spans="1:15" s="7" customFormat="1" x14ac:dyDescent="0.25">
      <c r="A93" s="6"/>
      <c r="B93" s="24">
        <v>44377</v>
      </c>
      <c r="C93" s="37" t="s">
        <v>79</v>
      </c>
      <c r="D93" s="26"/>
      <c r="E93" s="25"/>
      <c r="F93" s="26"/>
      <c r="G93" s="12">
        <v>10000</v>
      </c>
      <c r="H93" s="27" t="s">
        <v>425</v>
      </c>
      <c r="I93" s="25" t="s">
        <v>409</v>
      </c>
      <c r="J93" s="37" t="s">
        <v>426</v>
      </c>
      <c r="K93" s="12"/>
      <c r="L93" s="84"/>
      <c r="M93" s="41">
        <v>1576</v>
      </c>
      <c r="N93" s="41"/>
    </row>
    <row r="94" spans="1:15" s="7" customFormat="1" x14ac:dyDescent="0.25">
      <c r="A94" s="6"/>
      <c r="B94" s="24">
        <v>44377</v>
      </c>
      <c r="C94" s="37" t="s">
        <v>79</v>
      </c>
      <c r="D94" s="26"/>
      <c r="E94" s="25"/>
      <c r="F94" s="26"/>
      <c r="G94" s="12">
        <v>2500</v>
      </c>
      <c r="H94" s="27" t="s">
        <v>427</v>
      </c>
      <c r="I94" s="25"/>
      <c r="J94" s="37" t="s">
        <v>426</v>
      </c>
      <c r="K94" s="12"/>
      <c r="L94" s="84"/>
      <c r="M94" s="41">
        <v>1577</v>
      </c>
      <c r="N94" s="41"/>
    </row>
    <row r="95" spans="1:15" s="7" customFormat="1" x14ac:dyDescent="0.25">
      <c r="A95" s="6"/>
      <c r="B95" s="24">
        <v>44377</v>
      </c>
      <c r="C95" s="37" t="s">
        <v>79</v>
      </c>
      <c r="D95" s="26"/>
      <c r="E95" s="25"/>
      <c r="F95" s="26"/>
      <c r="G95" s="12">
        <v>8000</v>
      </c>
      <c r="H95" s="27" t="s">
        <v>428</v>
      </c>
      <c r="I95" s="25" t="s">
        <v>429</v>
      </c>
      <c r="J95" s="37" t="s">
        <v>426</v>
      </c>
      <c r="K95" s="12"/>
      <c r="L95" s="84"/>
      <c r="M95" s="41">
        <v>1578</v>
      </c>
      <c r="N95" s="41"/>
    </row>
    <row r="96" spans="1:15" s="7" customFormat="1" x14ac:dyDescent="0.25">
      <c r="A96" s="6"/>
      <c r="B96" s="24">
        <v>44377</v>
      </c>
      <c r="C96" s="37" t="s">
        <v>59</v>
      </c>
      <c r="D96" s="26">
        <v>12625</v>
      </c>
      <c r="E96" s="25" t="s">
        <v>28</v>
      </c>
      <c r="F96" s="26">
        <v>95</v>
      </c>
      <c r="G96" s="12">
        <f t="shared" si="4"/>
        <v>1199375</v>
      </c>
      <c r="H96" s="27" t="s">
        <v>334</v>
      </c>
      <c r="I96" s="25" t="s">
        <v>335</v>
      </c>
      <c r="J96" s="37" t="s">
        <v>34</v>
      </c>
      <c r="K96" s="12"/>
      <c r="L96" s="84"/>
      <c r="M96" s="41"/>
      <c r="N96" s="41">
        <v>871</v>
      </c>
      <c r="O96" s="7" t="s">
        <v>578</v>
      </c>
    </row>
    <row r="97" spans="1:15" s="7" customFormat="1" x14ac:dyDescent="0.25">
      <c r="A97" s="6"/>
      <c r="B97" s="24">
        <v>44377</v>
      </c>
      <c r="C97" s="37" t="s">
        <v>59</v>
      </c>
      <c r="D97" s="26">
        <v>1023.8</v>
      </c>
      <c r="E97" s="25" t="s">
        <v>28</v>
      </c>
      <c r="F97" s="26">
        <v>1400</v>
      </c>
      <c r="G97" s="12">
        <f t="shared" si="4"/>
        <v>1433320</v>
      </c>
      <c r="H97" s="27" t="s">
        <v>326</v>
      </c>
      <c r="I97" s="25" t="s">
        <v>315</v>
      </c>
      <c r="J97" s="37" t="s">
        <v>32</v>
      </c>
      <c r="K97" s="12"/>
      <c r="L97" s="84"/>
      <c r="M97" s="41"/>
      <c r="N97" s="41">
        <v>870</v>
      </c>
      <c r="O97" s="7" t="s">
        <v>578</v>
      </c>
    </row>
    <row r="98" spans="1:15" s="7" customFormat="1" x14ac:dyDescent="0.25">
      <c r="A98" s="6"/>
      <c r="B98" s="24">
        <v>44377</v>
      </c>
      <c r="C98" s="37" t="s">
        <v>59</v>
      </c>
      <c r="D98" s="26">
        <v>1032.7</v>
      </c>
      <c r="E98" s="25" t="s">
        <v>28</v>
      </c>
      <c r="F98" s="26">
        <v>1400</v>
      </c>
      <c r="G98" s="12">
        <f t="shared" si="4"/>
        <v>1445780</v>
      </c>
      <c r="H98" s="27" t="s">
        <v>326</v>
      </c>
      <c r="I98" s="25" t="s">
        <v>315</v>
      </c>
      <c r="J98" s="37" t="s">
        <v>32</v>
      </c>
      <c r="K98" s="12"/>
      <c r="L98" s="84"/>
      <c r="M98" s="41"/>
      <c r="N98" s="41">
        <v>869</v>
      </c>
      <c r="O98" s="7" t="s">
        <v>578</v>
      </c>
    </row>
    <row r="99" spans="1:15" s="7" customFormat="1" ht="22.5" x14ac:dyDescent="0.25">
      <c r="A99" s="6"/>
      <c r="B99" s="24">
        <v>44376</v>
      </c>
      <c r="C99" s="37" t="s">
        <v>79</v>
      </c>
      <c r="D99" s="26"/>
      <c r="E99" s="25"/>
      <c r="F99" s="26"/>
      <c r="G99" s="12">
        <v>21850</v>
      </c>
      <c r="H99" s="27" t="s">
        <v>407</v>
      </c>
      <c r="I99" s="25"/>
      <c r="J99" s="37" t="s">
        <v>30</v>
      </c>
      <c r="K99" s="12"/>
      <c r="L99" s="84"/>
      <c r="M99" s="41"/>
      <c r="N99" s="41"/>
    </row>
    <row r="100" spans="1:15" s="7" customFormat="1" x14ac:dyDescent="0.25">
      <c r="A100" s="6"/>
      <c r="B100" s="24">
        <v>44376</v>
      </c>
      <c r="C100" s="37" t="s">
        <v>79</v>
      </c>
      <c r="D100" s="26"/>
      <c r="E100" s="25"/>
      <c r="F100" s="26"/>
      <c r="G100" s="12">
        <v>20000</v>
      </c>
      <c r="H100" s="27" t="s">
        <v>425</v>
      </c>
      <c r="I100" s="25"/>
      <c r="J100" s="37" t="s">
        <v>33</v>
      </c>
      <c r="K100" s="12"/>
      <c r="L100" s="84"/>
      <c r="M100" s="41">
        <v>1574</v>
      </c>
      <c r="N100" s="41"/>
    </row>
    <row r="101" spans="1:15" s="7" customFormat="1" ht="22.5" x14ac:dyDescent="0.25">
      <c r="A101" s="6"/>
      <c r="B101" s="24">
        <v>44376</v>
      </c>
      <c r="C101" s="37" t="s">
        <v>79</v>
      </c>
      <c r="D101" s="26"/>
      <c r="E101" s="25"/>
      <c r="F101" s="26"/>
      <c r="G101" s="12">
        <v>180000</v>
      </c>
      <c r="H101" s="27" t="s">
        <v>430</v>
      </c>
      <c r="I101" s="25"/>
      <c r="J101" s="37" t="s">
        <v>29</v>
      </c>
      <c r="K101" s="12"/>
      <c r="L101" s="84"/>
      <c r="M101" s="41">
        <v>1575</v>
      </c>
      <c r="N101" s="41"/>
    </row>
    <row r="102" spans="1:15" s="7" customFormat="1" x14ac:dyDescent="0.25">
      <c r="A102" s="6"/>
      <c r="B102" s="24">
        <v>44376</v>
      </c>
      <c r="C102" s="37" t="s">
        <v>59</v>
      </c>
      <c r="D102" s="26">
        <v>5105</v>
      </c>
      <c r="E102" s="25" t="s">
        <v>28</v>
      </c>
      <c r="F102" s="26">
        <v>99.5</v>
      </c>
      <c r="G102" s="12">
        <f t="shared" si="4"/>
        <v>507947.5</v>
      </c>
      <c r="H102" s="27" t="s">
        <v>336</v>
      </c>
      <c r="I102" s="25" t="s">
        <v>337</v>
      </c>
      <c r="J102" s="37" t="s">
        <v>139</v>
      </c>
      <c r="K102" s="12"/>
      <c r="L102" s="84"/>
      <c r="M102" s="41"/>
      <c r="N102" s="41">
        <v>867</v>
      </c>
    </row>
    <row r="103" spans="1:15" s="7" customFormat="1" x14ac:dyDescent="0.25">
      <c r="A103" s="6"/>
      <c r="B103" s="24">
        <v>44376</v>
      </c>
      <c r="C103" s="37" t="s">
        <v>59</v>
      </c>
      <c r="D103" s="26">
        <v>679</v>
      </c>
      <c r="E103" s="25" t="s">
        <v>28</v>
      </c>
      <c r="F103" s="26">
        <v>292</v>
      </c>
      <c r="G103" s="12">
        <f t="shared" si="4"/>
        <v>198268</v>
      </c>
      <c r="H103" s="27" t="s">
        <v>338</v>
      </c>
      <c r="I103" s="25" t="s">
        <v>330</v>
      </c>
      <c r="J103" s="37" t="s">
        <v>31</v>
      </c>
      <c r="K103" s="12"/>
      <c r="L103" s="84"/>
      <c r="M103" s="41"/>
      <c r="N103" s="41">
        <v>866</v>
      </c>
    </row>
    <row r="104" spans="1:15" s="7" customFormat="1" x14ac:dyDescent="0.25">
      <c r="A104" s="6"/>
      <c r="B104" s="24">
        <v>44376</v>
      </c>
      <c r="C104" s="37" t="s">
        <v>59</v>
      </c>
      <c r="D104" s="26">
        <v>1515</v>
      </c>
      <c r="E104" s="25" t="s">
        <v>28</v>
      </c>
      <c r="F104" s="26">
        <v>92</v>
      </c>
      <c r="G104" s="12">
        <f t="shared" si="4"/>
        <v>139380</v>
      </c>
      <c r="H104" s="27" t="s">
        <v>339</v>
      </c>
      <c r="I104" s="25" t="s">
        <v>340</v>
      </c>
      <c r="J104" s="37" t="s">
        <v>80</v>
      </c>
      <c r="K104" s="12"/>
      <c r="L104" s="84"/>
      <c r="M104" s="41"/>
      <c r="N104" s="41">
        <v>865</v>
      </c>
    </row>
    <row r="105" spans="1:15" s="7" customFormat="1" ht="22.5" x14ac:dyDescent="0.25">
      <c r="A105" s="6"/>
      <c r="B105" s="24">
        <v>44375</v>
      </c>
      <c r="C105" s="37" t="s">
        <v>79</v>
      </c>
      <c r="D105" s="26"/>
      <c r="E105" s="25"/>
      <c r="F105" s="26"/>
      <c r="G105" s="12">
        <v>2810</v>
      </c>
      <c r="H105" s="27" t="s">
        <v>407</v>
      </c>
      <c r="I105" s="25"/>
      <c r="J105" s="37" t="s">
        <v>30</v>
      </c>
      <c r="K105" s="12"/>
      <c r="L105" s="84"/>
      <c r="M105" s="41"/>
      <c r="N105" s="41"/>
    </row>
    <row r="106" spans="1:15" s="7" customFormat="1" ht="22.5" x14ac:dyDescent="0.25">
      <c r="A106" s="6"/>
      <c r="B106" s="24">
        <v>44375</v>
      </c>
      <c r="C106" s="37" t="s">
        <v>79</v>
      </c>
      <c r="D106" s="26"/>
      <c r="E106" s="25"/>
      <c r="F106" s="26"/>
      <c r="G106" s="12">
        <v>5600</v>
      </c>
      <c r="H106" s="27" t="s">
        <v>431</v>
      </c>
      <c r="I106" s="25" t="s">
        <v>432</v>
      </c>
      <c r="J106" s="37" t="s">
        <v>29</v>
      </c>
      <c r="K106" s="12"/>
      <c r="L106" s="84"/>
      <c r="M106" s="41">
        <v>1562</v>
      </c>
      <c r="N106" s="41"/>
    </row>
    <row r="107" spans="1:15" s="7" customFormat="1" x14ac:dyDescent="0.25">
      <c r="A107" s="6"/>
      <c r="B107" s="24">
        <v>44375</v>
      </c>
      <c r="C107" s="37" t="s">
        <v>79</v>
      </c>
      <c r="D107" s="26"/>
      <c r="E107" s="25"/>
      <c r="F107" s="26"/>
      <c r="G107" s="12">
        <v>6000</v>
      </c>
      <c r="H107" s="27" t="s">
        <v>433</v>
      </c>
      <c r="I107" s="25" t="s">
        <v>434</v>
      </c>
      <c r="J107" s="37" t="s">
        <v>228</v>
      </c>
      <c r="K107" s="12"/>
      <c r="L107" s="84"/>
      <c r="M107" s="41">
        <v>1565</v>
      </c>
      <c r="N107" s="41"/>
    </row>
    <row r="108" spans="1:15" s="7" customFormat="1" x14ac:dyDescent="0.25">
      <c r="A108" s="6"/>
      <c r="B108" s="24">
        <v>44375</v>
      </c>
      <c r="C108" s="37" t="s">
        <v>79</v>
      </c>
      <c r="D108" s="91">
        <v>19405</v>
      </c>
      <c r="E108" s="25" t="s">
        <v>28</v>
      </c>
      <c r="F108" s="26">
        <v>240</v>
      </c>
      <c r="G108" s="12">
        <f t="shared" si="4"/>
        <v>4657200</v>
      </c>
      <c r="H108" s="89" t="s">
        <v>364</v>
      </c>
      <c r="I108" s="25" t="s">
        <v>365</v>
      </c>
      <c r="J108" s="37" t="s">
        <v>20</v>
      </c>
      <c r="K108" s="12"/>
      <c r="L108" s="84"/>
      <c r="M108" s="41"/>
      <c r="N108" s="41">
        <v>863</v>
      </c>
      <c r="O108" s="7" t="s">
        <v>578</v>
      </c>
    </row>
    <row r="109" spans="1:15" s="7" customFormat="1" x14ac:dyDescent="0.25">
      <c r="A109" s="6"/>
      <c r="B109" s="24">
        <v>44375</v>
      </c>
      <c r="C109" s="37" t="s">
        <v>59</v>
      </c>
      <c r="D109" s="26"/>
      <c r="E109" s="25" t="s">
        <v>28</v>
      </c>
      <c r="F109" s="26"/>
      <c r="G109" s="12">
        <v>165000</v>
      </c>
      <c r="H109" s="27" t="s">
        <v>341</v>
      </c>
      <c r="I109" s="25" t="s">
        <v>342</v>
      </c>
      <c r="J109" s="37" t="s">
        <v>38</v>
      </c>
      <c r="K109" s="12"/>
      <c r="L109" s="84"/>
      <c r="M109" s="41" t="s">
        <v>525</v>
      </c>
      <c r="N109" s="41">
        <v>864</v>
      </c>
    </row>
    <row r="110" spans="1:15" s="7" customFormat="1" x14ac:dyDescent="0.25">
      <c r="A110" s="6"/>
      <c r="B110" s="24">
        <v>44375</v>
      </c>
      <c r="C110" s="37" t="s">
        <v>59</v>
      </c>
      <c r="D110" s="26">
        <v>1790</v>
      </c>
      <c r="E110" s="25" t="s">
        <v>28</v>
      </c>
      <c r="F110" s="26">
        <v>92</v>
      </c>
      <c r="G110" s="12">
        <f t="shared" ref="G110:G118" si="5">D110*F110</f>
        <v>164680</v>
      </c>
      <c r="H110" s="27" t="s">
        <v>339</v>
      </c>
      <c r="I110" s="25" t="s">
        <v>340</v>
      </c>
      <c r="J110" s="37" t="s">
        <v>80</v>
      </c>
      <c r="K110" s="12"/>
      <c r="L110" s="84"/>
      <c r="M110" s="41"/>
      <c r="N110" s="41">
        <v>862</v>
      </c>
    </row>
    <row r="111" spans="1:15" s="7" customFormat="1" x14ac:dyDescent="0.25">
      <c r="A111" s="6"/>
      <c r="B111" s="24">
        <v>44375</v>
      </c>
      <c r="C111" s="37" t="s">
        <v>59</v>
      </c>
      <c r="D111" s="26">
        <v>316.89999999999998</v>
      </c>
      <c r="E111" s="25" t="s">
        <v>28</v>
      </c>
      <c r="F111" s="26">
        <v>235</v>
      </c>
      <c r="G111" s="12">
        <f t="shared" si="5"/>
        <v>74471.5</v>
      </c>
      <c r="H111" s="27" t="s">
        <v>343</v>
      </c>
      <c r="I111" s="25" t="s">
        <v>346</v>
      </c>
      <c r="J111" s="37" t="s">
        <v>146</v>
      </c>
      <c r="K111" s="12"/>
      <c r="L111" s="84"/>
      <c r="M111" s="41">
        <v>1567</v>
      </c>
      <c r="N111" s="41">
        <v>861</v>
      </c>
    </row>
    <row r="112" spans="1:15" s="7" customFormat="1" x14ac:dyDescent="0.25">
      <c r="A112" s="6"/>
      <c r="B112" s="24">
        <v>44375</v>
      </c>
      <c r="C112" s="37" t="s">
        <v>59</v>
      </c>
      <c r="D112" s="26">
        <v>87.7</v>
      </c>
      <c r="E112" s="25" t="s">
        <v>28</v>
      </c>
      <c r="F112" s="26">
        <v>265</v>
      </c>
      <c r="G112" s="12">
        <f t="shared" si="5"/>
        <v>23240.5</v>
      </c>
      <c r="H112" s="27" t="s">
        <v>344</v>
      </c>
      <c r="I112" s="25" t="s">
        <v>346</v>
      </c>
      <c r="J112" s="37" t="s">
        <v>146</v>
      </c>
      <c r="K112" s="12"/>
      <c r="L112" s="84"/>
      <c r="M112" s="41">
        <v>1567</v>
      </c>
      <c r="N112" s="41">
        <v>861</v>
      </c>
    </row>
    <row r="113" spans="1:14" s="7" customFormat="1" x14ac:dyDescent="0.25">
      <c r="A113" s="6"/>
      <c r="B113" s="24">
        <v>44375</v>
      </c>
      <c r="C113" s="37" t="s">
        <v>59</v>
      </c>
      <c r="D113" s="26">
        <v>340.4</v>
      </c>
      <c r="E113" s="25" t="s">
        <v>28</v>
      </c>
      <c r="F113" s="26">
        <v>200</v>
      </c>
      <c r="G113" s="12">
        <f t="shared" si="5"/>
        <v>68080</v>
      </c>
      <c r="H113" s="27" t="s">
        <v>345</v>
      </c>
      <c r="I113" s="25" t="s">
        <v>346</v>
      </c>
      <c r="J113" s="37" t="s">
        <v>146</v>
      </c>
      <c r="K113" s="12"/>
      <c r="L113" s="84"/>
      <c r="M113" s="41">
        <v>1567</v>
      </c>
      <c r="N113" s="41">
        <v>861</v>
      </c>
    </row>
    <row r="114" spans="1:14" s="7" customFormat="1" x14ac:dyDescent="0.25">
      <c r="A114" s="6"/>
      <c r="B114" s="24">
        <v>44375</v>
      </c>
      <c r="C114" s="37" t="s">
        <v>59</v>
      </c>
      <c r="D114" s="26">
        <v>72.8</v>
      </c>
      <c r="E114" s="25" t="s">
        <v>28</v>
      </c>
      <c r="F114" s="26">
        <v>370</v>
      </c>
      <c r="G114" s="12">
        <f t="shared" si="5"/>
        <v>26936</v>
      </c>
      <c r="H114" s="27" t="s">
        <v>347</v>
      </c>
      <c r="I114" s="25" t="s">
        <v>348</v>
      </c>
      <c r="J114" s="37" t="s">
        <v>146</v>
      </c>
      <c r="K114" s="12"/>
      <c r="L114" s="84"/>
      <c r="M114" s="41">
        <v>1564</v>
      </c>
      <c r="N114" s="41">
        <v>860</v>
      </c>
    </row>
    <row r="115" spans="1:14" s="7" customFormat="1" x14ac:dyDescent="0.25">
      <c r="A115" s="6"/>
      <c r="B115" s="24">
        <v>44375</v>
      </c>
      <c r="C115" s="37" t="s">
        <v>59</v>
      </c>
      <c r="D115" s="26">
        <v>7.9</v>
      </c>
      <c r="E115" s="25" t="s">
        <v>28</v>
      </c>
      <c r="F115" s="26">
        <v>200</v>
      </c>
      <c r="G115" s="12">
        <f t="shared" si="5"/>
        <v>1580</v>
      </c>
      <c r="H115" s="27" t="s">
        <v>349</v>
      </c>
      <c r="I115" s="25" t="s">
        <v>350</v>
      </c>
      <c r="J115" s="37" t="s">
        <v>146</v>
      </c>
      <c r="K115" s="12"/>
      <c r="L115" s="84"/>
      <c r="M115" s="41" t="s">
        <v>351</v>
      </c>
      <c r="N115" s="41" t="s">
        <v>352</v>
      </c>
    </row>
    <row r="116" spans="1:14" s="7" customFormat="1" x14ac:dyDescent="0.25">
      <c r="A116" s="6"/>
      <c r="B116" s="24">
        <v>44375</v>
      </c>
      <c r="C116" s="37" t="s">
        <v>59</v>
      </c>
      <c r="D116" s="26">
        <v>6.9</v>
      </c>
      <c r="E116" s="25" t="s">
        <v>28</v>
      </c>
      <c r="F116" s="26">
        <v>300</v>
      </c>
      <c r="G116" s="12">
        <f t="shared" si="5"/>
        <v>2070</v>
      </c>
      <c r="H116" s="27" t="s">
        <v>349</v>
      </c>
      <c r="I116" s="25" t="s">
        <v>350</v>
      </c>
      <c r="J116" s="37" t="s">
        <v>146</v>
      </c>
      <c r="K116" s="12"/>
      <c r="L116" s="84"/>
      <c r="M116" s="41" t="s">
        <v>351</v>
      </c>
      <c r="N116" s="41" t="s">
        <v>352</v>
      </c>
    </row>
    <row r="117" spans="1:14" s="7" customFormat="1" x14ac:dyDescent="0.25">
      <c r="A117" s="6"/>
      <c r="B117" s="24">
        <v>44375</v>
      </c>
      <c r="C117" s="37" t="s">
        <v>59</v>
      </c>
      <c r="D117" s="26">
        <v>16.8</v>
      </c>
      <c r="E117" s="25" t="s">
        <v>28</v>
      </c>
      <c r="F117" s="26">
        <v>220</v>
      </c>
      <c r="G117" s="12">
        <f t="shared" si="5"/>
        <v>3696</v>
      </c>
      <c r="H117" s="27" t="s">
        <v>349</v>
      </c>
      <c r="I117" s="25" t="s">
        <v>350</v>
      </c>
      <c r="J117" s="37" t="s">
        <v>146</v>
      </c>
      <c r="K117" s="12"/>
      <c r="L117" s="84"/>
      <c r="M117" s="41" t="s">
        <v>351</v>
      </c>
      <c r="N117" s="41" t="s">
        <v>352</v>
      </c>
    </row>
    <row r="118" spans="1:14" s="7" customFormat="1" x14ac:dyDescent="0.25">
      <c r="A118" s="6"/>
      <c r="B118" s="24">
        <v>44375</v>
      </c>
      <c r="C118" s="37" t="s">
        <v>59</v>
      </c>
      <c r="D118" s="26">
        <v>12.1</v>
      </c>
      <c r="E118" s="25" t="s">
        <v>28</v>
      </c>
      <c r="F118" s="26">
        <v>330</v>
      </c>
      <c r="G118" s="12">
        <f t="shared" si="5"/>
        <v>3993</v>
      </c>
      <c r="H118" s="27" t="s">
        <v>349</v>
      </c>
      <c r="I118" s="25" t="s">
        <v>350</v>
      </c>
      <c r="J118" s="37" t="s">
        <v>146</v>
      </c>
      <c r="K118" s="12"/>
      <c r="L118" s="84"/>
      <c r="M118" s="41" t="s">
        <v>351</v>
      </c>
      <c r="N118" s="41" t="s">
        <v>352</v>
      </c>
    </row>
    <row r="119" spans="1:14" s="7" customFormat="1" x14ac:dyDescent="0.25">
      <c r="A119" s="6"/>
      <c r="B119" s="24">
        <v>44375</v>
      </c>
      <c r="C119" s="37" t="s">
        <v>59</v>
      </c>
      <c r="D119" s="26"/>
      <c r="E119" s="25" t="s">
        <v>28</v>
      </c>
      <c r="F119" s="26"/>
      <c r="G119" s="12">
        <v>95000</v>
      </c>
      <c r="H119" s="27" t="s">
        <v>353</v>
      </c>
      <c r="I119" s="25" t="s">
        <v>354</v>
      </c>
      <c r="J119" s="37" t="s">
        <v>38</v>
      </c>
      <c r="K119" s="12"/>
      <c r="L119" s="84"/>
      <c r="M119" s="41" t="s">
        <v>355</v>
      </c>
      <c r="N119" s="41">
        <v>857</v>
      </c>
    </row>
    <row r="120" spans="1:14" s="7" customFormat="1" x14ac:dyDescent="0.25">
      <c r="A120" s="6"/>
      <c r="B120" s="24">
        <v>44374</v>
      </c>
      <c r="C120" s="37" t="s">
        <v>79</v>
      </c>
      <c r="D120" s="26"/>
      <c r="E120" s="25"/>
      <c r="F120" s="26"/>
      <c r="G120" s="12">
        <v>4240</v>
      </c>
      <c r="H120" s="27" t="s">
        <v>407</v>
      </c>
      <c r="I120" s="25"/>
      <c r="J120" s="37"/>
      <c r="K120" s="12"/>
      <c r="L120" s="84"/>
      <c r="M120" s="41"/>
      <c r="N120" s="41"/>
    </row>
    <row r="121" spans="1:14" s="7" customFormat="1" x14ac:dyDescent="0.25">
      <c r="A121" s="6"/>
      <c r="B121" s="24">
        <v>44374</v>
      </c>
      <c r="C121" s="37" t="s">
        <v>79</v>
      </c>
      <c r="D121" s="26"/>
      <c r="E121" s="25"/>
      <c r="F121" s="26"/>
      <c r="G121" s="12">
        <v>8000</v>
      </c>
      <c r="H121" s="27" t="s">
        <v>435</v>
      </c>
      <c r="I121" s="25" t="s">
        <v>436</v>
      </c>
      <c r="J121" s="37" t="s">
        <v>33</v>
      </c>
      <c r="K121" s="12"/>
      <c r="L121" s="84"/>
      <c r="M121" s="41">
        <v>1558</v>
      </c>
      <c r="N121" s="41"/>
    </row>
    <row r="122" spans="1:14" s="7" customFormat="1" x14ac:dyDescent="0.25">
      <c r="A122" s="6"/>
      <c r="B122" s="24">
        <v>44374</v>
      </c>
      <c r="C122" s="37" t="s">
        <v>59</v>
      </c>
      <c r="D122" s="26">
        <v>9</v>
      </c>
      <c r="E122" s="25" t="s">
        <v>28</v>
      </c>
      <c r="F122" s="26">
        <v>365</v>
      </c>
      <c r="G122" s="12">
        <f t="shared" ref="G122:G148" si="6">D122*F122</f>
        <v>3285</v>
      </c>
      <c r="H122" s="27" t="s">
        <v>357</v>
      </c>
      <c r="I122" s="25" t="s">
        <v>356</v>
      </c>
      <c r="J122" s="37" t="s">
        <v>146</v>
      </c>
      <c r="K122" s="12"/>
      <c r="L122" s="84"/>
      <c r="M122" s="41">
        <v>1557</v>
      </c>
      <c r="N122" s="41">
        <v>856</v>
      </c>
    </row>
    <row r="123" spans="1:14" s="7" customFormat="1" x14ac:dyDescent="0.25">
      <c r="A123" s="6"/>
      <c r="B123" s="24">
        <v>44374</v>
      </c>
      <c r="C123" s="37" t="s">
        <v>59</v>
      </c>
      <c r="D123" s="26">
        <v>27</v>
      </c>
      <c r="E123" s="25" t="s">
        <v>28</v>
      </c>
      <c r="F123" s="26">
        <v>200</v>
      </c>
      <c r="G123" s="12">
        <f t="shared" si="6"/>
        <v>5400</v>
      </c>
      <c r="H123" s="27" t="s">
        <v>357</v>
      </c>
      <c r="I123" s="25" t="s">
        <v>356</v>
      </c>
      <c r="J123" s="37" t="s">
        <v>146</v>
      </c>
      <c r="K123" s="12"/>
      <c r="L123" s="84"/>
      <c r="M123" s="41">
        <v>1557</v>
      </c>
      <c r="N123" s="41">
        <v>856</v>
      </c>
    </row>
    <row r="124" spans="1:14" s="7" customFormat="1" x14ac:dyDescent="0.25">
      <c r="A124" s="6"/>
      <c r="B124" s="24">
        <v>44374</v>
      </c>
      <c r="C124" s="37" t="s">
        <v>59</v>
      </c>
      <c r="D124" s="26">
        <v>339</v>
      </c>
      <c r="E124" s="25" t="s">
        <v>28</v>
      </c>
      <c r="F124" s="26">
        <v>255</v>
      </c>
      <c r="G124" s="12">
        <f>D124*F124-800</f>
        <v>85645</v>
      </c>
      <c r="H124" s="27" t="s">
        <v>358</v>
      </c>
      <c r="I124" s="25" t="s">
        <v>359</v>
      </c>
      <c r="J124" s="37" t="s">
        <v>146</v>
      </c>
      <c r="K124" s="12"/>
      <c r="L124" s="84"/>
      <c r="M124" s="41">
        <v>1552</v>
      </c>
      <c r="N124" s="41">
        <v>855</v>
      </c>
    </row>
    <row r="125" spans="1:14" s="7" customFormat="1" x14ac:dyDescent="0.25">
      <c r="A125" s="6"/>
      <c r="B125" s="24">
        <v>44374</v>
      </c>
      <c r="C125" s="37" t="s">
        <v>59</v>
      </c>
      <c r="D125" s="26">
        <v>66.599999999999994</v>
      </c>
      <c r="E125" s="25" t="s">
        <v>28</v>
      </c>
      <c r="F125" s="26">
        <v>290</v>
      </c>
      <c r="G125" s="12">
        <f t="shared" si="6"/>
        <v>19314</v>
      </c>
      <c r="H125" s="27" t="s">
        <v>358</v>
      </c>
      <c r="I125" s="25" t="s">
        <v>359</v>
      </c>
      <c r="J125" s="37" t="s">
        <v>146</v>
      </c>
      <c r="K125" s="12"/>
      <c r="L125" s="84"/>
      <c r="M125" s="41">
        <v>1552</v>
      </c>
      <c r="N125" s="41">
        <v>855</v>
      </c>
    </row>
    <row r="126" spans="1:14" s="7" customFormat="1" x14ac:dyDescent="0.25">
      <c r="A126" s="6"/>
      <c r="B126" s="24">
        <v>44374</v>
      </c>
      <c r="C126" s="37" t="s">
        <v>59</v>
      </c>
      <c r="D126" s="26">
        <v>4.4000000000000004</v>
      </c>
      <c r="E126" s="25" t="s">
        <v>28</v>
      </c>
      <c r="F126" s="26">
        <v>270</v>
      </c>
      <c r="G126" s="12">
        <f t="shared" si="6"/>
        <v>1188</v>
      </c>
      <c r="H126" s="27" t="s">
        <v>358</v>
      </c>
      <c r="I126" s="25" t="s">
        <v>359</v>
      </c>
      <c r="J126" s="37" t="s">
        <v>146</v>
      </c>
      <c r="K126" s="12"/>
      <c r="L126" s="84"/>
      <c r="M126" s="41">
        <v>1552</v>
      </c>
      <c r="N126" s="41">
        <v>855</v>
      </c>
    </row>
    <row r="127" spans="1:14" s="7" customFormat="1" x14ac:dyDescent="0.25">
      <c r="A127" s="6"/>
      <c r="B127" s="24">
        <v>44374</v>
      </c>
      <c r="C127" s="37" t="s">
        <v>59</v>
      </c>
      <c r="D127" s="26">
        <v>137.19999999999999</v>
      </c>
      <c r="E127" s="25" t="s">
        <v>28</v>
      </c>
      <c r="F127" s="26">
        <v>115</v>
      </c>
      <c r="G127" s="12">
        <f t="shared" si="6"/>
        <v>15777.999999999998</v>
      </c>
      <c r="H127" s="27" t="s">
        <v>360</v>
      </c>
      <c r="I127" s="25" t="s">
        <v>361</v>
      </c>
      <c r="J127" s="37" t="s">
        <v>146</v>
      </c>
      <c r="K127" s="12"/>
      <c r="L127" s="84"/>
      <c r="M127" s="41" t="s">
        <v>363</v>
      </c>
      <c r="N127" s="41">
        <v>853</v>
      </c>
    </row>
    <row r="128" spans="1:14" s="7" customFormat="1" x14ac:dyDescent="0.25">
      <c r="A128" s="6"/>
      <c r="B128" s="24">
        <v>44374</v>
      </c>
      <c r="C128" s="37" t="s">
        <v>59</v>
      </c>
      <c r="D128" s="26">
        <v>90.7</v>
      </c>
      <c r="E128" s="25" t="s">
        <v>28</v>
      </c>
      <c r="F128" s="26">
        <v>385</v>
      </c>
      <c r="G128" s="12">
        <f t="shared" si="6"/>
        <v>34919.5</v>
      </c>
      <c r="H128" s="27" t="s">
        <v>360</v>
      </c>
      <c r="I128" s="25" t="s">
        <v>361</v>
      </c>
      <c r="J128" s="37" t="s">
        <v>146</v>
      </c>
      <c r="K128" s="12"/>
      <c r="L128" s="84"/>
      <c r="M128" s="41" t="s">
        <v>363</v>
      </c>
      <c r="N128" s="41">
        <v>853</v>
      </c>
    </row>
    <row r="129" spans="1:15" s="7" customFormat="1" x14ac:dyDescent="0.25">
      <c r="A129" s="6"/>
      <c r="B129" s="24">
        <v>44374</v>
      </c>
      <c r="C129" s="37" t="s">
        <v>59</v>
      </c>
      <c r="D129" s="26">
        <v>93.6</v>
      </c>
      <c r="E129" s="25" t="s">
        <v>28</v>
      </c>
      <c r="F129" s="26">
        <v>115</v>
      </c>
      <c r="G129" s="12">
        <f t="shared" si="6"/>
        <v>10764</v>
      </c>
      <c r="H129" s="27" t="s">
        <v>360</v>
      </c>
      <c r="I129" s="25" t="s">
        <v>361</v>
      </c>
      <c r="J129" s="37" t="s">
        <v>146</v>
      </c>
      <c r="K129" s="12"/>
      <c r="L129" s="84"/>
      <c r="M129" s="41" t="s">
        <v>363</v>
      </c>
      <c r="N129" s="41">
        <v>853</v>
      </c>
    </row>
    <row r="130" spans="1:15" s="7" customFormat="1" x14ac:dyDescent="0.25">
      <c r="A130" s="6"/>
      <c r="B130" s="24">
        <v>44373</v>
      </c>
      <c r="C130" s="37" t="s">
        <v>59</v>
      </c>
      <c r="D130" s="26">
        <v>214</v>
      </c>
      <c r="E130" s="25" t="s">
        <v>28</v>
      </c>
      <c r="F130" s="26">
        <v>255</v>
      </c>
      <c r="G130" s="12">
        <f t="shared" si="6"/>
        <v>54570</v>
      </c>
      <c r="H130" s="27" t="s">
        <v>362</v>
      </c>
      <c r="I130" s="25" t="s">
        <v>346</v>
      </c>
      <c r="J130" s="37" t="s">
        <v>146</v>
      </c>
      <c r="K130" s="12"/>
      <c r="L130" s="84"/>
      <c r="M130" s="41">
        <v>1445</v>
      </c>
      <c r="N130" s="41">
        <v>851</v>
      </c>
    </row>
    <row r="131" spans="1:15" s="7" customFormat="1" ht="22.5" x14ac:dyDescent="0.25">
      <c r="A131" s="6"/>
      <c r="B131" s="24">
        <v>44373</v>
      </c>
      <c r="C131" s="37" t="s">
        <v>79</v>
      </c>
      <c r="D131" s="26"/>
      <c r="E131" s="25"/>
      <c r="F131" s="26"/>
      <c r="G131" s="12">
        <v>20000</v>
      </c>
      <c r="H131" s="27" t="s">
        <v>438</v>
      </c>
      <c r="I131" s="25" t="s">
        <v>429</v>
      </c>
      <c r="J131" s="37" t="s">
        <v>29</v>
      </c>
      <c r="K131" s="12"/>
      <c r="L131" s="84"/>
      <c r="M131" s="41">
        <v>1446</v>
      </c>
      <c r="N131" s="41"/>
    </row>
    <row r="132" spans="1:15" s="7" customFormat="1" x14ac:dyDescent="0.25">
      <c r="A132" s="6"/>
      <c r="B132" s="24">
        <v>44373</v>
      </c>
      <c r="C132" s="37" t="s">
        <v>79</v>
      </c>
      <c r="D132" s="26"/>
      <c r="E132" s="25"/>
      <c r="F132" s="26"/>
      <c r="G132" s="12">
        <v>6000</v>
      </c>
      <c r="H132" s="27" t="s">
        <v>440</v>
      </c>
      <c r="I132" s="25" t="s">
        <v>439</v>
      </c>
      <c r="J132" s="37" t="s">
        <v>147</v>
      </c>
      <c r="K132" s="12"/>
      <c r="L132" s="84"/>
      <c r="M132" s="41">
        <v>1447</v>
      </c>
      <c r="N132" s="41"/>
    </row>
    <row r="133" spans="1:15" s="7" customFormat="1" x14ac:dyDescent="0.25">
      <c r="A133" s="6"/>
      <c r="B133" s="24">
        <v>44373</v>
      </c>
      <c r="C133" s="37" t="s">
        <v>79</v>
      </c>
      <c r="D133" s="26"/>
      <c r="E133" s="25"/>
      <c r="F133" s="26"/>
      <c r="G133" s="12">
        <v>12370</v>
      </c>
      <c r="H133" s="27" t="s">
        <v>524</v>
      </c>
      <c r="I133" s="25" t="s">
        <v>434</v>
      </c>
      <c r="J133" s="37" t="s">
        <v>228</v>
      </c>
      <c r="K133" s="12"/>
      <c r="L133" s="84"/>
      <c r="M133" s="41"/>
      <c r="N133" s="41"/>
    </row>
    <row r="134" spans="1:15" s="7" customFormat="1" ht="22.5" x14ac:dyDescent="0.25">
      <c r="A134" s="6"/>
      <c r="B134" s="24">
        <v>44373</v>
      </c>
      <c r="C134" s="37" t="s">
        <v>79</v>
      </c>
      <c r="D134" s="26"/>
      <c r="E134" s="25"/>
      <c r="F134" s="26"/>
      <c r="G134" s="12">
        <f>14020-12370</f>
        <v>1650</v>
      </c>
      <c r="H134" s="27" t="s">
        <v>407</v>
      </c>
      <c r="I134" s="25"/>
      <c r="J134" s="37" t="s">
        <v>30</v>
      </c>
      <c r="K134" s="12"/>
      <c r="L134" s="84"/>
      <c r="M134" s="41"/>
      <c r="N134" s="41"/>
    </row>
    <row r="135" spans="1:15" s="7" customFormat="1" x14ac:dyDescent="0.25">
      <c r="A135" s="6"/>
      <c r="B135" s="24">
        <v>44373</v>
      </c>
      <c r="C135" s="37" t="s">
        <v>79</v>
      </c>
      <c r="D135" s="26"/>
      <c r="E135" s="25"/>
      <c r="F135" s="26"/>
      <c r="G135" s="12">
        <v>2400</v>
      </c>
      <c r="H135" s="27" t="s">
        <v>441</v>
      </c>
      <c r="I135" s="25" t="s">
        <v>429</v>
      </c>
      <c r="J135" s="37" t="s">
        <v>228</v>
      </c>
      <c r="K135" s="12"/>
      <c r="L135" s="84"/>
      <c r="M135" s="41">
        <v>1449</v>
      </c>
      <c r="N135" s="41"/>
    </row>
    <row r="136" spans="1:15" s="7" customFormat="1" x14ac:dyDescent="0.25">
      <c r="A136" s="6"/>
      <c r="B136" s="24">
        <v>44373</v>
      </c>
      <c r="C136" s="37" t="s">
        <v>79</v>
      </c>
      <c r="D136" s="91">
        <v>19010</v>
      </c>
      <c r="E136" s="25" t="s">
        <v>28</v>
      </c>
      <c r="F136" s="26">
        <v>229.5</v>
      </c>
      <c r="G136" s="12">
        <f t="shared" si="6"/>
        <v>4362795</v>
      </c>
      <c r="H136" s="89" t="s">
        <v>364</v>
      </c>
      <c r="I136" s="25" t="s">
        <v>365</v>
      </c>
      <c r="J136" s="37" t="s">
        <v>20</v>
      </c>
      <c r="K136" s="12"/>
      <c r="L136" s="84"/>
      <c r="M136" s="41">
        <v>1448</v>
      </c>
      <c r="N136" s="41">
        <v>852</v>
      </c>
      <c r="O136" s="7" t="s">
        <v>578</v>
      </c>
    </row>
    <row r="137" spans="1:15" s="7" customFormat="1" x14ac:dyDescent="0.25">
      <c r="A137" s="6"/>
      <c r="B137" s="24">
        <v>44373</v>
      </c>
      <c r="C137" s="37" t="s">
        <v>59</v>
      </c>
      <c r="D137" s="26">
        <v>11100</v>
      </c>
      <c r="E137" s="25" t="s">
        <v>28</v>
      </c>
      <c r="F137" s="26">
        <v>95.75</v>
      </c>
      <c r="G137" s="12">
        <f t="shared" si="6"/>
        <v>1062825</v>
      </c>
      <c r="H137" s="27" t="s">
        <v>367</v>
      </c>
      <c r="I137" s="25" t="s">
        <v>366</v>
      </c>
      <c r="J137" s="37" t="s">
        <v>34</v>
      </c>
      <c r="K137" s="12"/>
      <c r="L137" s="84"/>
      <c r="M137" s="41"/>
      <c r="N137" s="41">
        <v>850</v>
      </c>
      <c r="O137" s="7" t="s">
        <v>578</v>
      </c>
    </row>
    <row r="138" spans="1:15" s="7" customFormat="1" x14ac:dyDescent="0.25">
      <c r="A138" s="6"/>
      <c r="B138" s="24">
        <v>44373</v>
      </c>
      <c r="C138" s="37" t="s">
        <v>59</v>
      </c>
      <c r="D138" s="26">
        <v>10.6</v>
      </c>
      <c r="E138" s="25" t="s">
        <v>28</v>
      </c>
      <c r="F138" s="26">
        <v>250</v>
      </c>
      <c r="G138" s="12">
        <f t="shared" si="6"/>
        <v>2650</v>
      </c>
      <c r="H138" s="27" t="s">
        <v>358</v>
      </c>
      <c r="I138" s="25" t="s">
        <v>359</v>
      </c>
      <c r="J138" s="37" t="s">
        <v>146</v>
      </c>
      <c r="K138" s="12"/>
      <c r="L138" s="84"/>
      <c r="M138" s="41">
        <v>1440</v>
      </c>
      <c r="N138" s="41">
        <v>849</v>
      </c>
    </row>
    <row r="139" spans="1:15" s="7" customFormat="1" x14ac:dyDescent="0.25">
      <c r="A139" s="6"/>
      <c r="B139" s="24"/>
      <c r="C139" s="37" t="s">
        <v>59</v>
      </c>
      <c r="D139" s="26">
        <v>132.19999999999999</v>
      </c>
      <c r="E139" s="25" t="s">
        <v>28</v>
      </c>
      <c r="F139" s="26">
        <v>290</v>
      </c>
      <c r="G139" s="12">
        <f t="shared" si="6"/>
        <v>38338</v>
      </c>
      <c r="H139" s="27" t="s">
        <v>358</v>
      </c>
      <c r="I139" s="25" t="s">
        <v>359</v>
      </c>
      <c r="J139" s="37" t="s">
        <v>146</v>
      </c>
      <c r="K139" s="12"/>
      <c r="L139" s="84"/>
      <c r="M139" s="41">
        <v>1439</v>
      </c>
      <c r="N139" s="41">
        <v>848</v>
      </c>
    </row>
    <row r="140" spans="1:15" s="7" customFormat="1" x14ac:dyDescent="0.25">
      <c r="A140" s="6"/>
      <c r="B140" s="24"/>
      <c r="C140" s="37" t="s">
        <v>59</v>
      </c>
      <c r="D140" s="26">
        <v>969.6</v>
      </c>
      <c r="E140" s="25" t="s">
        <v>28</v>
      </c>
      <c r="F140" s="26">
        <v>255</v>
      </c>
      <c r="G140" s="12">
        <f t="shared" si="6"/>
        <v>247248</v>
      </c>
      <c r="H140" s="27" t="s">
        <v>358</v>
      </c>
      <c r="I140" s="25" t="s">
        <v>359</v>
      </c>
      <c r="J140" s="37" t="s">
        <v>146</v>
      </c>
      <c r="K140" s="12"/>
      <c r="L140" s="84"/>
      <c r="M140" s="41">
        <v>1439</v>
      </c>
      <c r="N140" s="41">
        <v>848</v>
      </c>
    </row>
    <row r="141" spans="1:15" s="7" customFormat="1" x14ac:dyDescent="0.25">
      <c r="A141" s="6"/>
      <c r="B141" s="24">
        <v>44373</v>
      </c>
      <c r="C141" s="37" t="s">
        <v>59</v>
      </c>
      <c r="D141" s="26">
        <v>860</v>
      </c>
      <c r="E141" s="25" t="s">
        <v>28</v>
      </c>
      <c r="F141" s="26">
        <v>292</v>
      </c>
      <c r="G141" s="12">
        <f t="shared" si="6"/>
        <v>251120</v>
      </c>
      <c r="H141" s="27" t="s">
        <v>338</v>
      </c>
      <c r="I141" s="25" t="s">
        <v>330</v>
      </c>
      <c r="J141" s="37" t="s">
        <v>31</v>
      </c>
      <c r="K141" s="12"/>
      <c r="L141" s="84"/>
      <c r="M141" s="41"/>
      <c r="N141" s="41">
        <v>847</v>
      </c>
    </row>
    <row r="142" spans="1:15" s="7" customFormat="1" x14ac:dyDescent="0.25">
      <c r="A142" s="6"/>
      <c r="B142" s="24">
        <v>44373</v>
      </c>
      <c r="C142" s="37" t="s">
        <v>59</v>
      </c>
      <c r="D142" s="26">
        <v>11.5</v>
      </c>
      <c r="E142" s="25" t="s">
        <v>28</v>
      </c>
      <c r="F142" s="26">
        <v>340</v>
      </c>
      <c r="G142" s="12">
        <f t="shared" si="6"/>
        <v>3910</v>
      </c>
      <c r="H142" s="27" t="s">
        <v>368</v>
      </c>
      <c r="I142" s="25" t="s">
        <v>369</v>
      </c>
      <c r="J142" s="37" t="s">
        <v>146</v>
      </c>
      <c r="K142" s="12"/>
      <c r="L142" s="84"/>
      <c r="M142" s="41">
        <v>1438</v>
      </c>
      <c r="N142" s="41">
        <v>846</v>
      </c>
    </row>
    <row r="143" spans="1:15" s="7" customFormat="1" x14ac:dyDescent="0.25">
      <c r="A143" s="6"/>
      <c r="B143" s="24">
        <v>44373</v>
      </c>
      <c r="C143" s="37" t="s">
        <v>79</v>
      </c>
      <c r="D143" s="26">
        <v>4850</v>
      </c>
      <c r="E143" s="25" t="s">
        <v>28</v>
      </c>
      <c r="F143" s="26">
        <v>180</v>
      </c>
      <c r="G143" s="12">
        <f t="shared" si="6"/>
        <v>873000</v>
      </c>
      <c r="H143" s="27" t="s">
        <v>370</v>
      </c>
      <c r="I143" s="25" t="s">
        <v>365</v>
      </c>
      <c r="J143" s="37" t="s">
        <v>146</v>
      </c>
      <c r="K143" s="12"/>
      <c r="L143" s="84"/>
      <c r="M143" s="41"/>
      <c r="N143" s="41">
        <v>845</v>
      </c>
    </row>
    <row r="144" spans="1:15" s="7" customFormat="1" x14ac:dyDescent="0.25">
      <c r="A144" s="6"/>
      <c r="B144" s="24">
        <v>44373</v>
      </c>
      <c r="C144" s="37" t="s">
        <v>59</v>
      </c>
      <c r="D144" s="26">
        <v>5.9</v>
      </c>
      <c r="E144" s="25" t="s">
        <v>28</v>
      </c>
      <c r="F144" s="26">
        <v>130</v>
      </c>
      <c r="G144" s="12">
        <f t="shared" si="6"/>
        <v>767</v>
      </c>
      <c r="H144" s="27" t="s">
        <v>371</v>
      </c>
      <c r="I144" s="25" t="s">
        <v>372</v>
      </c>
      <c r="J144" s="37" t="s">
        <v>146</v>
      </c>
      <c r="K144" s="12"/>
      <c r="L144" s="84"/>
      <c r="M144" s="41">
        <v>1435</v>
      </c>
      <c r="N144" s="41">
        <v>844</v>
      </c>
    </row>
    <row r="145" spans="1:15" s="7" customFormat="1" x14ac:dyDescent="0.25">
      <c r="A145" s="6"/>
      <c r="B145" s="24">
        <v>44372</v>
      </c>
      <c r="C145" s="37" t="s">
        <v>59</v>
      </c>
      <c r="D145" s="26">
        <f>247.7+50.8+1.4+2.4+600</f>
        <v>902.3</v>
      </c>
      <c r="E145" s="25" t="s">
        <v>28</v>
      </c>
      <c r="F145" s="26">
        <f>G145/D145</f>
        <v>264.84539510140752</v>
      </c>
      <c r="G145" s="12">
        <v>238970</v>
      </c>
      <c r="H145" s="27" t="s">
        <v>358</v>
      </c>
      <c r="I145" s="25" t="s">
        <v>359</v>
      </c>
      <c r="J145" s="37" t="s">
        <v>146</v>
      </c>
      <c r="K145" s="12"/>
      <c r="L145" s="84"/>
      <c r="M145" s="41">
        <v>1434</v>
      </c>
      <c r="N145" s="41">
        <v>843</v>
      </c>
    </row>
    <row r="146" spans="1:15" s="7" customFormat="1" x14ac:dyDescent="0.25">
      <c r="A146" s="6"/>
      <c r="B146" s="24">
        <v>44372</v>
      </c>
      <c r="C146" s="37" t="s">
        <v>79</v>
      </c>
      <c r="D146" s="26"/>
      <c r="E146" s="25"/>
      <c r="F146" s="26"/>
      <c r="G146" s="12">
        <v>7500</v>
      </c>
      <c r="H146" s="27"/>
      <c r="I146" s="25" t="s">
        <v>210</v>
      </c>
      <c r="J146" s="37" t="s">
        <v>228</v>
      </c>
      <c r="K146" s="12"/>
      <c r="L146" s="84"/>
      <c r="M146" s="41"/>
      <c r="N146" s="41"/>
    </row>
    <row r="147" spans="1:15" s="7" customFormat="1" x14ac:dyDescent="0.25">
      <c r="A147" s="6"/>
      <c r="B147" s="24">
        <v>44372</v>
      </c>
      <c r="C147" s="37" t="s">
        <v>79</v>
      </c>
      <c r="D147" s="26"/>
      <c r="E147" s="25"/>
      <c r="F147" s="26"/>
      <c r="G147" s="12">
        <f>11200-7500-500</f>
        <v>3200</v>
      </c>
      <c r="H147" s="27" t="s">
        <v>407</v>
      </c>
      <c r="I147" s="25"/>
      <c r="J147" s="37"/>
      <c r="K147" s="12"/>
      <c r="L147" s="84"/>
      <c r="M147" s="41"/>
      <c r="N147" s="41"/>
    </row>
    <row r="148" spans="1:15" s="7" customFormat="1" x14ac:dyDescent="0.25">
      <c r="A148" s="6"/>
      <c r="B148" s="24">
        <v>44372</v>
      </c>
      <c r="C148" s="37" t="s">
        <v>59</v>
      </c>
      <c r="D148" s="26">
        <v>10720</v>
      </c>
      <c r="E148" s="25" t="s">
        <v>28</v>
      </c>
      <c r="F148" s="26">
        <v>95.75</v>
      </c>
      <c r="G148" s="12">
        <f t="shared" si="6"/>
        <v>1026440</v>
      </c>
      <c r="H148" s="27" t="s">
        <v>367</v>
      </c>
      <c r="I148" s="25" t="s">
        <v>366</v>
      </c>
      <c r="J148" s="37" t="s">
        <v>34</v>
      </c>
      <c r="K148" s="12"/>
      <c r="L148" s="84"/>
      <c r="M148" s="41"/>
      <c r="N148" s="41">
        <v>842</v>
      </c>
      <c r="O148" s="7" t="s">
        <v>578</v>
      </c>
    </row>
    <row r="149" spans="1:15" s="7" customFormat="1" ht="22.5" x14ac:dyDescent="0.25">
      <c r="A149" s="6"/>
      <c r="B149" s="24">
        <v>44371</v>
      </c>
      <c r="C149" s="37" t="s">
        <v>79</v>
      </c>
      <c r="D149" s="26"/>
      <c r="E149" s="25"/>
      <c r="F149" s="26"/>
      <c r="G149" s="12">
        <v>50000</v>
      </c>
      <c r="H149" s="27" t="s">
        <v>442</v>
      </c>
      <c r="I149" s="25" t="s">
        <v>443</v>
      </c>
      <c r="J149" s="37" t="s">
        <v>29</v>
      </c>
      <c r="K149" s="12"/>
      <c r="L149" s="84"/>
      <c r="M149" s="41">
        <v>1430</v>
      </c>
      <c r="N149" s="41"/>
    </row>
    <row r="150" spans="1:15" s="7" customFormat="1" x14ac:dyDescent="0.25">
      <c r="A150" s="6"/>
      <c r="B150" s="24">
        <v>44371</v>
      </c>
      <c r="C150" s="37" t="s">
        <v>79</v>
      </c>
      <c r="D150" s="26"/>
      <c r="E150" s="25"/>
      <c r="F150" s="26"/>
      <c r="G150" s="12">
        <v>275000</v>
      </c>
      <c r="H150" s="27" t="s">
        <v>425</v>
      </c>
      <c r="I150" s="25" t="s">
        <v>409</v>
      </c>
      <c r="J150" s="37" t="s">
        <v>33</v>
      </c>
      <c r="K150" s="12"/>
      <c r="L150" s="84"/>
      <c r="M150" s="41">
        <v>1432</v>
      </c>
      <c r="N150" s="41"/>
    </row>
    <row r="151" spans="1:15" s="7" customFormat="1" x14ac:dyDescent="0.25">
      <c r="A151" s="6"/>
      <c r="B151" s="24">
        <v>44371</v>
      </c>
      <c r="C151" s="37" t="s">
        <v>79</v>
      </c>
      <c r="D151" s="26"/>
      <c r="E151" s="25"/>
      <c r="F151" s="26"/>
      <c r="G151" s="12">
        <v>7000</v>
      </c>
      <c r="H151" s="27" t="s">
        <v>444</v>
      </c>
      <c r="I151" s="25" t="s">
        <v>445</v>
      </c>
      <c r="J151" s="37" t="s">
        <v>228</v>
      </c>
      <c r="K151" s="12"/>
      <c r="L151" s="84"/>
      <c r="M151" s="41">
        <v>1433</v>
      </c>
      <c r="N151" s="41"/>
    </row>
    <row r="152" spans="1:15" s="7" customFormat="1" x14ac:dyDescent="0.25">
      <c r="A152" s="6"/>
      <c r="B152" s="24">
        <v>44371</v>
      </c>
      <c r="C152" s="37" t="s">
        <v>79</v>
      </c>
      <c r="D152" s="26"/>
      <c r="E152" s="25"/>
      <c r="F152" s="26"/>
      <c r="G152" s="12">
        <v>2500</v>
      </c>
      <c r="H152" s="27"/>
      <c r="I152" s="25" t="s">
        <v>466</v>
      </c>
      <c r="J152" s="37" t="s">
        <v>33</v>
      </c>
      <c r="K152" s="12"/>
      <c r="L152" s="84"/>
      <c r="M152" s="41"/>
      <c r="N152" s="41"/>
    </row>
    <row r="153" spans="1:15" s="7" customFormat="1" ht="22.5" x14ac:dyDescent="0.25">
      <c r="A153" s="6"/>
      <c r="B153" s="24">
        <v>44371</v>
      </c>
      <c r="C153" s="37" t="s">
        <v>79</v>
      </c>
      <c r="D153" s="26"/>
      <c r="E153" s="25"/>
      <c r="F153" s="26"/>
      <c r="G153" s="12">
        <f>34180-2500-4000</f>
        <v>27680</v>
      </c>
      <c r="H153" s="27" t="s">
        <v>407</v>
      </c>
      <c r="I153" s="25"/>
      <c r="J153" s="37" t="s">
        <v>30</v>
      </c>
      <c r="K153" s="12"/>
      <c r="L153" s="84"/>
      <c r="M153" s="41"/>
      <c r="N153" s="41"/>
    </row>
    <row r="154" spans="1:15" s="7" customFormat="1" x14ac:dyDescent="0.25">
      <c r="A154" s="6"/>
      <c r="B154" s="24">
        <v>44371</v>
      </c>
      <c r="C154" s="37" t="s">
        <v>59</v>
      </c>
      <c r="D154" s="26"/>
      <c r="E154" s="25"/>
      <c r="F154" s="26"/>
      <c r="G154" s="12">
        <v>30000</v>
      </c>
      <c r="H154" s="27" t="s">
        <v>373</v>
      </c>
      <c r="I154" s="25" t="s">
        <v>342</v>
      </c>
      <c r="J154" s="37" t="s">
        <v>38</v>
      </c>
      <c r="K154" s="12"/>
      <c r="L154" s="84"/>
      <c r="M154" s="41">
        <v>1426</v>
      </c>
      <c r="N154" s="41">
        <v>841</v>
      </c>
    </row>
    <row r="155" spans="1:15" s="7" customFormat="1" x14ac:dyDescent="0.25">
      <c r="A155" s="6"/>
      <c r="B155" s="24">
        <v>44371</v>
      </c>
      <c r="C155" s="37" t="s">
        <v>59</v>
      </c>
      <c r="D155" s="26">
        <v>94.3</v>
      </c>
      <c r="E155" s="25" t="s">
        <v>28</v>
      </c>
      <c r="F155" s="26">
        <v>275</v>
      </c>
      <c r="G155" s="12">
        <v>24000</v>
      </c>
      <c r="H155" s="27" t="s">
        <v>374</v>
      </c>
      <c r="I155" s="25" t="s">
        <v>375</v>
      </c>
      <c r="J155" s="37" t="s">
        <v>146</v>
      </c>
      <c r="K155" s="12"/>
      <c r="L155" s="84"/>
      <c r="M155" s="41"/>
      <c r="N155" s="41">
        <v>840</v>
      </c>
    </row>
    <row r="156" spans="1:15" s="7" customFormat="1" x14ac:dyDescent="0.25">
      <c r="A156" s="6"/>
      <c r="B156" s="24">
        <v>44371</v>
      </c>
      <c r="C156" s="37" t="s">
        <v>59</v>
      </c>
      <c r="D156" s="26">
        <v>4385</v>
      </c>
      <c r="E156" s="25" t="s">
        <v>28</v>
      </c>
      <c r="F156" s="26">
        <v>92</v>
      </c>
      <c r="G156" s="12">
        <f t="shared" ref="G156:G163" si="7">D156*F156</f>
        <v>403420</v>
      </c>
      <c r="H156" s="27" t="s">
        <v>376</v>
      </c>
      <c r="I156" s="25" t="s">
        <v>340</v>
      </c>
      <c r="J156" s="37" t="s">
        <v>80</v>
      </c>
      <c r="K156" s="12"/>
      <c r="L156" s="84"/>
      <c r="M156" s="41"/>
      <c r="N156" s="41">
        <v>839</v>
      </c>
    </row>
    <row r="157" spans="1:15" s="7" customFormat="1" x14ac:dyDescent="0.25">
      <c r="A157" s="6"/>
      <c r="B157" s="24">
        <v>44371</v>
      </c>
      <c r="C157" s="37" t="s">
        <v>59</v>
      </c>
      <c r="D157" s="26">
        <v>166</v>
      </c>
      <c r="E157" s="25" t="s">
        <v>28</v>
      </c>
      <c r="F157" s="26">
        <v>774</v>
      </c>
      <c r="G157" s="12">
        <f t="shared" si="7"/>
        <v>128484</v>
      </c>
      <c r="H157" s="27" t="s">
        <v>377</v>
      </c>
      <c r="I157" s="25" t="s">
        <v>354</v>
      </c>
      <c r="J157" s="37" t="s">
        <v>32</v>
      </c>
      <c r="K157" s="12"/>
      <c r="L157" s="84"/>
      <c r="M157" s="41" t="s">
        <v>378</v>
      </c>
      <c r="N157" s="41">
        <v>838</v>
      </c>
    </row>
    <row r="158" spans="1:15" s="7" customFormat="1" x14ac:dyDescent="0.25">
      <c r="A158" s="6"/>
      <c r="B158" s="24">
        <v>44371</v>
      </c>
      <c r="C158" s="37" t="s">
        <v>59</v>
      </c>
      <c r="D158" s="26">
        <v>936</v>
      </c>
      <c r="E158" s="25" t="s">
        <v>28</v>
      </c>
      <c r="F158" s="26">
        <v>1400</v>
      </c>
      <c r="G158" s="12">
        <f t="shared" si="7"/>
        <v>1310400</v>
      </c>
      <c r="H158" s="27" t="s">
        <v>326</v>
      </c>
      <c r="I158" s="25" t="s">
        <v>315</v>
      </c>
      <c r="J158" s="37" t="s">
        <v>32</v>
      </c>
      <c r="K158" s="12"/>
      <c r="L158" s="84"/>
      <c r="M158" s="41"/>
      <c r="N158" s="41">
        <v>837</v>
      </c>
      <c r="O158" s="7" t="s">
        <v>578</v>
      </c>
    </row>
    <row r="159" spans="1:15" s="7" customFormat="1" ht="24" x14ac:dyDescent="0.25">
      <c r="A159" s="6"/>
      <c r="B159" s="24">
        <v>44371</v>
      </c>
      <c r="C159" s="37" t="s">
        <v>79</v>
      </c>
      <c r="D159" s="91">
        <v>40695</v>
      </c>
      <c r="E159" s="25" t="s">
        <v>28</v>
      </c>
      <c r="F159" s="26">
        <v>228</v>
      </c>
      <c r="G159" s="12">
        <f t="shared" si="7"/>
        <v>9278460</v>
      </c>
      <c r="H159" s="89" t="s">
        <v>379</v>
      </c>
      <c r="I159" s="25" t="s">
        <v>380</v>
      </c>
      <c r="J159" s="37" t="s">
        <v>20</v>
      </c>
      <c r="K159" s="12"/>
      <c r="L159" s="84"/>
      <c r="M159" s="41"/>
      <c r="N159" s="41">
        <v>836</v>
      </c>
      <c r="O159" s="7" t="s">
        <v>578</v>
      </c>
    </row>
    <row r="160" spans="1:15" s="7" customFormat="1" x14ac:dyDescent="0.25">
      <c r="A160" s="6"/>
      <c r="B160" s="24">
        <v>44371</v>
      </c>
      <c r="C160" s="37" t="s">
        <v>59</v>
      </c>
      <c r="D160" s="26">
        <v>266.60000000000002</v>
      </c>
      <c r="E160" s="25" t="s">
        <v>28</v>
      </c>
      <c r="F160" s="26">
        <v>220</v>
      </c>
      <c r="G160" s="12">
        <f>D160*F160</f>
        <v>58652.000000000007</v>
      </c>
      <c r="H160" s="27" t="s">
        <v>381</v>
      </c>
      <c r="I160" s="25" t="s">
        <v>382</v>
      </c>
      <c r="J160" s="37" t="s">
        <v>35</v>
      </c>
      <c r="K160" s="12"/>
      <c r="L160" s="84"/>
      <c r="M160" s="41">
        <v>1428</v>
      </c>
      <c r="N160" s="41">
        <v>835</v>
      </c>
    </row>
    <row r="161" spans="1:15" s="7" customFormat="1" x14ac:dyDescent="0.25">
      <c r="A161" s="6"/>
      <c r="B161" s="24">
        <v>44371</v>
      </c>
      <c r="C161" s="37" t="s">
        <v>59</v>
      </c>
      <c r="D161" s="26">
        <v>25</v>
      </c>
      <c r="E161" s="25" t="s">
        <v>28</v>
      </c>
      <c r="F161" s="26">
        <v>370</v>
      </c>
      <c r="G161" s="12">
        <f t="shared" si="7"/>
        <v>9250</v>
      </c>
      <c r="H161" s="27" t="s">
        <v>383</v>
      </c>
      <c r="I161" s="25" t="s">
        <v>384</v>
      </c>
      <c r="J161" s="37" t="s">
        <v>146</v>
      </c>
      <c r="K161" s="12"/>
      <c r="L161" s="84"/>
      <c r="M161" s="41"/>
      <c r="N161" s="41">
        <v>834</v>
      </c>
    </row>
    <row r="162" spans="1:15" s="7" customFormat="1" ht="24" x14ac:dyDescent="0.25">
      <c r="A162" s="6"/>
      <c r="B162" s="24">
        <v>44371</v>
      </c>
      <c r="C162" s="37" t="s">
        <v>59</v>
      </c>
      <c r="D162" s="26">
        <v>105.5</v>
      </c>
      <c r="E162" s="25" t="s">
        <v>28</v>
      </c>
      <c r="F162" s="26">
        <v>303</v>
      </c>
      <c r="G162" s="12">
        <f t="shared" si="7"/>
        <v>31966.5</v>
      </c>
      <c r="H162" s="27" t="s">
        <v>385</v>
      </c>
      <c r="I162" s="25" t="s">
        <v>386</v>
      </c>
      <c r="J162" s="37" t="s">
        <v>146</v>
      </c>
      <c r="K162" s="12"/>
      <c r="L162" s="84"/>
      <c r="M162" s="41"/>
      <c r="N162" s="41">
        <v>833</v>
      </c>
    </row>
    <row r="163" spans="1:15" s="7" customFormat="1" ht="24" x14ac:dyDescent="0.25">
      <c r="A163" s="6"/>
      <c r="B163" s="24"/>
      <c r="C163" s="37" t="s">
        <v>59</v>
      </c>
      <c r="D163" s="26">
        <v>14.6</v>
      </c>
      <c r="E163" s="25" t="s">
        <v>28</v>
      </c>
      <c r="F163" s="26">
        <v>400</v>
      </c>
      <c r="G163" s="12">
        <f t="shared" si="7"/>
        <v>5840</v>
      </c>
      <c r="H163" s="27" t="s">
        <v>385</v>
      </c>
      <c r="I163" s="25" t="s">
        <v>386</v>
      </c>
      <c r="J163" s="37" t="s">
        <v>146</v>
      </c>
      <c r="K163" s="12"/>
      <c r="L163" s="84"/>
      <c r="M163" s="41"/>
      <c r="N163" s="41">
        <v>833</v>
      </c>
    </row>
    <row r="164" spans="1:15" s="7" customFormat="1" ht="22.5" x14ac:dyDescent="0.25">
      <c r="A164" s="6"/>
      <c r="B164" s="24">
        <v>44370</v>
      </c>
      <c r="C164" s="37" t="s">
        <v>79</v>
      </c>
      <c r="D164" s="26"/>
      <c r="E164" s="25"/>
      <c r="F164" s="26"/>
      <c r="G164" s="12">
        <v>4350</v>
      </c>
      <c r="H164" s="27" t="s">
        <v>407</v>
      </c>
      <c r="I164" s="25"/>
      <c r="J164" s="37" t="s">
        <v>30</v>
      </c>
      <c r="K164" s="12"/>
      <c r="L164" s="84"/>
      <c r="M164" s="41"/>
      <c r="N164" s="41"/>
    </row>
    <row r="165" spans="1:15" s="7" customFormat="1" ht="22.5" x14ac:dyDescent="0.25">
      <c r="A165" s="6"/>
      <c r="B165" s="24">
        <v>44370</v>
      </c>
      <c r="C165" s="37" t="s">
        <v>79</v>
      </c>
      <c r="D165" s="26"/>
      <c r="E165" s="25"/>
      <c r="F165" s="26"/>
      <c r="G165" s="12">
        <v>1200</v>
      </c>
      <c r="H165" s="27" t="s">
        <v>446</v>
      </c>
      <c r="I165" s="25" t="s">
        <v>432</v>
      </c>
      <c r="J165" s="37" t="s">
        <v>30</v>
      </c>
      <c r="K165" s="12"/>
      <c r="L165" s="84"/>
      <c r="M165" s="41">
        <v>1422</v>
      </c>
      <c r="N165" s="41"/>
    </row>
    <row r="166" spans="1:15" s="7" customFormat="1" x14ac:dyDescent="0.25">
      <c r="A166" s="6"/>
      <c r="B166" s="24">
        <v>44370</v>
      </c>
      <c r="C166" s="37" t="s">
        <v>59</v>
      </c>
      <c r="D166" s="26"/>
      <c r="E166" s="25" t="s">
        <v>28</v>
      </c>
      <c r="F166" s="26"/>
      <c r="G166" s="12">
        <v>310000</v>
      </c>
      <c r="H166" s="27" t="s">
        <v>327</v>
      </c>
      <c r="I166" s="25" t="s">
        <v>260</v>
      </c>
      <c r="J166" s="37" t="s">
        <v>38</v>
      </c>
      <c r="K166" s="12"/>
      <c r="L166" s="84"/>
      <c r="M166" s="41">
        <v>1418</v>
      </c>
      <c r="N166" s="41" t="s">
        <v>387</v>
      </c>
    </row>
    <row r="167" spans="1:15" s="7" customFormat="1" x14ac:dyDescent="0.25">
      <c r="A167" s="6"/>
      <c r="B167" s="24">
        <v>44370</v>
      </c>
      <c r="C167" s="37" t="s">
        <v>59</v>
      </c>
      <c r="D167" s="26">
        <v>953.1</v>
      </c>
      <c r="E167" s="25" t="s">
        <v>28</v>
      </c>
      <c r="F167" s="26">
        <v>1400</v>
      </c>
      <c r="G167" s="12">
        <f t="shared" ref="G167:G212" si="8">D167*F167</f>
        <v>1334340</v>
      </c>
      <c r="H167" s="27" t="s">
        <v>326</v>
      </c>
      <c r="I167" s="25" t="s">
        <v>315</v>
      </c>
      <c r="J167" s="37" t="s">
        <v>32</v>
      </c>
      <c r="K167" s="12"/>
      <c r="L167" s="84"/>
      <c r="M167" s="41"/>
      <c r="N167" s="41">
        <v>831</v>
      </c>
      <c r="O167" s="7" t="s">
        <v>578</v>
      </c>
    </row>
    <row r="168" spans="1:15" s="7" customFormat="1" x14ac:dyDescent="0.25">
      <c r="A168" s="6"/>
      <c r="B168" s="24">
        <v>44370</v>
      </c>
      <c r="C168" s="37" t="s">
        <v>59</v>
      </c>
      <c r="D168" s="26">
        <v>194.3</v>
      </c>
      <c r="E168" s="25" t="s">
        <v>28</v>
      </c>
      <c r="F168" s="26">
        <v>105</v>
      </c>
      <c r="G168" s="12">
        <f t="shared" si="8"/>
        <v>20401.5</v>
      </c>
      <c r="H168" s="27" t="s">
        <v>388</v>
      </c>
      <c r="I168" s="25" t="s">
        <v>389</v>
      </c>
      <c r="J168" s="37" t="s">
        <v>139</v>
      </c>
      <c r="K168" s="12"/>
      <c r="L168" s="84"/>
      <c r="M168" s="41" t="s">
        <v>390</v>
      </c>
      <c r="N168" s="41">
        <v>829</v>
      </c>
    </row>
    <row r="169" spans="1:15" s="7" customFormat="1" x14ac:dyDescent="0.25">
      <c r="A169" s="6"/>
      <c r="B169" s="24">
        <v>44370</v>
      </c>
      <c r="C169" s="37" t="s">
        <v>59</v>
      </c>
      <c r="D169" s="26">
        <v>804</v>
      </c>
      <c r="E169" s="25" t="s">
        <v>28</v>
      </c>
      <c r="F169" s="26">
        <v>292</v>
      </c>
      <c r="G169" s="12">
        <f t="shared" si="8"/>
        <v>234768</v>
      </c>
      <c r="H169" s="27" t="s">
        <v>391</v>
      </c>
      <c r="I169" s="25" t="s">
        <v>330</v>
      </c>
      <c r="J169" s="37" t="s">
        <v>31</v>
      </c>
      <c r="K169" s="12"/>
      <c r="L169" s="84"/>
      <c r="M169" s="41"/>
      <c r="N169" s="41">
        <v>828</v>
      </c>
    </row>
    <row r="170" spans="1:15" s="7" customFormat="1" ht="24" x14ac:dyDescent="0.25">
      <c r="A170" s="6"/>
      <c r="B170" s="24">
        <v>44370</v>
      </c>
      <c r="C170" s="37" t="s">
        <v>59</v>
      </c>
      <c r="D170" s="26">
        <v>142.1</v>
      </c>
      <c r="E170" s="25" t="s">
        <v>28</v>
      </c>
      <c r="F170" s="26">
        <v>140</v>
      </c>
      <c r="G170" s="12">
        <f t="shared" si="8"/>
        <v>19894</v>
      </c>
      <c r="H170" s="27" t="s">
        <v>385</v>
      </c>
      <c r="I170" s="25" t="s">
        <v>386</v>
      </c>
      <c r="J170" s="37" t="s">
        <v>146</v>
      </c>
      <c r="K170" s="12"/>
      <c r="L170" s="84"/>
      <c r="M170" s="41">
        <v>1421</v>
      </c>
      <c r="N170" s="41">
        <v>827</v>
      </c>
    </row>
    <row r="171" spans="1:15" s="7" customFormat="1" ht="24" x14ac:dyDescent="0.25">
      <c r="A171" s="6"/>
      <c r="B171" s="24">
        <v>44370</v>
      </c>
      <c r="C171" s="37" t="s">
        <v>59</v>
      </c>
      <c r="D171" s="26">
        <v>14.9</v>
      </c>
      <c r="E171" s="25" t="s">
        <v>28</v>
      </c>
      <c r="F171" s="26">
        <v>220</v>
      </c>
      <c r="G171" s="12">
        <f t="shared" si="8"/>
        <v>3278</v>
      </c>
      <c r="H171" s="27" t="s">
        <v>385</v>
      </c>
      <c r="I171" s="25" t="s">
        <v>386</v>
      </c>
      <c r="J171" s="37" t="s">
        <v>146</v>
      </c>
      <c r="K171" s="12"/>
      <c r="L171" s="84"/>
      <c r="M171" s="41">
        <v>1421</v>
      </c>
      <c r="N171" s="41">
        <v>826</v>
      </c>
    </row>
    <row r="172" spans="1:15" s="7" customFormat="1" ht="24" x14ac:dyDescent="0.25">
      <c r="A172" s="6"/>
      <c r="B172" s="24">
        <v>44370</v>
      </c>
      <c r="C172" s="37" t="s">
        <v>59</v>
      </c>
      <c r="D172" s="26">
        <v>23.3</v>
      </c>
      <c r="E172" s="25" t="s">
        <v>28</v>
      </c>
      <c r="F172" s="26">
        <v>310</v>
      </c>
      <c r="G172" s="12">
        <f t="shared" si="8"/>
        <v>7223</v>
      </c>
      <c r="H172" s="27" t="s">
        <v>385</v>
      </c>
      <c r="I172" s="25" t="s">
        <v>386</v>
      </c>
      <c r="J172" s="37" t="s">
        <v>146</v>
      </c>
      <c r="K172" s="12"/>
      <c r="L172" s="84"/>
      <c r="M172" s="41">
        <v>1421</v>
      </c>
      <c r="N172" s="41">
        <v>826</v>
      </c>
    </row>
    <row r="173" spans="1:15" s="7" customFormat="1" ht="24" x14ac:dyDescent="0.25">
      <c r="A173" s="6"/>
      <c r="B173" s="24">
        <v>44369</v>
      </c>
      <c r="C173" s="37" t="s">
        <v>79</v>
      </c>
      <c r="D173" s="91">
        <v>24050</v>
      </c>
      <c r="E173" s="25" t="s">
        <v>28</v>
      </c>
      <c r="F173" s="26">
        <v>240</v>
      </c>
      <c r="G173" s="12">
        <f t="shared" si="8"/>
        <v>5772000</v>
      </c>
      <c r="H173" s="89" t="s">
        <v>579</v>
      </c>
      <c r="I173" s="25" t="s">
        <v>365</v>
      </c>
      <c r="J173" s="37" t="s">
        <v>20</v>
      </c>
      <c r="K173" s="12"/>
      <c r="L173" s="84"/>
      <c r="M173" s="41"/>
      <c r="N173" s="41">
        <v>728</v>
      </c>
      <c r="O173" s="7" t="s">
        <v>578</v>
      </c>
    </row>
    <row r="174" spans="1:15" s="7" customFormat="1" ht="24" x14ac:dyDescent="0.25">
      <c r="A174" s="6"/>
      <c r="B174" s="24">
        <v>44369</v>
      </c>
      <c r="C174" s="37" t="s">
        <v>79</v>
      </c>
      <c r="D174" s="91">
        <v>49550</v>
      </c>
      <c r="E174" s="25" t="s">
        <v>28</v>
      </c>
      <c r="F174" s="26">
        <v>240</v>
      </c>
      <c r="G174" s="12">
        <f t="shared" si="8"/>
        <v>11892000</v>
      </c>
      <c r="H174" s="89" t="s">
        <v>580</v>
      </c>
      <c r="I174" s="25" t="s">
        <v>365</v>
      </c>
      <c r="J174" s="37" t="s">
        <v>20</v>
      </c>
      <c r="K174" s="12"/>
      <c r="L174" s="84"/>
      <c r="M174" s="41"/>
      <c r="N174" s="41">
        <v>728</v>
      </c>
      <c r="O174" s="7" t="s">
        <v>578</v>
      </c>
    </row>
    <row r="175" spans="1:15" s="7" customFormat="1" ht="24" x14ac:dyDescent="0.25">
      <c r="A175" s="6"/>
      <c r="B175" s="24">
        <v>44369</v>
      </c>
      <c r="C175" s="37" t="s">
        <v>79</v>
      </c>
      <c r="D175" s="91">
        <v>76945</v>
      </c>
      <c r="E175" s="25" t="s">
        <v>28</v>
      </c>
      <c r="F175" s="26">
        <v>240</v>
      </c>
      <c r="G175" s="12">
        <f t="shared" si="8"/>
        <v>18466800</v>
      </c>
      <c r="H175" s="89" t="s">
        <v>581</v>
      </c>
      <c r="I175" s="25" t="s">
        <v>365</v>
      </c>
      <c r="J175" s="37" t="s">
        <v>20</v>
      </c>
      <c r="K175" s="12"/>
      <c r="L175" s="84"/>
      <c r="M175" s="41"/>
      <c r="N175" s="41">
        <v>728</v>
      </c>
      <c r="O175" s="7" t="s">
        <v>578</v>
      </c>
    </row>
    <row r="176" spans="1:15" s="7" customFormat="1" x14ac:dyDescent="0.25">
      <c r="A176" s="6"/>
      <c r="B176" s="24">
        <v>44369</v>
      </c>
      <c r="C176" s="37" t="s">
        <v>79</v>
      </c>
      <c r="D176" s="26"/>
      <c r="E176" s="25"/>
      <c r="F176" s="26"/>
      <c r="G176" s="12">
        <v>2000</v>
      </c>
      <c r="H176" s="27" t="s">
        <v>447</v>
      </c>
      <c r="I176" s="25" t="s">
        <v>448</v>
      </c>
      <c r="J176" s="37" t="s">
        <v>228</v>
      </c>
      <c r="K176" s="12"/>
      <c r="L176" s="84"/>
      <c r="M176" s="41">
        <v>1413</v>
      </c>
      <c r="N176" s="41"/>
    </row>
    <row r="177" spans="1:15" s="7" customFormat="1" x14ac:dyDescent="0.25">
      <c r="A177" s="6"/>
      <c r="B177" s="24">
        <v>44369</v>
      </c>
      <c r="C177" s="37" t="s">
        <v>79</v>
      </c>
      <c r="D177" s="26"/>
      <c r="E177" s="25"/>
      <c r="F177" s="26"/>
      <c r="G177" s="12">
        <v>16000</v>
      </c>
      <c r="H177" s="27" t="s">
        <v>433</v>
      </c>
      <c r="I177" s="25" t="s">
        <v>449</v>
      </c>
      <c r="J177" s="37" t="s">
        <v>228</v>
      </c>
      <c r="K177" s="12"/>
      <c r="L177" s="84"/>
      <c r="M177" s="41">
        <v>1416</v>
      </c>
      <c r="N177" s="41"/>
    </row>
    <row r="178" spans="1:15" s="7" customFormat="1" x14ac:dyDescent="0.25">
      <c r="A178" s="6"/>
      <c r="B178" s="24">
        <v>44369</v>
      </c>
      <c r="C178" s="37" t="s">
        <v>59</v>
      </c>
      <c r="D178" s="26">
        <v>70</v>
      </c>
      <c r="E178" s="25" t="s">
        <v>28</v>
      </c>
      <c r="F178" s="26">
        <v>242</v>
      </c>
      <c r="G178" s="12">
        <f t="shared" si="8"/>
        <v>16940</v>
      </c>
      <c r="H178" s="27" t="s">
        <v>505</v>
      </c>
      <c r="I178" s="25" t="s">
        <v>361</v>
      </c>
      <c r="J178" s="37" t="s">
        <v>37</v>
      </c>
      <c r="K178" s="12"/>
      <c r="L178" s="84"/>
      <c r="M178" s="41">
        <v>1415</v>
      </c>
      <c r="N178" s="41">
        <v>825</v>
      </c>
    </row>
    <row r="179" spans="1:15" s="7" customFormat="1" x14ac:dyDescent="0.25">
      <c r="A179" s="6"/>
      <c r="B179" s="24"/>
      <c r="C179" s="37" t="s">
        <v>59</v>
      </c>
      <c r="D179" s="26">
        <v>1.3</v>
      </c>
      <c r="E179" s="25" t="s">
        <v>28</v>
      </c>
      <c r="F179" s="26">
        <v>100</v>
      </c>
      <c r="G179" s="12">
        <f t="shared" si="8"/>
        <v>130</v>
      </c>
      <c r="H179" s="27" t="s">
        <v>505</v>
      </c>
      <c r="I179" s="25" t="s">
        <v>361</v>
      </c>
      <c r="J179" s="37" t="s">
        <v>37</v>
      </c>
      <c r="K179" s="12"/>
      <c r="L179" s="84"/>
      <c r="M179" s="41">
        <v>1415</v>
      </c>
      <c r="N179" s="41">
        <v>825</v>
      </c>
    </row>
    <row r="180" spans="1:15" s="7" customFormat="1" x14ac:dyDescent="0.25">
      <c r="A180" s="6"/>
      <c r="B180" s="24">
        <v>44369</v>
      </c>
      <c r="C180" s="37" t="s">
        <v>59</v>
      </c>
      <c r="D180" s="26">
        <v>45.6</v>
      </c>
      <c r="E180" s="25" t="s">
        <v>28</v>
      </c>
      <c r="F180" s="26">
        <v>280</v>
      </c>
      <c r="G180" s="12">
        <f t="shared" si="8"/>
        <v>12768</v>
      </c>
      <c r="H180" s="27" t="s">
        <v>358</v>
      </c>
      <c r="I180" s="25" t="s">
        <v>359</v>
      </c>
      <c r="J180" s="37" t="s">
        <v>146</v>
      </c>
      <c r="K180" s="12"/>
      <c r="L180" s="84"/>
      <c r="M180" s="41">
        <v>1410</v>
      </c>
      <c r="N180" s="41">
        <v>824</v>
      </c>
    </row>
    <row r="181" spans="1:15" s="7" customFormat="1" x14ac:dyDescent="0.25">
      <c r="A181" s="6"/>
      <c r="B181" s="24">
        <v>44369</v>
      </c>
      <c r="C181" s="37" t="s">
        <v>59</v>
      </c>
      <c r="D181" s="26">
        <v>24.6</v>
      </c>
      <c r="E181" s="25" t="s">
        <v>28</v>
      </c>
      <c r="F181" s="26">
        <v>350</v>
      </c>
      <c r="G181" s="12">
        <f t="shared" si="8"/>
        <v>8610</v>
      </c>
      <c r="H181" s="27" t="s">
        <v>392</v>
      </c>
      <c r="I181" s="25" t="s">
        <v>393</v>
      </c>
      <c r="J181" s="37" t="s">
        <v>146</v>
      </c>
      <c r="K181" s="12"/>
      <c r="L181" s="84"/>
      <c r="M181" s="41">
        <v>1411</v>
      </c>
      <c r="N181" s="41">
        <v>823</v>
      </c>
    </row>
    <row r="182" spans="1:15" s="7" customFormat="1" x14ac:dyDescent="0.25">
      <c r="A182" s="6"/>
      <c r="B182" s="24">
        <v>44369</v>
      </c>
      <c r="C182" s="37" t="s">
        <v>59</v>
      </c>
      <c r="D182" s="26">
        <v>1064.0999999999999</v>
      </c>
      <c r="E182" s="25" t="s">
        <v>28</v>
      </c>
      <c r="F182" s="26">
        <v>250</v>
      </c>
      <c r="G182" s="12">
        <f t="shared" si="8"/>
        <v>266025</v>
      </c>
      <c r="H182" s="27" t="s">
        <v>394</v>
      </c>
      <c r="I182" s="25" t="s">
        <v>395</v>
      </c>
      <c r="J182" s="37" t="s">
        <v>146</v>
      </c>
      <c r="K182" s="12"/>
      <c r="L182" s="84"/>
      <c r="M182" s="41">
        <v>1408</v>
      </c>
      <c r="N182" s="41">
        <v>821</v>
      </c>
    </row>
    <row r="183" spans="1:15" s="7" customFormat="1" x14ac:dyDescent="0.25">
      <c r="A183" s="6"/>
      <c r="B183" s="24">
        <v>44369</v>
      </c>
      <c r="C183" s="37" t="s">
        <v>59</v>
      </c>
      <c r="D183" s="26">
        <v>18</v>
      </c>
      <c r="E183" s="25" t="s">
        <v>28</v>
      </c>
      <c r="F183" s="26">
        <v>340</v>
      </c>
      <c r="G183" s="12">
        <f t="shared" si="8"/>
        <v>6120</v>
      </c>
      <c r="H183" s="27" t="s">
        <v>394</v>
      </c>
      <c r="I183" s="25" t="s">
        <v>395</v>
      </c>
      <c r="J183" s="37" t="s">
        <v>146</v>
      </c>
      <c r="K183" s="12"/>
      <c r="L183" s="84"/>
      <c r="M183" s="41">
        <v>1408</v>
      </c>
      <c r="N183" s="41">
        <v>821</v>
      </c>
    </row>
    <row r="184" spans="1:15" s="7" customFormat="1" x14ac:dyDescent="0.25">
      <c r="A184" s="6"/>
      <c r="B184" s="24">
        <v>44369</v>
      </c>
      <c r="C184" s="37" t="s">
        <v>59</v>
      </c>
      <c r="D184" s="26">
        <v>15.9</v>
      </c>
      <c r="E184" s="25" t="s">
        <v>28</v>
      </c>
      <c r="F184" s="26">
        <v>125</v>
      </c>
      <c r="G184" s="12">
        <f t="shared" si="8"/>
        <v>1987.5</v>
      </c>
      <c r="H184" s="27" t="s">
        <v>394</v>
      </c>
      <c r="I184" s="25" t="s">
        <v>395</v>
      </c>
      <c r="J184" s="37" t="s">
        <v>146</v>
      </c>
      <c r="K184" s="12"/>
      <c r="L184" s="84"/>
      <c r="M184" s="41">
        <v>1408</v>
      </c>
      <c r="N184" s="41">
        <v>821</v>
      </c>
    </row>
    <row r="185" spans="1:15" s="7" customFormat="1" ht="22.5" x14ac:dyDescent="0.25">
      <c r="A185" s="6"/>
      <c r="B185" s="24">
        <v>44368</v>
      </c>
      <c r="C185" s="37" t="s">
        <v>79</v>
      </c>
      <c r="D185" s="26"/>
      <c r="E185" s="25"/>
      <c r="F185" s="26"/>
      <c r="G185" s="12">
        <v>19230</v>
      </c>
      <c r="H185" s="27" t="s">
        <v>407</v>
      </c>
      <c r="I185" s="25"/>
      <c r="J185" s="37" t="s">
        <v>30</v>
      </c>
      <c r="K185" s="12"/>
      <c r="L185" s="84"/>
      <c r="M185" s="41"/>
      <c r="N185" s="41"/>
    </row>
    <row r="186" spans="1:15" s="7" customFormat="1" x14ac:dyDescent="0.25">
      <c r="A186" s="6"/>
      <c r="B186" s="24">
        <v>44368</v>
      </c>
      <c r="C186" s="37" t="s">
        <v>79</v>
      </c>
      <c r="D186" s="26"/>
      <c r="E186" s="25"/>
      <c r="F186" s="26"/>
      <c r="G186" s="12">
        <v>1000</v>
      </c>
      <c r="H186" s="27" t="s">
        <v>450</v>
      </c>
      <c r="I186" s="25" t="s">
        <v>456</v>
      </c>
      <c r="J186" s="37" t="s">
        <v>228</v>
      </c>
      <c r="K186" s="12"/>
      <c r="L186" s="84"/>
      <c r="M186" s="41">
        <v>1404</v>
      </c>
      <c r="N186" s="41"/>
    </row>
    <row r="187" spans="1:15" s="7" customFormat="1" x14ac:dyDescent="0.25">
      <c r="A187" s="6"/>
      <c r="B187" s="24">
        <v>44368</v>
      </c>
      <c r="C187" s="37" t="s">
        <v>79</v>
      </c>
      <c r="D187" s="26"/>
      <c r="E187" s="25"/>
      <c r="F187" s="26"/>
      <c r="G187" s="12">
        <v>25000</v>
      </c>
      <c r="H187" s="27" t="s">
        <v>425</v>
      </c>
      <c r="I187" s="25" t="s">
        <v>409</v>
      </c>
      <c r="J187" s="37" t="s">
        <v>437</v>
      </c>
      <c r="K187" s="12"/>
      <c r="L187" s="84"/>
      <c r="M187" s="41">
        <v>1405</v>
      </c>
      <c r="N187" s="41"/>
    </row>
    <row r="188" spans="1:15" s="7" customFormat="1" x14ac:dyDescent="0.25">
      <c r="A188" s="6"/>
      <c r="B188" s="24">
        <v>44368</v>
      </c>
      <c r="C188" s="37" t="s">
        <v>59</v>
      </c>
      <c r="D188" s="26">
        <v>912.3</v>
      </c>
      <c r="E188" s="25" t="s">
        <v>28</v>
      </c>
      <c r="F188" s="26">
        <v>1400</v>
      </c>
      <c r="G188" s="12">
        <f t="shared" si="8"/>
        <v>1277220</v>
      </c>
      <c r="H188" s="27" t="s">
        <v>326</v>
      </c>
      <c r="I188" s="25" t="s">
        <v>315</v>
      </c>
      <c r="J188" s="37" t="s">
        <v>32</v>
      </c>
      <c r="K188" s="12"/>
      <c r="L188" s="84"/>
      <c r="M188" s="41"/>
      <c r="N188" s="41">
        <v>820</v>
      </c>
      <c r="O188" s="7" t="s">
        <v>578</v>
      </c>
    </row>
    <row r="189" spans="1:15" s="7" customFormat="1" x14ac:dyDescent="0.25">
      <c r="A189" s="6"/>
      <c r="B189" s="24">
        <v>44368</v>
      </c>
      <c r="C189" s="37" t="s">
        <v>59</v>
      </c>
      <c r="D189" s="26">
        <v>426</v>
      </c>
      <c r="E189" s="25" t="s">
        <v>28</v>
      </c>
      <c r="F189" s="26">
        <v>290</v>
      </c>
      <c r="G189" s="12">
        <f t="shared" si="8"/>
        <v>123540</v>
      </c>
      <c r="H189" s="27" t="s">
        <v>391</v>
      </c>
      <c r="I189" s="25" t="s">
        <v>330</v>
      </c>
      <c r="J189" s="37" t="s">
        <v>31</v>
      </c>
      <c r="K189" s="12"/>
      <c r="L189" s="84"/>
      <c r="M189" s="41"/>
      <c r="N189" s="41">
        <v>819</v>
      </c>
      <c r="O189" s="7" t="s">
        <v>459</v>
      </c>
    </row>
    <row r="190" spans="1:15" s="7" customFormat="1" x14ac:dyDescent="0.25">
      <c r="A190" s="6"/>
      <c r="B190" s="24">
        <v>44368</v>
      </c>
      <c r="C190" s="37" t="s">
        <v>59</v>
      </c>
      <c r="D190" s="26">
        <v>2285</v>
      </c>
      <c r="E190" s="25" t="s">
        <v>28</v>
      </c>
      <c r="F190" s="26">
        <v>91.5</v>
      </c>
      <c r="G190" s="12">
        <f t="shared" si="8"/>
        <v>209077.5</v>
      </c>
      <c r="H190" s="27" t="s">
        <v>396</v>
      </c>
      <c r="I190" s="25" t="s">
        <v>397</v>
      </c>
      <c r="J190" s="37" t="s">
        <v>80</v>
      </c>
      <c r="K190" s="12"/>
      <c r="L190" s="84"/>
      <c r="M190" s="41">
        <v>1401</v>
      </c>
      <c r="N190" s="41">
        <v>817</v>
      </c>
      <c r="O190" s="7" t="s">
        <v>459</v>
      </c>
    </row>
    <row r="191" spans="1:15" s="7" customFormat="1" x14ac:dyDescent="0.25">
      <c r="A191" s="6"/>
      <c r="B191" s="24">
        <v>44368</v>
      </c>
      <c r="C191" s="37" t="s">
        <v>59</v>
      </c>
      <c r="D191" s="26">
        <v>8.1999999999999993</v>
      </c>
      <c r="E191" s="25" t="s">
        <v>28</v>
      </c>
      <c r="F191" s="26">
        <v>330</v>
      </c>
      <c r="G191" s="12">
        <f t="shared" si="8"/>
        <v>2705.9999999999995</v>
      </c>
      <c r="H191" s="27" t="s">
        <v>374</v>
      </c>
      <c r="I191" s="25" t="s">
        <v>375</v>
      </c>
      <c r="J191" s="37" t="s">
        <v>146</v>
      </c>
      <c r="K191" s="12"/>
      <c r="L191" s="84"/>
      <c r="M191" s="41"/>
      <c r="N191" s="41">
        <v>816</v>
      </c>
      <c r="O191" s="7" t="s">
        <v>459</v>
      </c>
    </row>
    <row r="192" spans="1:15" s="7" customFormat="1" ht="22.5" x14ac:dyDescent="0.25">
      <c r="A192" s="6"/>
      <c r="B192" s="24">
        <v>44367</v>
      </c>
      <c r="C192" s="37" t="s">
        <v>79</v>
      </c>
      <c r="D192" s="26"/>
      <c r="E192" s="25"/>
      <c r="F192" s="26"/>
      <c r="G192" s="12">
        <v>8650</v>
      </c>
      <c r="H192" s="27" t="s">
        <v>407</v>
      </c>
      <c r="I192" s="25"/>
      <c r="J192" s="37" t="s">
        <v>30</v>
      </c>
      <c r="K192" s="12"/>
      <c r="L192" s="84"/>
      <c r="M192" s="41"/>
      <c r="N192" s="41"/>
      <c r="O192" s="7" t="s">
        <v>459</v>
      </c>
    </row>
    <row r="193" spans="1:15" s="7" customFormat="1" x14ac:dyDescent="0.25">
      <c r="A193" s="6"/>
      <c r="B193" s="24">
        <v>44367</v>
      </c>
      <c r="C193" s="37" t="s">
        <v>59</v>
      </c>
      <c r="D193" s="26">
        <v>582</v>
      </c>
      <c r="E193" s="25" t="s">
        <v>28</v>
      </c>
      <c r="F193" s="26">
        <v>290</v>
      </c>
      <c r="G193" s="12">
        <f t="shared" si="8"/>
        <v>168780</v>
      </c>
      <c r="H193" s="27" t="s">
        <v>391</v>
      </c>
      <c r="I193" s="25" t="s">
        <v>330</v>
      </c>
      <c r="J193" s="37" t="s">
        <v>31</v>
      </c>
      <c r="K193" s="12"/>
      <c r="L193" s="84"/>
      <c r="M193" s="41"/>
      <c r="N193" s="41">
        <v>815</v>
      </c>
      <c r="O193" s="7" t="s">
        <v>459</v>
      </c>
    </row>
    <row r="194" spans="1:15" s="7" customFormat="1" x14ac:dyDescent="0.25">
      <c r="A194" s="6"/>
      <c r="B194" s="24">
        <v>44367</v>
      </c>
      <c r="C194" s="37" t="s">
        <v>59</v>
      </c>
      <c r="D194" s="26">
        <v>3405</v>
      </c>
      <c r="E194" s="25" t="s">
        <v>28</v>
      </c>
      <c r="F194" s="26">
        <v>99.5</v>
      </c>
      <c r="G194" s="12">
        <f t="shared" si="8"/>
        <v>338797.5</v>
      </c>
      <c r="H194" s="27" t="s">
        <v>398</v>
      </c>
      <c r="I194" s="25" t="s">
        <v>504</v>
      </c>
      <c r="J194" s="37" t="s">
        <v>139</v>
      </c>
      <c r="K194" s="12"/>
      <c r="L194" s="84"/>
      <c r="M194" s="41"/>
      <c r="N194" s="41">
        <v>814</v>
      </c>
      <c r="O194" s="7" t="s">
        <v>459</v>
      </c>
    </row>
    <row r="195" spans="1:15" s="7" customFormat="1" x14ac:dyDescent="0.25">
      <c r="A195" s="6"/>
      <c r="B195" s="24">
        <v>44366</v>
      </c>
      <c r="C195" s="37" t="s">
        <v>79</v>
      </c>
      <c r="D195" s="26"/>
      <c r="E195" s="25"/>
      <c r="F195" s="26"/>
      <c r="G195" s="12">
        <f>1000+540+2180+500</f>
        <v>4220</v>
      </c>
      <c r="H195" s="27" t="s">
        <v>407</v>
      </c>
      <c r="I195" s="25"/>
      <c r="J195" s="37"/>
      <c r="K195" s="12"/>
      <c r="L195" s="84"/>
      <c r="M195" s="41"/>
      <c r="N195" s="41"/>
      <c r="O195" s="7" t="s">
        <v>459</v>
      </c>
    </row>
    <row r="196" spans="1:15" s="7" customFormat="1" x14ac:dyDescent="0.25">
      <c r="A196" s="6"/>
      <c r="B196" s="24">
        <v>44366</v>
      </c>
      <c r="C196" s="37" t="s">
        <v>59</v>
      </c>
      <c r="D196" s="26">
        <v>283.39999999999998</v>
      </c>
      <c r="E196" s="25" t="s">
        <v>28</v>
      </c>
      <c r="F196" s="26">
        <v>1400</v>
      </c>
      <c r="G196" s="12">
        <f t="shared" si="8"/>
        <v>396759.99999999994</v>
      </c>
      <c r="H196" s="27" t="s">
        <v>326</v>
      </c>
      <c r="I196" s="25" t="s">
        <v>315</v>
      </c>
      <c r="J196" s="37" t="s">
        <v>32</v>
      </c>
      <c r="K196" s="12"/>
      <c r="L196" s="84"/>
      <c r="M196" s="41"/>
      <c r="N196" s="41">
        <v>812</v>
      </c>
      <c r="O196" s="7" t="s">
        <v>578</v>
      </c>
    </row>
    <row r="197" spans="1:15" s="7" customFormat="1" x14ac:dyDescent="0.25">
      <c r="A197" s="6"/>
      <c r="B197" s="24">
        <v>44366</v>
      </c>
      <c r="C197" s="37" t="s">
        <v>59</v>
      </c>
      <c r="D197" s="85">
        <v>546</v>
      </c>
      <c r="E197" s="25" t="s">
        <v>28</v>
      </c>
      <c r="F197" s="26">
        <v>1425</v>
      </c>
      <c r="G197" s="12">
        <f t="shared" si="8"/>
        <v>778050</v>
      </c>
      <c r="H197" s="27" t="s">
        <v>401</v>
      </c>
      <c r="I197" s="25" t="s">
        <v>402</v>
      </c>
      <c r="J197" s="37" t="s">
        <v>32</v>
      </c>
      <c r="K197" s="12"/>
      <c r="L197" s="84"/>
      <c r="M197" s="41"/>
      <c r="N197" s="41">
        <v>811</v>
      </c>
      <c r="O197" s="7" t="s">
        <v>578</v>
      </c>
    </row>
    <row r="198" spans="1:15" s="7" customFormat="1" ht="22.5" x14ac:dyDescent="0.25">
      <c r="A198" s="6"/>
      <c r="B198" s="24">
        <v>44366</v>
      </c>
      <c r="C198" s="37" t="s">
        <v>79</v>
      </c>
      <c r="D198" s="85"/>
      <c r="E198" s="25"/>
      <c r="F198" s="26"/>
      <c r="G198" s="12">
        <v>14350</v>
      </c>
      <c r="H198" s="27" t="s">
        <v>271</v>
      </c>
      <c r="I198" s="25" t="s">
        <v>147</v>
      </c>
      <c r="J198" s="37" t="s">
        <v>29</v>
      </c>
      <c r="K198" s="12"/>
      <c r="L198" s="88"/>
      <c r="M198" s="41"/>
      <c r="N198" s="41"/>
    </row>
    <row r="199" spans="1:15" s="7" customFormat="1" x14ac:dyDescent="0.25">
      <c r="A199" s="6"/>
      <c r="B199" s="24">
        <v>44364</v>
      </c>
      <c r="C199" s="37" t="s">
        <v>79</v>
      </c>
      <c r="D199" s="85"/>
      <c r="E199" s="25"/>
      <c r="F199" s="26"/>
      <c r="G199" s="12">
        <f>600+600+2400</f>
        <v>3600</v>
      </c>
      <c r="H199" s="27" t="s">
        <v>479</v>
      </c>
      <c r="I199" s="25" t="s">
        <v>147</v>
      </c>
      <c r="J199" s="37" t="s">
        <v>147</v>
      </c>
      <c r="K199" s="12"/>
      <c r="L199" s="84"/>
      <c r="M199" s="41"/>
      <c r="N199" s="41"/>
    </row>
    <row r="200" spans="1:15" s="7" customFormat="1" x14ac:dyDescent="0.25">
      <c r="A200" s="6"/>
      <c r="B200" s="24">
        <v>44364</v>
      </c>
      <c r="C200" s="37" t="s">
        <v>79</v>
      </c>
      <c r="D200" s="26"/>
      <c r="E200" s="25"/>
      <c r="F200" s="26"/>
      <c r="G200" s="12">
        <v>2000</v>
      </c>
      <c r="H200" s="27" t="s">
        <v>451</v>
      </c>
      <c r="I200" s="25" t="s">
        <v>452</v>
      </c>
      <c r="J200" s="37" t="s">
        <v>437</v>
      </c>
      <c r="K200" s="12"/>
      <c r="L200" s="84"/>
      <c r="M200" s="41">
        <v>1641</v>
      </c>
      <c r="N200" s="41"/>
      <c r="O200" s="7" t="s">
        <v>459</v>
      </c>
    </row>
    <row r="201" spans="1:15" s="7" customFormat="1" x14ac:dyDescent="0.25">
      <c r="A201" s="6"/>
      <c r="B201" s="24">
        <v>44364</v>
      </c>
      <c r="C201" s="37" t="s">
        <v>79</v>
      </c>
      <c r="D201" s="26"/>
      <c r="E201" s="25"/>
      <c r="F201" s="26"/>
      <c r="G201" s="12">
        <v>284600</v>
      </c>
      <c r="H201" s="27" t="s">
        <v>454</v>
      </c>
      <c r="I201" s="25" t="s">
        <v>453</v>
      </c>
      <c r="J201" s="37" t="s">
        <v>437</v>
      </c>
      <c r="K201" s="12"/>
      <c r="L201" s="84"/>
      <c r="M201" s="41">
        <v>1642</v>
      </c>
      <c r="N201" s="41"/>
      <c r="O201" s="7" t="s">
        <v>459</v>
      </c>
    </row>
    <row r="202" spans="1:15" s="7" customFormat="1" x14ac:dyDescent="0.25">
      <c r="A202" s="6"/>
      <c r="B202" s="24">
        <v>44364</v>
      </c>
      <c r="C202" s="37" t="s">
        <v>79</v>
      </c>
      <c r="D202" s="26"/>
      <c r="E202" s="25"/>
      <c r="F202" s="26"/>
      <c r="G202" s="12">
        <v>10500</v>
      </c>
      <c r="H202" s="27" t="s">
        <v>455</v>
      </c>
      <c r="I202" s="25" t="s">
        <v>456</v>
      </c>
      <c r="J202" s="37" t="s">
        <v>228</v>
      </c>
      <c r="K202" s="12"/>
      <c r="L202" s="84"/>
      <c r="M202" s="41">
        <v>1644</v>
      </c>
      <c r="N202" s="41"/>
      <c r="O202" s="7" t="s">
        <v>459</v>
      </c>
    </row>
    <row r="203" spans="1:15" s="7" customFormat="1" x14ac:dyDescent="0.25">
      <c r="A203" s="6"/>
      <c r="B203" s="24">
        <v>44364</v>
      </c>
      <c r="C203" s="37" t="s">
        <v>79</v>
      </c>
      <c r="D203" s="26"/>
      <c r="E203" s="25"/>
      <c r="F203" s="26"/>
      <c r="G203" s="12">
        <v>2525</v>
      </c>
      <c r="H203" s="27" t="s">
        <v>457</v>
      </c>
      <c r="I203" s="25" t="s">
        <v>458</v>
      </c>
      <c r="J203" s="37" t="s">
        <v>228</v>
      </c>
      <c r="K203" s="12"/>
      <c r="L203" s="84"/>
      <c r="M203" s="41">
        <v>1647</v>
      </c>
      <c r="N203" s="41"/>
      <c r="O203" s="7" t="s">
        <v>459</v>
      </c>
    </row>
    <row r="204" spans="1:15" s="7" customFormat="1" x14ac:dyDescent="0.25">
      <c r="A204" s="6"/>
      <c r="B204" s="24">
        <v>44364</v>
      </c>
      <c r="C204" s="37" t="s">
        <v>59</v>
      </c>
      <c r="D204" s="26">
        <v>178.1</v>
      </c>
      <c r="E204" s="25" t="s">
        <v>28</v>
      </c>
      <c r="F204" s="26">
        <v>265</v>
      </c>
      <c r="G204" s="12">
        <f t="shared" si="8"/>
        <v>47196.5</v>
      </c>
      <c r="H204" s="27" t="s">
        <v>399</v>
      </c>
      <c r="I204" s="25" t="s">
        <v>400</v>
      </c>
      <c r="J204" s="37" t="s">
        <v>146</v>
      </c>
      <c r="K204" s="12"/>
      <c r="L204" s="84"/>
      <c r="M204" s="41"/>
      <c r="N204" s="41">
        <v>813</v>
      </c>
      <c r="O204" s="7" t="s">
        <v>459</v>
      </c>
    </row>
    <row r="205" spans="1:15" s="7" customFormat="1" x14ac:dyDescent="0.25">
      <c r="A205" s="6"/>
      <c r="B205" s="24">
        <v>44364</v>
      </c>
      <c r="C205" s="37" t="s">
        <v>59</v>
      </c>
      <c r="D205" s="26">
        <v>191.9</v>
      </c>
      <c r="E205" s="25" t="s">
        <v>28</v>
      </c>
      <c r="F205" s="26">
        <v>340</v>
      </c>
      <c r="G205" s="12">
        <f t="shared" si="8"/>
        <v>65246</v>
      </c>
      <c r="H205" s="27" t="s">
        <v>358</v>
      </c>
      <c r="I205" s="25" t="s">
        <v>359</v>
      </c>
      <c r="J205" s="37" t="s">
        <v>146</v>
      </c>
      <c r="K205" s="12"/>
      <c r="L205" s="84"/>
      <c r="M205" s="41" t="s">
        <v>503</v>
      </c>
      <c r="N205" s="41">
        <v>810</v>
      </c>
      <c r="O205" s="7" t="s">
        <v>459</v>
      </c>
    </row>
    <row r="206" spans="1:15" s="7" customFormat="1" x14ac:dyDescent="0.25">
      <c r="A206" s="6"/>
      <c r="B206" s="24">
        <v>44364</v>
      </c>
      <c r="C206" s="37" t="s">
        <v>59</v>
      </c>
      <c r="D206" s="85">
        <v>1025.5999999999999</v>
      </c>
      <c r="E206" s="25" t="s">
        <v>28</v>
      </c>
      <c r="F206" s="26">
        <v>1425</v>
      </c>
      <c r="G206" s="12">
        <f t="shared" si="8"/>
        <v>1461479.9999999998</v>
      </c>
      <c r="H206" s="27" t="s">
        <v>401</v>
      </c>
      <c r="I206" s="25" t="s">
        <v>402</v>
      </c>
      <c r="J206" s="37" t="s">
        <v>32</v>
      </c>
      <c r="K206" s="12"/>
      <c r="L206" s="84"/>
      <c r="M206" s="41"/>
      <c r="N206" s="41">
        <v>807</v>
      </c>
      <c r="O206" s="7" t="s">
        <v>578</v>
      </c>
    </row>
    <row r="207" spans="1:15" s="7" customFormat="1" x14ac:dyDescent="0.25">
      <c r="A207" s="6"/>
      <c r="B207" s="24">
        <v>44364</v>
      </c>
      <c r="C207" s="37" t="s">
        <v>59</v>
      </c>
      <c r="D207" s="26"/>
      <c r="E207" s="25" t="s">
        <v>28</v>
      </c>
      <c r="F207" s="26"/>
      <c r="G207" s="12">
        <v>3900</v>
      </c>
      <c r="H207" s="27" t="s">
        <v>502</v>
      </c>
      <c r="I207" s="25"/>
      <c r="J207" s="37" t="s">
        <v>146</v>
      </c>
      <c r="K207" s="12"/>
      <c r="L207" s="84"/>
      <c r="M207" s="41"/>
      <c r="N207" s="41">
        <v>806</v>
      </c>
      <c r="O207" s="7" t="s">
        <v>459</v>
      </c>
    </row>
    <row r="208" spans="1:15" s="7" customFormat="1" x14ac:dyDescent="0.25">
      <c r="A208" s="6"/>
      <c r="B208" s="24">
        <v>44364</v>
      </c>
      <c r="C208" s="37" t="s">
        <v>59</v>
      </c>
      <c r="D208" s="26"/>
      <c r="E208" s="25"/>
      <c r="F208" s="26"/>
      <c r="G208" s="12">
        <v>5000</v>
      </c>
      <c r="H208" s="27" t="s">
        <v>500</v>
      </c>
      <c r="I208" s="25" t="s">
        <v>501</v>
      </c>
      <c r="J208" s="37" t="s">
        <v>38</v>
      </c>
      <c r="K208" s="12"/>
      <c r="L208" s="84"/>
      <c r="M208" s="41"/>
      <c r="N208" s="41">
        <v>805</v>
      </c>
    </row>
    <row r="209" spans="1:15" s="7" customFormat="1" x14ac:dyDescent="0.25">
      <c r="A209" s="6"/>
      <c r="B209" s="24">
        <v>44364</v>
      </c>
      <c r="C209" s="37" t="s">
        <v>59</v>
      </c>
      <c r="D209" s="26">
        <v>560.70000000000005</v>
      </c>
      <c r="E209" s="25" t="s">
        <v>28</v>
      </c>
      <c r="F209" s="26">
        <v>105</v>
      </c>
      <c r="G209" s="12">
        <f t="shared" si="8"/>
        <v>58873.500000000007</v>
      </c>
      <c r="H209" s="27" t="s">
        <v>499</v>
      </c>
      <c r="I209" s="25" t="s">
        <v>389</v>
      </c>
      <c r="J209" s="37" t="s">
        <v>139</v>
      </c>
      <c r="K209" s="12"/>
      <c r="L209" s="84"/>
      <c r="M209" s="41">
        <v>1637</v>
      </c>
      <c r="N209" s="41">
        <v>804</v>
      </c>
      <c r="O209" s="7" t="s">
        <v>459</v>
      </c>
    </row>
    <row r="210" spans="1:15" s="7" customFormat="1" ht="24" x14ac:dyDescent="0.25">
      <c r="A210" s="6"/>
      <c r="B210" s="24">
        <v>44364</v>
      </c>
      <c r="C210" s="37" t="s">
        <v>59</v>
      </c>
      <c r="D210" s="26">
        <v>105.7</v>
      </c>
      <c r="E210" s="25" t="s">
        <v>28</v>
      </c>
      <c r="F210" s="26">
        <v>270</v>
      </c>
      <c r="G210" s="12">
        <f t="shared" si="8"/>
        <v>28539</v>
      </c>
      <c r="H210" s="27" t="s">
        <v>385</v>
      </c>
      <c r="I210" s="25" t="s">
        <v>386</v>
      </c>
      <c r="J210" s="37" t="s">
        <v>146</v>
      </c>
      <c r="K210" s="12"/>
      <c r="L210" s="48"/>
      <c r="M210" s="41"/>
      <c r="N210" s="41">
        <v>803</v>
      </c>
      <c r="O210" s="7" t="s">
        <v>459</v>
      </c>
    </row>
    <row r="211" spans="1:15" s="7" customFormat="1" x14ac:dyDescent="0.25">
      <c r="A211" s="6"/>
      <c r="B211" s="24">
        <v>44364</v>
      </c>
      <c r="C211" s="37" t="s">
        <v>59</v>
      </c>
      <c r="D211" s="26">
        <v>34.299999999999997</v>
      </c>
      <c r="E211" s="25" t="s">
        <v>28</v>
      </c>
      <c r="F211" s="26">
        <v>385</v>
      </c>
      <c r="G211" s="12">
        <f t="shared" si="8"/>
        <v>13205.499999999998</v>
      </c>
      <c r="H211" s="27" t="s">
        <v>403</v>
      </c>
      <c r="I211" s="25" t="s">
        <v>404</v>
      </c>
      <c r="J211" s="37" t="s">
        <v>146</v>
      </c>
      <c r="K211" s="12"/>
      <c r="L211" s="87"/>
      <c r="M211" s="41"/>
      <c r="N211" s="41">
        <v>802</v>
      </c>
      <c r="O211" s="7" t="s">
        <v>459</v>
      </c>
    </row>
    <row r="212" spans="1:15" s="7" customFormat="1" x14ac:dyDescent="0.25">
      <c r="A212" s="6"/>
      <c r="B212" s="24">
        <v>44364</v>
      </c>
      <c r="C212" s="37" t="s">
        <v>59</v>
      </c>
      <c r="D212" s="26">
        <v>178.1</v>
      </c>
      <c r="E212" s="25" t="s">
        <v>28</v>
      </c>
      <c r="F212" s="26">
        <v>265</v>
      </c>
      <c r="G212" s="12">
        <f t="shared" si="8"/>
        <v>47196.5</v>
      </c>
      <c r="H212" s="27" t="s">
        <v>399</v>
      </c>
      <c r="I212" s="25" t="s">
        <v>400</v>
      </c>
      <c r="J212" s="37" t="s">
        <v>146</v>
      </c>
      <c r="K212" s="12"/>
      <c r="L212" s="84"/>
      <c r="M212" s="41"/>
      <c r="N212" s="41">
        <v>801</v>
      </c>
      <c r="O212" s="7" t="s">
        <v>459</v>
      </c>
    </row>
    <row r="213" spans="1:15" s="7" customFormat="1" x14ac:dyDescent="0.25">
      <c r="A213" s="6"/>
      <c r="B213" s="24">
        <v>44363</v>
      </c>
      <c r="C213" s="37" t="s">
        <v>79</v>
      </c>
      <c r="D213" s="26"/>
      <c r="E213" s="25"/>
      <c r="F213" s="26"/>
      <c r="G213" s="12">
        <v>100</v>
      </c>
      <c r="H213" s="27"/>
      <c r="I213" s="25" t="s">
        <v>147</v>
      </c>
      <c r="J213" s="37" t="s">
        <v>10</v>
      </c>
      <c r="K213" s="12"/>
      <c r="L213" s="84"/>
      <c r="M213" s="41"/>
      <c r="N213" s="41"/>
    </row>
    <row r="214" spans="1:15" s="7" customFormat="1" x14ac:dyDescent="0.25">
      <c r="A214" s="6"/>
      <c r="B214" s="24">
        <v>44363</v>
      </c>
      <c r="C214" s="37" t="s">
        <v>59</v>
      </c>
      <c r="D214" s="85">
        <v>528.29999999999995</v>
      </c>
      <c r="E214" s="25" t="s">
        <v>28</v>
      </c>
      <c r="F214" s="26">
        <v>1425</v>
      </c>
      <c r="G214" s="12">
        <f>D214*F214</f>
        <v>752827.49999999988</v>
      </c>
      <c r="H214" s="27" t="s">
        <v>292</v>
      </c>
      <c r="I214" s="25" t="s">
        <v>293</v>
      </c>
      <c r="J214" s="37" t="s">
        <v>32</v>
      </c>
      <c r="K214" s="12">
        <v>0</v>
      </c>
      <c r="L214" s="84"/>
      <c r="M214" s="41"/>
      <c r="N214" s="41">
        <v>800</v>
      </c>
      <c r="O214" s="7" t="s">
        <v>578</v>
      </c>
    </row>
    <row r="215" spans="1:15" s="7" customFormat="1" x14ac:dyDescent="0.25">
      <c r="A215" s="6"/>
      <c r="B215" s="24">
        <v>44363</v>
      </c>
      <c r="C215" s="37" t="s">
        <v>59</v>
      </c>
      <c r="D215" s="26">
        <v>15055</v>
      </c>
      <c r="E215" s="25" t="s">
        <v>28</v>
      </c>
      <c r="F215" s="26">
        <v>95.5</v>
      </c>
      <c r="G215" s="12">
        <f>D215*F215</f>
        <v>1437752.5</v>
      </c>
      <c r="H215" s="86" t="s">
        <v>295</v>
      </c>
      <c r="I215" s="25" t="s">
        <v>294</v>
      </c>
      <c r="J215" s="37" t="s">
        <v>34</v>
      </c>
      <c r="K215" s="12">
        <v>0</v>
      </c>
      <c r="L215" s="84"/>
      <c r="M215" s="41"/>
      <c r="N215" s="41">
        <v>799</v>
      </c>
      <c r="O215" s="7" t="s">
        <v>578</v>
      </c>
    </row>
    <row r="216" spans="1:15" s="7" customFormat="1" x14ac:dyDescent="0.25">
      <c r="A216" s="6"/>
      <c r="B216" s="24">
        <v>44363</v>
      </c>
      <c r="C216" s="37" t="s">
        <v>79</v>
      </c>
      <c r="D216" s="91">
        <v>20510</v>
      </c>
      <c r="E216" s="25" t="s">
        <v>28</v>
      </c>
      <c r="F216" s="26">
        <v>230</v>
      </c>
      <c r="G216" s="12">
        <f>D216*F216</f>
        <v>4717300</v>
      </c>
      <c r="H216" s="90" t="s">
        <v>552</v>
      </c>
      <c r="I216" s="25" t="s">
        <v>191</v>
      </c>
      <c r="J216" s="37" t="s">
        <v>20</v>
      </c>
      <c r="K216" s="12"/>
      <c r="L216" s="84"/>
      <c r="M216" s="41"/>
      <c r="N216" s="41">
        <v>718</v>
      </c>
      <c r="O216" s="7" t="s">
        <v>578</v>
      </c>
    </row>
    <row r="217" spans="1:15" s="7" customFormat="1" x14ac:dyDescent="0.25">
      <c r="A217" s="6"/>
      <c r="B217" s="24">
        <v>44363</v>
      </c>
      <c r="C217" s="37" t="s">
        <v>79</v>
      </c>
      <c r="D217" s="26">
        <v>138.80000000000001</v>
      </c>
      <c r="E217" s="25" t="s">
        <v>28</v>
      </c>
      <c r="F217" s="26">
        <v>275</v>
      </c>
      <c r="G217" s="12">
        <f>D217*F217</f>
        <v>38170</v>
      </c>
      <c r="H217" s="86" t="s">
        <v>498</v>
      </c>
      <c r="I217" s="25" t="s">
        <v>294</v>
      </c>
      <c r="J217" s="37" t="s">
        <v>20</v>
      </c>
      <c r="K217" s="12"/>
      <c r="L217" s="84"/>
      <c r="M217" s="41"/>
      <c r="N217" s="41">
        <v>798</v>
      </c>
    </row>
    <row r="218" spans="1:15" s="7" customFormat="1" x14ac:dyDescent="0.25">
      <c r="A218" s="6"/>
      <c r="B218" s="24">
        <v>44363</v>
      </c>
      <c r="C218" s="37" t="s">
        <v>59</v>
      </c>
      <c r="D218" s="26">
        <f>380+11.6+10.3+69.6+102.3</f>
        <v>573.79999999999995</v>
      </c>
      <c r="E218" s="25" t="s">
        <v>28</v>
      </c>
      <c r="F218" s="26">
        <f>G218/D218</f>
        <v>267.62286510979436</v>
      </c>
      <c r="G218" s="12">
        <f>153562</f>
        <v>153562</v>
      </c>
      <c r="H218" s="27" t="s">
        <v>296</v>
      </c>
      <c r="I218" s="25" t="s">
        <v>297</v>
      </c>
      <c r="J218" s="37" t="s">
        <v>146</v>
      </c>
      <c r="K218" s="12">
        <v>0</v>
      </c>
      <c r="L218" s="84"/>
      <c r="M218" s="41" t="s">
        <v>497</v>
      </c>
      <c r="N218" s="41">
        <v>797</v>
      </c>
      <c r="O218" s="7" t="s">
        <v>459</v>
      </c>
    </row>
    <row r="219" spans="1:15" s="7" customFormat="1" x14ac:dyDescent="0.25">
      <c r="A219" s="6"/>
      <c r="B219" s="24">
        <v>44363</v>
      </c>
      <c r="C219" s="37" t="s">
        <v>59</v>
      </c>
      <c r="D219" s="26">
        <v>405</v>
      </c>
      <c r="E219" s="25" t="s">
        <v>28</v>
      </c>
      <c r="F219" s="26">
        <v>331</v>
      </c>
      <c r="G219" s="12">
        <f>D219*F219</f>
        <v>134055</v>
      </c>
      <c r="H219" s="27" t="s">
        <v>298</v>
      </c>
      <c r="I219" s="25" t="s">
        <v>299</v>
      </c>
      <c r="J219" s="37" t="s">
        <v>31</v>
      </c>
      <c r="K219" s="12">
        <v>0</v>
      </c>
      <c r="L219" s="84"/>
      <c r="M219" s="41"/>
      <c r="N219" s="41">
        <v>796</v>
      </c>
      <c r="O219" s="7" t="s">
        <v>459</v>
      </c>
    </row>
    <row r="220" spans="1:15" s="7" customFormat="1" x14ac:dyDescent="0.25">
      <c r="A220" s="6"/>
      <c r="B220" s="24">
        <v>44363</v>
      </c>
      <c r="C220" s="37" t="s">
        <v>59</v>
      </c>
      <c r="D220" s="26">
        <f>23.2+12.2+1.5</f>
        <v>36.9</v>
      </c>
      <c r="E220" s="25" t="s">
        <v>28</v>
      </c>
      <c r="F220" s="26">
        <f>G220/D220</f>
        <v>210.02710027100272</v>
      </c>
      <c r="G220" s="12">
        <v>7750</v>
      </c>
      <c r="H220" s="27" t="s">
        <v>296</v>
      </c>
      <c r="I220" s="25" t="s">
        <v>147</v>
      </c>
      <c r="J220" s="37" t="s">
        <v>146</v>
      </c>
      <c r="K220" s="12">
        <v>0</v>
      </c>
      <c r="L220" s="84"/>
      <c r="M220" s="41"/>
      <c r="N220" s="41">
        <v>795</v>
      </c>
      <c r="O220" s="7" t="s">
        <v>459</v>
      </c>
    </row>
    <row r="221" spans="1:15" s="7" customFormat="1" x14ac:dyDescent="0.25">
      <c r="A221" s="6"/>
      <c r="B221" s="24">
        <v>44363</v>
      </c>
      <c r="C221" s="37" t="s">
        <v>59</v>
      </c>
      <c r="D221" s="26">
        <f>96.5+104.5+126.2+133.4</f>
        <v>460.6</v>
      </c>
      <c r="E221" s="25" t="s">
        <v>28</v>
      </c>
      <c r="F221" s="26">
        <v>260</v>
      </c>
      <c r="G221" s="12">
        <f>D221*F221</f>
        <v>119756</v>
      </c>
      <c r="H221" s="27" t="s">
        <v>296</v>
      </c>
      <c r="I221" s="25" t="s">
        <v>300</v>
      </c>
      <c r="J221" s="37" t="s">
        <v>146</v>
      </c>
      <c r="K221" s="12">
        <v>0</v>
      </c>
      <c r="L221" s="84"/>
      <c r="M221" s="41">
        <v>1634</v>
      </c>
      <c r="N221" s="41">
        <v>794</v>
      </c>
      <c r="O221" s="7" t="s">
        <v>459</v>
      </c>
    </row>
    <row r="222" spans="1:15" s="7" customFormat="1" x14ac:dyDescent="0.25">
      <c r="A222" s="6"/>
      <c r="B222" s="24">
        <v>44363</v>
      </c>
      <c r="C222" s="37" t="s">
        <v>59</v>
      </c>
      <c r="D222" s="26">
        <v>281.89999999999998</v>
      </c>
      <c r="E222" s="25" t="s">
        <v>28</v>
      </c>
      <c r="F222" s="26">
        <v>318</v>
      </c>
      <c r="G222" s="12">
        <f>D222*F222</f>
        <v>89644.2</v>
      </c>
      <c r="H222" s="27" t="s">
        <v>302</v>
      </c>
      <c r="I222" s="25" t="s">
        <v>301</v>
      </c>
      <c r="J222" s="37" t="s">
        <v>31</v>
      </c>
      <c r="K222" s="12">
        <v>0</v>
      </c>
      <c r="L222" s="84"/>
      <c r="M222" s="41">
        <v>1616</v>
      </c>
      <c r="N222" s="41">
        <v>793</v>
      </c>
      <c r="O222" s="7" t="s">
        <v>459</v>
      </c>
    </row>
    <row r="223" spans="1:15" s="7" customFormat="1" ht="22.5" x14ac:dyDescent="0.25">
      <c r="A223" s="6"/>
      <c r="B223" s="24">
        <v>44362</v>
      </c>
      <c r="C223" s="37" t="s">
        <v>79</v>
      </c>
      <c r="D223" s="26"/>
      <c r="E223" s="25"/>
      <c r="F223" s="26"/>
      <c r="G223" s="12">
        <v>8500</v>
      </c>
      <c r="H223" s="27" t="s">
        <v>271</v>
      </c>
      <c r="I223" s="25"/>
      <c r="J223" s="37" t="s">
        <v>29</v>
      </c>
      <c r="K223" s="12"/>
      <c r="L223" s="84"/>
      <c r="M223" s="41"/>
      <c r="N223" s="41"/>
    </row>
    <row r="224" spans="1:15" s="7" customFormat="1" x14ac:dyDescent="0.25">
      <c r="A224" s="6"/>
      <c r="B224" s="24">
        <v>44362</v>
      </c>
      <c r="C224" s="37" t="s">
        <v>79</v>
      </c>
      <c r="D224" s="26"/>
      <c r="E224" s="25"/>
      <c r="F224" s="26"/>
      <c r="G224" s="12">
        <f>400+100+1200+6000</f>
        <v>7700</v>
      </c>
      <c r="H224" s="27"/>
      <c r="I224" s="25"/>
      <c r="J224" s="37" t="s">
        <v>147</v>
      </c>
      <c r="K224" s="12"/>
      <c r="L224" s="84"/>
      <c r="M224" s="41"/>
      <c r="N224" s="41"/>
    </row>
    <row r="225" spans="1:15" s="7" customFormat="1" x14ac:dyDescent="0.25">
      <c r="A225" s="6"/>
      <c r="B225" s="24">
        <v>44362</v>
      </c>
      <c r="C225" s="37" t="s">
        <v>79</v>
      </c>
      <c r="D225" s="26"/>
      <c r="E225" s="25"/>
      <c r="F225" s="26"/>
      <c r="G225" s="12">
        <v>4400</v>
      </c>
      <c r="H225" s="27"/>
      <c r="I225" s="25" t="s">
        <v>496</v>
      </c>
      <c r="J225" s="37" t="s">
        <v>228</v>
      </c>
      <c r="K225" s="12"/>
      <c r="L225" s="84"/>
      <c r="M225" s="41">
        <v>1620</v>
      </c>
      <c r="N225" s="41"/>
    </row>
    <row r="226" spans="1:15" s="7" customFormat="1" x14ac:dyDescent="0.25">
      <c r="A226" s="6"/>
      <c r="B226" s="24">
        <v>44362</v>
      </c>
      <c r="C226" s="37" t="s">
        <v>79</v>
      </c>
      <c r="D226" s="26">
        <v>2160</v>
      </c>
      <c r="E226" s="25" t="s">
        <v>28</v>
      </c>
      <c r="F226" s="26">
        <v>242</v>
      </c>
      <c r="G226" s="12">
        <f>D226*F226</f>
        <v>522720</v>
      </c>
      <c r="H226" s="27" t="s">
        <v>303</v>
      </c>
      <c r="I226" s="25" t="s">
        <v>250</v>
      </c>
      <c r="J226" s="37" t="s">
        <v>20</v>
      </c>
      <c r="K226" s="12">
        <v>0</v>
      </c>
      <c r="L226" s="84"/>
      <c r="M226" s="41"/>
      <c r="N226" s="41" t="s">
        <v>495</v>
      </c>
    </row>
    <row r="227" spans="1:15" s="7" customFormat="1" x14ac:dyDescent="0.25">
      <c r="A227" s="6"/>
      <c r="B227" s="24">
        <v>44362</v>
      </c>
      <c r="C227" s="37" t="s">
        <v>59</v>
      </c>
      <c r="D227" s="26">
        <v>21.1</v>
      </c>
      <c r="E227" s="25" t="s">
        <v>28</v>
      </c>
      <c r="F227" s="26">
        <v>200</v>
      </c>
      <c r="G227" s="12">
        <f>D227*F227</f>
        <v>4220</v>
      </c>
      <c r="H227" s="27" t="s">
        <v>304</v>
      </c>
      <c r="I227" s="25" t="s">
        <v>305</v>
      </c>
      <c r="J227" s="37" t="s">
        <v>146</v>
      </c>
      <c r="K227" s="12">
        <v>0</v>
      </c>
      <c r="L227" s="84"/>
      <c r="M227" s="41"/>
      <c r="N227" s="41">
        <v>789</v>
      </c>
      <c r="O227" s="7" t="s">
        <v>459</v>
      </c>
    </row>
    <row r="228" spans="1:15" s="7" customFormat="1" x14ac:dyDescent="0.25">
      <c r="A228" s="6"/>
      <c r="B228" s="24">
        <v>44362</v>
      </c>
      <c r="C228" s="37" t="s">
        <v>79</v>
      </c>
      <c r="D228" s="91">
        <v>18525</v>
      </c>
      <c r="E228" s="25" t="s">
        <v>28</v>
      </c>
      <c r="F228" s="26">
        <v>257</v>
      </c>
      <c r="G228" s="12">
        <f>D228*F228</f>
        <v>4760925</v>
      </c>
      <c r="H228" s="89" t="s">
        <v>306</v>
      </c>
      <c r="I228" s="25" t="s">
        <v>238</v>
      </c>
      <c r="J228" s="37" t="s">
        <v>20</v>
      </c>
      <c r="K228" s="12">
        <v>0</v>
      </c>
      <c r="L228" s="84"/>
      <c r="M228" s="41"/>
      <c r="N228" s="41">
        <v>788</v>
      </c>
      <c r="O228" s="7" t="s">
        <v>578</v>
      </c>
    </row>
    <row r="229" spans="1:15" s="7" customFormat="1" x14ac:dyDescent="0.25">
      <c r="A229" s="6"/>
      <c r="B229" s="24">
        <v>44362</v>
      </c>
      <c r="C229" s="37" t="s">
        <v>59</v>
      </c>
      <c r="D229" s="26">
        <f>43.3</f>
        <v>43.3</v>
      </c>
      <c r="E229" s="25" t="s">
        <v>28</v>
      </c>
      <c r="F229" s="26">
        <f>G229/D229</f>
        <v>253.07159353348732</v>
      </c>
      <c r="G229" s="12">
        <v>10958</v>
      </c>
      <c r="H229" s="27" t="s">
        <v>296</v>
      </c>
      <c r="I229" s="25" t="s">
        <v>297</v>
      </c>
      <c r="J229" s="37" t="s">
        <v>146</v>
      </c>
      <c r="K229" s="12">
        <v>0</v>
      </c>
      <c r="L229" s="84"/>
      <c r="M229" s="41"/>
      <c r="N229" s="41">
        <v>786</v>
      </c>
      <c r="O229" s="7" t="s">
        <v>459</v>
      </c>
    </row>
    <row r="230" spans="1:15" s="7" customFormat="1" x14ac:dyDescent="0.25">
      <c r="A230" s="6"/>
      <c r="B230" s="24">
        <v>44362</v>
      </c>
      <c r="C230" s="37" t="s">
        <v>59</v>
      </c>
      <c r="D230" s="85">
        <v>845.7</v>
      </c>
      <c r="E230" s="25" t="s">
        <v>28</v>
      </c>
      <c r="F230" s="26">
        <v>1400</v>
      </c>
      <c r="G230" s="12">
        <f>D230*F230</f>
        <v>1183980</v>
      </c>
      <c r="H230" s="27" t="s">
        <v>307</v>
      </c>
      <c r="I230" s="25" t="s">
        <v>250</v>
      </c>
      <c r="J230" s="37" t="s">
        <v>32</v>
      </c>
      <c r="K230" s="12">
        <v>0</v>
      </c>
      <c r="L230" s="84"/>
      <c r="M230" s="41"/>
      <c r="N230" s="41">
        <v>784</v>
      </c>
      <c r="O230" s="7" t="s">
        <v>578</v>
      </c>
    </row>
    <row r="231" spans="1:15" s="7" customFormat="1" x14ac:dyDescent="0.25">
      <c r="A231" s="6"/>
      <c r="B231" s="24">
        <v>44362</v>
      </c>
      <c r="C231" s="37" t="s">
        <v>59</v>
      </c>
      <c r="D231" s="26">
        <v>15.6</v>
      </c>
      <c r="E231" s="25" t="s">
        <v>28</v>
      </c>
      <c r="F231" s="26">
        <v>270</v>
      </c>
      <c r="G231" s="12">
        <f>D231*F231</f>
        <v>4212</v>
      </c>
      <c r="H231" s="27" t="s">
        <v>296</v>
      </c>
      <c r="I231" s="25" t="s">
        <v>147</v>
      </c>
      <c r="J231" s="37" t="s">
        <v>146</v>
      </c>
      <c r="K231" s="12">
        <v>0</v>
      </c>
      <c r="L231" s="84"/>
      <c r="M231" s="41"/>
      <c r="N231" s="41">
        <v>783</v>
      </c>
      <c r="O231" s="7" t="s">
        <v>459</v>
      </c>
    </row>
    <row r="232" spans="1:15" s="7" customFormat="1" ht="24" x14ac:dyDescent="0.25">
      <c r="A232" s="6"/>
      <c r="B232" s="24">
        <v>44362</v>
      </c>
      <c r="C232" s="37" t="s">
        <v>59</v>
      </c>
      <c r="D232" s="26">
        <v>1011.5</v>
      </c>
      <c r="E232" s="25" t="s">
        <v>28</v>
      </c>
      <c r="F232" s="26">
        <v>120</v>
      </c>
      <c r="G232" s="12">
        <f>D232*F232</f>
        <v>121380</v>
      </c>
      <c r="H232" s="27" t="s">
        <v>308</v>
      </c>
      <c r="I232" s="25" t="s">
        <v>309</v>
      </c>
      <c r="J232" s="37" t="s">
        <v>34</v>
      </c>
      <c r="K232" s="12">
        <v>0</v>
      </c>
      <c r="L232" s="84"/>
      <c r="M232" s="41">
        <v>1630</v>
      </c>
      <c r="N232" s="41">
        <v>782</v>
      </c>
      <c r="O232" s="7" t="s">
        <v>459</v>
      </c>
    </row>
    <row r="233" spans="1:15" s="7" customFormat="1" x14ac:dyDescent="0.25">
      <c r="A233" s="6"/>
      <c r="B233" s="24">
        <v>44362</v>
      </c>
      <c r="C233" s="37" t="s">
        <v>59</v>
      </c>
      <c r="D233" s="26">
        <v>717</v>
      </c>
      <c r="E233" s="25" t="s">
        <v>28</v>
      </c>
      <c r="F233" s="26">
        <v>293</v>
      </c>
      <c r="G233" s="12">
        <f>D233*F233</f>
        <v>210081</v>
      </c>
      <c r="H233" s="27" t="s">
        <v>310</v>
      </c>
      <c r="I233" s="25" t="s">
        <v>238</v>
      </c>
      <c r="J233" s="37" t="s">
        <v>31</v>
      </c>
      <c r="K233" s="12">
        <v>0</v>
      </c>
      <c r="L233" s="84"/>
      <c r="M233" s="41"/>
      <c r="N233" s="41">
        <v>780</v>
      </c>
      <c r="O233" s="7" t="s">
        <v>459</v>
      </c>
    </row>
    <row r="234" spans="1:15" s="7" customFormat="1" x14ac:dyDescent="0.25">
      <c r="A234" s="6"/>
      <c r="B234" s="24">
        <v>44362</v>
      </c>
      <c r="C234" s="37" t="s">
        <v>59</v>
      </c>
      <c r="D234" s="26">
        <v>14.3</v>
      </c>
      <c r="E234" s="25" t="s">
        <v>28</v>
      </c>
      <c r="F234" s="26">
        <v>265</v>
      </c>
      <c r="G234" s="12">
        <f>D234*F234</f>
        <v>3789.5</v>
      </c>
      <c r="H234" s="27" t="s">
        <v>296</v>
      </c>
      <c r="I234" s="25" t="s">
        <v>297</v>
      </c>
      <c r="J234" s="37" t="s">
        <v>146</v>
      </c>
      <c r="K234" s="12">
        <v>0</v>
      </c>
      <c r="L234" s="84"/>
      <c r="M234" s="41">
        <v>1614</v>
      </c>
      <c r="N234" s="41">
        <v>779</v>
      </c>
      <c r="O234" s="7" t="s">
        <v>459</v>
      </c>
    </row>
    <row r="235" spans="1:15" s="7" customFormat="1" x14ac:dyDescent="0.25">
      <c r="A235" s="6"/>
      <c r="B235" s="24">
        <v>44362</v>
      </c>
      <c r="C235" s="37" t="s">
        <v>59</v>
      </c>
      <c r="D235" s="26">
        <f>2715</f>
        <v>2715</v>
      </c>
      <c r="E235" s="25" t="s">
        <v>28</v>
      </c>
      <c r="F235" s="26">
        <f>G235/D235</f>
        <v>90.976058931860038</v>
      </c>
      <c r="G235" s="12">
        <v>247000</v>
      </c>
      <c r="H235" s="27" t="s">
        <v>311</v>
      </c>
      <c r="I235" s="83" t="s">
        <v>312</v>
      </c>
      <c r="J235" s="37" t="s">
        <v>80</v>
      </c>
      <c r="K235" s="12">
        <v>0</v>
      </c>
      <c r="L235" s="84"/>
      <c r="M235" s="41"/>
      <c r="N235" s="41">
        <v>778</v>
      </c>
      <c r="O235" s="7" t="s">
        <v>459</v>
      </c>
    </row>
    <row r="236" spans="1:15" s="7" customFormat="1" x14ac:dyDescent="0.25">
      <c r="A236" s="6"/>
      <c r="B236" s="24">
        <v>44362</v>
      </c>
      <c r="C236" s="37" t="s">
        <v>59</v>
      </c>
      <c r="D236" s="26">
        <v>1345</v>
      </c>
      <c r="E236" s="25" t="s">
        <v>28</v>
      </c>
      <c r="F236" s="26">
        <v>97.5</v>
      </c>
      <c r="G236" s="12">
        <f>D236*F236</f>
        <v>131137.5</v>
      </c>
      <c r="H236" s="27" t="s">
        <v>275</v>
      </c>
      <c r="I236" s="25" t="s">
        <v>277</v>
      </c>
      <c r="J236" s="37" t="s">
        <v>139</v>
      </c>
      <c r="K236" s="12">
        <v>0</v>
      </c>
      <c r="L236" s="84"/>
      <c r="M236" s="41"/>
      <c r="N236" s="41">
        <v>777</v>
      </c>
      <c r="O236" s="7" t="s">
        <v>459</v>
      </c>
    </row>
    <row r="237" spans="1:15" s="7" customFormat="1" x14ac:dyDescent="0.25">
      <c r="A237" s="6"/>
      <c r="B237" s="24">
        <v>44362</v>
      </c>
      <c r="C237" s="37" t="s">
        <v>59</v>
      </c>
      <c r="D237" s="26"/>
      <c r="E237" s="25"/>
      <c r="F237" s="26"/>
      <c r="G237" s="12">
        <v>1000</v>
      </c>
      <c r="H237" s="27" t="s">
        <v>313</v>
      </c>
      <c r="I237" s="25" t="s">
        <v>147</v>
      </c>
      <c r="J237" s="37" t="s">
        <v>146</v>
      </c>
      <c r="K237" s="12">
        <v>0</v>
      </c>
      <c r="L237" s="84"/>
      <c r="M237" s="41"/>
      <c r="N237" s="41">
        <v>776</v>
      </c>
      <c r="O237" s="7" t="s">
        <v>459</v>
      </c>
    </row>
    <row r="238" spans="1:15" s="7" customFormat="1" x14ac:dyDescent="0.25">
      <c r="A238" s="6"/>
      <c r="B238" s="24">
        <v>44361</v>
      </c>
      <c r="C238" s="37" t="s">
        <v>79</v>
      </c>
      <c r="D238" s="26">
        <v>3808</v>
      </c>
      <c r="E238" s="25" t="s">
        <v>28</v>
      </c>
      <c r="F238" s="26">
        <v>133.69999999999999</v>
      </c>
      <c r="G238" s="12">
        <f>D238*F238</f>
        <v>509129.6</v>
      </c>
      <c r="H238" s="27" t="s">
        <v>314</v>
      </c>
      <c r="I238" s="25" t="s">
        <v>294</v>
      </c>
      <c r="J238" s="37" t="s">
        <v>20</v>
      </c>
      <c r="K238" s="12">
        <v>0</v>
      </c>
      <c r="L238" s="84"/>
      <c r="M238" s="41"/>
      <c r="N238" s="41">
        <v>775</v>
      </c>
    </row>
    <row r="239" spans="1:15" s="7" customFormat="1" x14ac:dyDescent="0.25">
      <c r="A239" s="6"/>
      <c r="B239" s="24">
        <v>44361</v>
      </c>
      <c r="C239" s="37" t="s">
        <v>59</v>
      </c>
      <c r="D239" s="26">
        <f>1267.2-1.2-64.1</f>
        <v>1201.9000000000001</v>
      </c>
      <c r="E239" s="25" t="s">
        <v>28</v>
      </c>
      <c r="F239" s="26">
        <v>1400</v>
      </c>
      <c r="G239" s="12">
        <f>D239*F239</f>
        <v>1682660.0000000002</v>
      </c>
      <c r="H239" s="27" t="s">
        <v>316</v>
      </c>
      <c r="I239" s="25" t="s">
        <v>315</v>
      </c>
      <c r="J239" s="37" t="s">
        <v>32</v>
      </c>
      <c r="K239" s="12">
        <v>0</v>
      </c>
      <c r="L239" s="84"/>
      <c r="M239" s="41"/>
      <c r="N239" s="41">
        <v>774</v>
      </c>
      <c r="O239" s="7" t="s">
        <v>578</v>
      </c>
    </row>
    <row r="240" spans="1:15" s="7" customFormat="1" ht="22.5" x14ac:dyDescent="0.25">
      <c r="A240" s="6"/>
      <c r="B240" s="24">
        <v>44361</v>
      </c>
      <c r="C240" s="37" t="s">
        <v>59</v>
      </c>
      <c r="D240" s="26">
        <f>459.5+531</f>
        <v>990.5</v>
      </c>
      <c r="E240" s="25" t="s">
        <v>28</v>
      </c>
      <c r="F240" s="26">
        <v>208</v>
      </c>
      <c r="G240" s="12">
        <f t="shared" ref="G240:G245" si="9">D240*F240</f>
        <v>206024</v>
      </c>
      <c r="H240" s="27" t="s">
        <v>317</v>
      </c>
      <c r="I240" s="25" t="s">
        <v>318</v>
      </c>
      <c r="J240" s="37" t="s">
        <v>38</v>
      </c>
      <c r="K240" s="12">
        <v>0</v>
      </c>
      <c r="L240" s="84"/>
      <c r="M240" s="41" t="s">
        <v>494</v>
      </c>
      <c r="N240" s="41">
        <v>773</v>
      </c>
      <c r="O240" s="7" t="s">
        <v>459</v>
      </c>
    </row>
    <row r="241" spans="1:15" s="7" customFormat="1" x14ac:dyDescent="0.25">
      <c r="A241" s="6"/>
      <c r="B241" s="24">
        <v>44361</v>
      </c>
      <c r="C241" s="37" t="s">
        <v>79</v>
      </c>
      <c r="D241" s="26"/>
      <c r="E241" s="25"/>
      <c r="F241" s="26"/>
      <c r="G241" s="12">
        <v>3350</v>
      </c>
      <c r="H241" s="27"/>
      <c r="I241" s="25"/>
      <c r="J241" s="37" t="s">
        <v>228</v>
      </c>
      <c r="K241" s="12"/>
      <c r="L241" s="84"/>
      <c r="M241" s="41">
        <v>1613</v>
      </c>
      <c r="N241" s="41"/>
    </row>
    <row r="242" spans="1:15" s="7" customFormat="1" x14ac:dyDescent="0.25">
      <c r="A242" s="6"/>
      <c r="B242" s="24">
        <v>44361</v>
      </c>
      <c r="C242" s="37" t="s">
        <v>79</v>
      </c>
      <c r="D242" s="26"/>
      <c r="E242" s="25"/>
      <c r="F242" s="26"/>
      <c r="G242" s="12">
        <v>60000</v>
      </c>
      <c r="H242" s="27" t="s">
        <v>482</v>
      </c>
      <c r="I242" s="25" t="s">
        <v>466</v>
      </c>
      <c r="J242" s="37" t="s">
        <v>33</v>
      </c>
      <c r="K242" s="12"/>
      <c r="L242" s="84"/>
      <c r="M242" s="41">
        <v>1612</v>
      </c>
      <c r="N242" s="41"/>
    </row>
    <row r="243" spans="1:15" s="7" customFormat="1" x14ac:dyDescent="0.25">
      <c r="A243" s="6"/>
      <c r="B243" s="24">
        <v>44361</v>
      </c>
      <c r="C243" s="37" t="s">
        <v>79</v>
      </c>
      <c r="D243" s="26"/>
      <c r="E243" s="25"/>
      <c r="F243" s="26"/>
      <c r="G243" s="12">
        <v>4000</v>
      </c>
      <c r="H243" s="27" t="s">
        <v>482</v>
      </c>
      <c r="I243" s="25"/>
      <c r="J243" s="37" t="s">
        <v>147</v>
      </c>
      <c r="K243" s="12"/>
      <c r="L243" s="84"/>
      <c r="M243" s="41">
        <v>1602</v>
      </c>
      <c r="N243" s="41"/>
    </row>
    <row r="244" spans="1:15" s="7" customFormat="1" x14ac:dyDescent="0.25">
      <c r="A244" s="6"/>
      <c r="B244" s="24">
        <v>44361</v>
      </c>
      <c r="C244" s="37" t="s">
        <v>79</v>
      </c>
      <c r="D244" s="26">
        <v>531</v>
      </c>
      <c r="E244" s="25" t="s">
        <v>28</v>
      </c>
      <c r="F244" s="26">
        <v>208</v>
      </c>
      <c r="G244" s="12">
        <f t="shared" si="9"/>
        <v>110448</v>
      </c>
      <c r="H244" s="27" t="s">
        <v>317</v>
      </c>
      <c r="I244" s="25" t="s">
        <v>294</v>
      </c>
      <c r="J244" s="37" t="s">
        <v>38</v>
      </c>
      <c r="K244" s="12">
        <v>0</v>
      </c>
      <c r="L244" s="84"/>
      <c r="M244" s="41"/>
      <c r="N244" s="41">
        <v>773</v>
      </c>
      <c r="O244" s="7" t="s">
        <v>459</v>
      </c>
    </row>
    <row r="245" spans="1:15" s="7" customFormat="1" x14ac:dyDescent="0.25">
      <c r="A245" s="6"/>
      <c r="B245" s="24">
        <v>44361</v>
      </c>
      <c r="C245" s="37" t="s">
        <v>59</v>
      </c>
      <c r="D245" s="26">
        <v>1106</v>
      </c>
      <c r="E245" s="25" t="s">
        <v>28</v>
      </c>
      <c r="F245" s="26">
        <v>293</v>
      </c>
      <c r="G245" s="12">
        <f t="shared" si="9"/>
        <v>324058</v>
      </c>
      <c r="H245" s="27" t="s">
        <v>319</v>
      </c>
      <c r="I245" s="25" t="s">
        <v>238</v>
      </c>
      <c r="J245" s="37" t="s">
        <v>31</v>
      </c>
      <c r="K245" s="12">
        <v>0</v>
      </c>
      <c r="L245" s="84"/>
      <c r="M245" s="41"/>
      <c r="N245" s="41">
        <v>772</v>
      </c>
      <c r="O245" s="7" t="s">
        <v>459</v>
      </c>
    </row>
    <row r="246" spans="1:15" s="7" customFormat="1" x14ac:dyDescent="0.25">
      <c r="A246" s="6"/>
      <c r="B246" s="24">
        <v>44361</v>
      </c>
      <c r="C246" s="37" t="s">
        <v>59</v>
      </c>
      <c r="D246" s="26">
        <v>3.4</v>
      </c>
      <c r="E246" s="25" t="s">
        <v>28</v>
      </c>
      <c r="F246" s="26">
        <f>G246/D246</f>
        <v>514.70588235294122</v>
      </c>
      <c r="G246" s="12">
        <v>1750</v>
      </c>
      <c r="H246" s="27" t="s">
        <v>296</v>
      </c>
      <c r="I246" s="25" t="s">
        <v>147</v>
      </c>
      <c r="J246" s="37" t="s">
        <v>146</v>
      </c>
      <c r="K246" s="12">
        <v>0</v>
      </c>
      <c r="L246" s="84"/>
      <c r="M246" s="41">
        <v>1605</v>
      </c>
      <c r="N246" s="41">
        <v>770</v>
      </c>
      <c r="O246" s="7" t="s">
        <v>459</v>
      </c>
    </row>
    <row r="247" spans="1:15" s="7" customFormat="1" x14ac:dyDescent="0.25">
      <c r="A247" s="6"/>
      <c r="B247" s="24">
        <v>44359</v>
      </c>
      <c r="C247" s="37" t="s">
        <v>79</v>
      </c>
      <c r="D247" s="26"/>
      <c r="E247" s="25"/>
      <c r="F247" s="26"/>
      <c r="G247" s="12">
        <f>1500+700</f>
        <v>2200</v>
      </c>
      <c r="H247" s="27" t="s">
        <v>479</v>
      </c>
      <c r="I247" s="25" t="s">
        <v>147</v>
      </c>
      <c r="J247" s="37" t="s">
        <v>228</v>
      </c>
      <c r="K247" s="12"/>
      <c r="L247" s="84"/>
      <c r="M247" s="41"/>
      <c r="N247" s="41"/>
    </row>
    <row r="248" spans="1:15" s="7" customFormat="1" x14ac:dyDescent="0.25">
      <c r="A248" s="6"/>
      <c r="B248" s="24">
        <v>44359</v>
      </c>
      <c r="C248" s="37" t="s">
        <v>59</v>
      </c>
      <c r="D248" s="26">
        <v>595</v>
      </c>
      <c r="E248" s="25" t="s">
        <v>28</v>
      </c>
      <c r="F248" s="26">
        <v>102</v>
      </c>
      <c r="G248" s="12">
        <f t="shared" ref="G248:G253" si="10">D248*F248</f>
        <v>60690</v>
      </c>
      <c r="H248" s="27" t="s">
        <v>320</v>
      </c>
      <c r="I248" s="25" t="s">
        <v>321</v>
      </c>
      <c r="J248" s="37" t="s">
        <v>34</v>
      </c>
      <c r="K248" s="12">
        <v>0</v>
      </c>
      <c r="L248" s="84"/>
      <c r="M248" s="41">
        <v>1604</v>
      </c>
      <c r="N248" s="41">
        <v>769</v>
      </c>
      <c r="O248" s="7" t="s">
        <v>459</v>
      </c>
    </row>
    <row r="249" spans="1:15" s="7" customFormat="1" ht="24" x14ac:dyDescent="0.25">
      <c r="A249" s="6"/>
      <c r="B249" s="24">
        <v>44359</v>
      </c>
      <c r="C249" s="37" t="s">
        <v>79</v>
      </c>
      <c r="D249" s="26">
        <v>1235</v>
      </c>
      <c r="E249" s="25" t="s">
        <v>28</v>
      </c>
      <c r="F249" s="26">
        <v>91</v>
      </c>
      <c r="G249" s="12">
        <f t="shared" si="10"/>
        <v>112385</v>
      </c>
      <c r="H249" s="27" t="s">
        <v>322</v>
      </c>
      <c r="I249" s="25" t="s">
        <v>312</v>
      </c>
      <c r="J249" s="37" t="s">
        <v>34</v>
      </c>
      <c r="K249" s="12">
        <v>0</v>
      </c>
      <c r="L249" s="84"/>
      <c r="M249" s="41"/>
      <c r="N249" s="41">
        <v>768</v>
      </c>
      <c r="O249" s="7" t="s">
        <v>459</v>
      </c>
    </row>
    <row r="250" spans="1:15" s="7" customFormat="1" ht="24" x14ac:dyDescent="0.25">
      <c r="A250" s="6"/>
      <c r="B250" s="24">
        <v>44359</v>
      </c>
      <c r="C250" s="37" t="s">
        <v>59</v>
      </c>
      <c r="D250" s="26">
        <v>1350</v>
      </c>
      <c r="E250" s="25" t="s">
        <v>28</v>
      </c>
      <c r="F250" s="26">
        <v>91</v>
      </c>
      <c r="G250" s="12">
        <f t="shared" si="10"/>
        <v>122850</v>
      </c>
      <c r="H250" s="27" t="s">
        <v>311</v>
      </c>
      <c r="I250" s="25" t="s">
        <v>312</v>
      </c>
      <c r="J250" s="37" t="s">
        <v>34</v>
      </c>
      <c r="K250" s="12">
        <v>0</v>
      </c>
      <c r="L250" s="84"/>
      <c r="M250" s="41"/>
      <c r="N250" s="41">
        <v>768</v>
      </c>
      <c r="O250" s="7" t="s">
        <v>459</v>
      </c>
    </row>
    <row r="251" spans="1:15" s="7" customFormat="1" x14ac:dyDescent="0.25">
      <c r="A251" s="6"/>
      <c r="B251" s="24">
        <v>44359</v>
      </c>
      <c r="C251" s="37" t="s">
        <v>59</v>
      </c>
      <c r="D251" s="26">
        <v>7510</v>
      </c>
      <c r="E251" s="25" t="s">
        <v>28</v>
      </c>
      <c r="F251" s="26">
        <v>99</v>
      </c>
      <c r="G251" s="12">
        <f t="shared" si="10"/>
        <v>743490</v>
      </c>
      <c r="H251" s="27" t="s">
        <v>323</v>
      </c>
      <c r="I251" s="25" t="s">
        <v>257</v>
      </c>
      <c r="J251" s="37" t="s">
        <v>139</v>
      </c>
      <c r="K251" s="12">
        <v>0</v>
      </c>
      <c r="L251" s="84"/>
      <c r="M251" s="41"/>
      <c r="N251" s="41">
        <v>767</v>
      </c>
      <c r="O251" s="7" t="s">
        <v>459</v>
      </c>
    </row>
    <row r="252" spans="1:15" s="7" customFormat="1" x14ac:dyDescent="0.25">
      <c r="A252" s="6"/>
      <c r="B252" s="24">
        <v>44359</v>
      </c>
      <c r="C252" s="37" t="s">
        <v>59</v>
      </c>
      <c r="D252" s="26">
        <v>11920</v>
      </c>
      <c r="E252" s="25" t="s">
        <v>28</v>
      </c>
      <c r="F252" s="26">
        <v>95.5</v>
      </c>
      <c r="G252" s="12">
        <f t="shared" si="10"/>
        <v>1138360</v>
      </c>
      <c r="H252" s="27" t="s">
        <v>324</v>
      </c>
      <c r="I252" s="25" t="s">
        <v>294</v>
      </c>
      <c r="J252" s="37" t="s">
        <v>34</v>
      </c>
      <c r="K252" s="12">
        <v>0</v>
      </c>
      <c r="L252" s="84"/>
      <c r="M252" s="41"/>
      <c r="N252" s="41">
        <v>766</v>
      </c>
      <c r="O252" s="7" t="s">
        <v>578</v>
      </c>
    </row>
    <row r="253" spans="1:15" s="7" customFormat="1" x14ac:dyDescent="0.25">
      <c r="A253" s="6"/>
      <c r="B253" s="24">
        <v>44359</v>
      </c>
      <c r="C253" s="37" t="s">
        <v>59</v>
      </c>
      <c r="D253" s="85">
        <f>1359.6-7.6-38.4</f>
        <v>1313.6</v>
      </c>
      <c r="E253" s="25" t="s">
        <v>28</v>
      </c>
      <c r="F253" s="26">
        <f>1400</f>
        <v>1400</v>
      </c>
      <c r="G253" s="12">
        <f t="shared" si="10"/>
        <v>1839039.9999999998</v>
      </c>
      <c r="H253" s="27" t="s">
        <v>325</v>
      </c>
      <c r="I253" s="25" t="s">
        <v>250</v>
      </c>
      <c r="J253" s="37" t="s">
        <v>32</v>
      </c>
      <c r="K253" s="12"/>
      <c r="L253" s="84"/>
      <c r="M253" s="41"/>
      <c r="N253" s="41">
        <v>759</v>
      </c>
      <c r="O253" s="7" t="s">
        <v>578</v>
      </c>
    </row>
    <row r="254" spans="1:15" s="7" customFormat="1" x14ac:dyDescent="0.25">
      <c r="A254" s="6"/>
      <c r="B254" s="24">
        <v>44359</v>
      </c>
      <c r="C254" s="37" t="s">
        <v>59</v>
      </c>
      <c r="D254" s="26">
        <v>500.7</v>
      </c>
      <c r="E254" s="25" t="s">
        <v>28</v>
      </c>
      <c r="F254" s="26">
        <v>1400</v>
      </c>
      <c r="G254" s="12">
        <f>F254*D254</f>
        <v>700980</v>
      </c>
      <c r="H254" s="27" t="s">
        <v>291</v>
      </c>
      <c r="I254" s="25" t="s">
        <v>188</v>
      </c>
      <c r="J254" s="37" t="s">
        <v>32</v>
      </c>
      <c r="K254" s="12"/>
      <c r="L254" s="84"/>
      <c r="M254" s="41"/>
      <c r="N254" s="41">
        <v>758</v>
      </c>
      <c r="O254" s="7" t="s">
        <v>578</v>
      </c>
    </row>
    <row r="255" spans="1:15" s="7" customFormat="1" x14ac:dyDescent="0.25">
      <c r="A255" s="6"/>
      <c r="B255" s="24">
        <v>44359</v>
      </c>
      <c r="C255" s="37" t="s">
        <v>59</v>
      </c>
      <c r="D255" s="26">
        <v>698.1</v>
      </c>
      <c r="E255" s="25" t="s">
        <v>28</v>
      </c>
      <c r="F255" s="26">
        <v>1400</v>
      </c>
      <c r="G255" s="12">
        <f>D255*F255</f>
        <v>977340</v>
      </c>
      <c r="H255" s="27" t="s">
        <v>291</v>
      </c>
      <c r="I255" s="25" t="s">
        <v>188</v>
      </c>
      <c r="J255" s="37" t="s">
        <v>32</v>
      </c>
      <c r="K255" s="12">
        <v>0</v>
      </c>
      <c r="L255" s="84"/>
      <c r="M255" s="41"/>
      <c r="N255" s="41">
        <v>760</v>
      </c>
      <c r="O255" s="7" t="s">
        <v>578</v>
      </c>
    </row>
    <row r="256" spans="1:15" s="7" customFormat="1" x14ac:dyDescent="0.25">
      <c r="A256" s="6"/>
      <c r="B256" s="24">
        <v>44359</v>
      </c>
      <c r="C256" s="37" t="s">
        <v>79</v>
      </c>
      <c r="D256" s="26">
        <v>440</v>
      </c>
      <c r="E256" s="25" t="s">
        <v>28</v>
      </c>
      <c r="F256" s="26">
        <v>95.5</v>
      </c>
      <c r="G256" s="12">
        <f>D256*F256</f>
        <v>42020</v>
      </c>
      <c r="H256" s="27" t="s">
        <v>289</v>
      </c>
      <c r="I256" s="25" t="s">
        <v>277</v>
      </c>
      <c r="J256" s="37" t="s">
        <v>34</v>
      </c>
      <c r="K256" s="12">
        <v>0</v>
      </c>
      <c r="L256" s="84"/>
      <c r="M256" s="41"/>
      <c r="N256" s="41">
        <v>763</v>
      </c>
      <c r="O256" s="7" t="s">
        <v>459</v>
      </c>
    </row>
    <row r="257" spans="1:15" s="7" customFormat="1" x14ac:dyDescent="0.25">
      <c r="A257" s="6"/>
      <c r="B257" s="24">
        <v>44359</v>
      </c>
      <c r="C257" s="37" t="s">
        <v>79</v>
      </c>
      <c r="D257" s="26">
        <v>283.2</v>
      </c>
      <c r="E257" s="25" t="s">
        <v>28</v>
      </c>
      <c r="F257" s="26">
        <v>315</v>
      </c>
      <c r="G257" s="12">
        <f>D257*F257</f>
        <v>89208</v>
      </c>
      <c r="H257" s="27" t="s">
        <v>290</v>
      </c>
      <c r="I257" s="25" t="s">
        <v>277</v>
      </c>
      <c r="J257" s="37" t="s">
        <v>31</v>
      </c>
      <c r="K257" s="12"/>
      <c r="L257" s="84"/>
      <c r="M257" s="41" t="s">
        <v>493</v>
      </c>
      <c r="N257" s="41">
        <v>763</v>
      </c>
      <c r="O257" s="7" t="s">
        <v>459</v>
      </c>
    </row>
    <row r="258" spans="1:15" s="7" customFormat="1" ht="22.5" x14ac:dyDescent="0.25">
      <c r="A258" s="6"/>
      <c r="B258" s="24">
        <v>44359</v>
      </c>
      <c r="C258" s="37" t="s">
        <v>59</v>
      </c>
      <c r="D258" s="26"/>
      <c r="E258" s="25"/>
      <c r="F258" s="26"/>
      <c r="G258" s="12">
        <v>55000</v>
      </c>
      <c r="H258" s="27" t="s">
        <v>287</v>
      </c>
      <c r="I258" s="25" t="s">
        <v>288</v>
      </c>
      <c r="J258" s="37" t="s">
        <v>38</v>
      </c>
      <c r="K258" s="12"/>
      <c r="L258" s="84"/>
      <c r="M258" s="41" t="s">
        <v>492</v>
      </c>
      <c r="N258" s="41">
        <v>764</v>
      </c>
      <c r="O258" s="7" t="s">
        <v>459</v>
      </c>
    </row>
    <row r="259" spans="1:15" s="7" customFormat="1" x14ac:dyDescent="0.25">
      <c r="A259" s="6"/>
      <c r="B259" s="24">
        <v>44357</v>
      </c>
      <c r="C259" s="37" t="s">
        <v>79</v>
      </c>
      <c r="D259" s="26"/>
      <c r="E259" s="25"/>
      <c r="F259" s="26"/>
      <c r="G259" s="12">
        <v>5000</v>
      </c>
      <c r="H259" s="27" t="s">
        <v>491</v>
      </c>
      <c r="I259" s="25" t="s">
        <v>210</v>
      </c>
      <c r="J259" s="37" t="s">
        <v>228</v>
      </c>
      <c r="K259" s="12"/>
      <c r="L259" s="84"/>
      <c r="M259" s="41">
        <v>348</v>
      </c>
      <c r="N259" s="41"/>
    </row>
    <row r="260" spans="1:15" s="7" customFormat="1" x14ac:dyDescent="0.25">
      <c r="A260" s="6"/>
      <c r="B260" s="24">
        <v>44359</v>
      </c>
      <c r="C260" s="37" t="s">
        <v>59</v>
      </c>
      <c r="D260" s="26">
        <f>40.8+21.9+17.4+6</f>
        <v>86.1</v>
      </c>
      <c r="E260" s="25" t="s">
        <v>28</v>
      </c>
      <c r="F260" s="26">
        <f>G260/D260</f>
        <v>348.08362369337982</v>
      </c>
      <c r="G260" s="12">
        <f>28290+1680</f>
        <v>29970</v>
      </c>
      <c r="H260" s="27" t="s">
        <v>296</v>
      </c>
      <c r="I260" s="25" t="s">
        <v>488</v>
      </c>
      <c r="J260" s="37" t="s">
        <v>146</v>
      </c>
      <c r="K260" s="12"/>
      <c r="L260" s="84"/>
      <c r="M260" s="41" t="s">
        <v>489</v>
      </c>
      <c r="N260" s="41" t="s">
        <v>490</v>
      </c>
    </row>
    <row r="261" spans="1:15" s="7" customFormat="1" x14ac:dyDescent="0.25">
      <c r="A261" s="6"/>
      <c r="B261" s="24">
        <v>44359</v>
      </c>
      <c r="C261" s="37" t="s">
        <v>59</v>
      </c>
      <c r="D261" s="26">
        <f>27.1+8.6+63.7+22.9+12+110.5+6+41.1</f>
        <v>291.90000000000003</v>
      </c>
      <c r="E261" s="25" t="s">
        <v>28</v>
      </c>
      <c r="F261" s="26">
        <f>G261/D261</f>
        <v>278.7804042480301</v>
      </c>
      <c r="G261" s="12">
        <v>81376</v>
      </c>
      <c r="H261" s="27" t="s">
        <v>296</v>
      </c>
      <c r="I261" s="25" t="s">
        <v>224</v>
      </c>
      <c r="J261" s="37" t="s">
        <v>146</v>
      </c>
      <c r="K261" s="12"/>
      <c r="L261" s="84"/>
      <c r="M261" s="41">
        <v>344</v>
      </c>
      <c r="N261" s="41">
        <v>754</v>
      </c>
    </row>
    <row r="262" spans="1:15" s="7" customFormat="1" x14ac:dyDescent="0.25">
      <c r="A262" s="6"/>
      <c r="B262" s="24">
        <v>44359</v>
      </c>
      <c r="C262" s="37" t="s">
        <v>59</v>
      </c>
      <c r="D262" s="26">
        <f>777+1606+153+44</f>
        <v>2580</v>
      </c>
      <c r="E262" s="25" t="s">
        <v>28</v>
      </c>
      <c r="F262" s="26">
        <f>G262/D262</f>
        <v>248.25193798449612</v>
      </c>
      <c r="G262" s="12">
        <f>636890+3600</f>
        <v>640490</v>
      </c>
      <c r="H262" s="27" t="s">
        <v>286</v>
      </c>
      <c r="I262" s="25" t="s">
        <v>285</v>
      </c>
      <c r="J262" s="37" t="s">
        <v>146</v>
      </c>
      <c r="K262" s="12"/>
      <c r="L262" s="84"/>
      <c r="M262" s="41" t="s">
        <v>284</v>
      </c>
      <c r="N262" s="41">
        <v>765</v>
      </c>
      <c r="O262" s="7" t="s">
        <v>459</v>
      </c>
    </row>
    <row r="263" spans="1:15" s="7" customFormat="1" x14ac:dyDescent="0.25">
      <c r="A263" s="6"/>
      <c r="B263" s="24">
        <v>44357</v>
      </c>
      <c r="C263" s="37" t="s">
        <v>79</v>
      </c>
      <c r="D263" s="26"/>
      <c r="E263" s="25"/>
      <c r="F263" s="26"/>
      <c r="G263" s="12">
        <v>150000</v>
      </c>
      <c r="H263" s="27" t="s">
        <v>484</v>
      </c>
      <c r="I263" s="25" t="s">
        <v>485</v>
      </c>
      <c r="J263" s="37" t="s">
        <v>10</v>
      </c>
      <c r="K263" s="12"/>
      <c r="L263" s="84"/>
      <c r="M263" s="41">
        <v>339</v>
      </c>
      <c r="N263" s="41"/>
    </row>
    <row r="264" spans="1:15" s="7" customFormat="1" x14ac:dyDescent="0.25">
      <c r="A264" s="6"/>
      <c r="B264" s="24">
        <v>44357</v>
      </c>
      <c r="C264" s="37" t="s">
        <v>79</v>
      </c>
      <c r="D264" s="91">
        <v>46920</v>
      </c>
      <c r="E264" s="25" t="s">
        <v>28</v>
      </c>
      <c r="F264" s="26">
        <f>G264/D264</f>
        <v>239.84079283887468</v>
      </c>
      <c r="G264" s="12">
        <v>11253330</v>
      </c>
      <c r="H264" s="89" t="s">
        <v>283</v>
      </c>
      <c r="I264" s="25" t="s">
        <v>153</v>
      </c>
      <c r="J264" s="37" t="s">
        <v>20</v>
      </c>
      <c r="K264" s="12"/>
      <c r="L264" s="84"/>
      <c r="M264" s="41"/>
      <c r="N264" s="41">
        <v>757</v>
      </c>
      <c r="O264" s="7" t="s">
        <v>578</v>
      </c>
    </row>
    <row r="265" spans="1:15" s="7" customFormat="1" x14ac:dyDescent="0.25">
      <c r="A265" s="6"/>
      <c r="B265" s="24">
        <v>44357</v>
      </c>
      <c r="C265" s="37" t="s">
        <v>79</v>
      </c>
      <c r="D265" s="26"/>
      <c r="E265" s="25"/>
      <c r="F265" s="26"/>
      <c r="G265" s="12">
        <f>1000+2000+8800+2680</f>
        <v>14480</v>
      </c>
      <c r="H265" s="27"/>
      <c r="I265" s="25" t="s">
        <v>147</v>
      </c>
      <c r="J265" s="37" t="s">
        <v>147</v>
      </c>
      <c r="K265" s="12"/>
      <c r="L265" s="84"/>
      <c r="M265" s="41"/>
      <c r="N265" s="41"/>
      <c r="O265" s="7" t="s">
        <v>459</v>
      </c>
    </row>
    <row r="266" spans="1:15" s="7" customFormat="1" x14ac:dyDescent="0.25">
      <c r="A266" s="6"/>
      <c r="B266" s="24">
        <v>44357</v>
      </c>
      <c r="C266" s="37" t="s">
        <v>79</v>
      </c>
      <c r="D266" s="26"/>
      <c r="E266" s="25"/>
      <c r="F266" s="26"/>
      <c r="G266" s="12">
        <v>4250</v>
      </c>
      <c r="H266" s="27" t="s">
        <v>483</v>
      </c>
      <c r="I266" s="25" t="s">
        <v>148</v>
      </c>
      <c r="J266" s="37" t="s">
        <v>25</v>
      </c>
      <c r="K266" s="12"/>
      <c r="L266" s="84"/>
      <c r="M266" s="41">
        <v>337</v>
      </c>
      <c r="N266" s="41"/>
    </row>
    <row r="267" spans="1:15" s="7" customFormat="1" x14ac:dyDescent="0.25">
      <c r="A267" s="6"/>
      <c r="B267" s="24">
        <v>44357</v>
      </c>
      <c r="C267" s="37" t="s">
        <v>79</v>
      </c>
      <c r="D267" s="26"/>
      <c r="E267" s="25"/>
      <c r="F267" s="26"/>
      <c r="G267" s="12">
        <v>120200</v>
      </c>
      <c r="H267" s="27" t="s">
        <v>482</v>
      </c>
      <c r="I267" s="25" t="s">
        <v>466</v>
      </c>
      <c r="J267" s="37" t="s">
        <v>33</v>
      </c>
      <c r="K267" s="12"/>
      <c r="L267" s="84"/>
      <c r="M267" s="41">
        <v>336</v>
      </c>
      <c r="N267" s="41"/>
    </row>
    <row r="268" spans="1:15" s="7" customFormat="1" x14ac:dyDescent="0.25">
      <c r="A268" s="6"/>
      <c r="B268" s="24">
        <v>44357</v>
      </c>
      <c r="C268" s="37" t="s">
        <v>79</v>
      </c>
      <c r="D268" s="26"/>
      <c r="E268" s="25"/>
      <c r="F268" s="26"/>
      <c r="G268" s="12">
        <v>6500</v>
      </c>
      <c r="H268" s="27" t="s">
        <v>282</v>
      </c>
      <c r="I268" s="25" t="s">
        <v>147</v>
      </c>
      <c r="J268" s="37" t="s">
        <v>10</v>
      </c>
      <c r="K268" s="12"/>
      <c r="L268" s="84"/>
      <c r="M268" s="41">
        <v>900</v>
      </c>
      <c r="N268" s="41"/>
      <c r="O268" s="7" t="s">
        <v>459</v>
      </c>
    </row>
    <row r="269" spans="1:15" s="7" customFormat="1" x14ac:dyDescent="0.25">
      <c r="A269" s="6"/>
      <c r="B269" s="24">
        <v>44357</v>
      </c>
      <c r="C269" s="37" t="s">
        <v>79</v>
      </c>
      <c r="D269" s="26"/>
      <c r="E269" s="25"/>
      <c r="F269" s="26"/>
      <c r="G269" s="12">
        <v>18000</v>
      </c>
      <c r="H269" s="27" t="s">
        <v>487</v>
      </c>
      <c r="I269" s="25" t="s">
        <v>210</v>
      </c>
      <c r="J269" s="37" t="s">
        <v>228</v>
      </c>
      <c r="K269" s="12"/>
      <c r="L269" s="84"/>
      <c r="M269" s="41">
        <v>342</v>
      </c>
      <c r="N269" s="41"/>
    </row>
    <row r="270" spans="1:15" s="7" customFormat="1" x14ac:dyDescent="0.25">
      <c r="A270" s="6"/>
      <c r="B270" s="24">
        <v>44357</v>
      </c>
      <c r="C270" s="37" t="s">
        <v>59</v>
      </c>
      <c r="D270" s="26">
        <v>20</v>
      </c>
      <c r="E270" s="25" t="s">
        <v>28</v>
      </c>
      <c r="F270" s="26">
        <v>350</v>
      </c>
      <c r="G270" s="12">
        <f>D270*F270</f>
        <v>7000</v>
      </c>
      <c r="H270" s="27" t="s">
        <v>486</v>
      </c>
      <c r="I270" s="25" t="s">
        <v>147</v>
      </c>
      <c r="J270" s="37" t="s">
        <v>146</v>
      </c>
      <c r="K270" s="12">
        <f>7000</f>
        <v>7000</v>
      </c>
      <c r="L270" s="84"/>
      <c r="M270" s="41"/>
      <c r="N270" s="41">
        <v>752</v>
      </c>
    </row>
    <row r="271" spans="1:15" s="7" customFormat="1" x14ac:dyDescent="0.25">
      <c r="A271" s="6"/>
      <c r="B271" s="24">
        <v>44357</v>
      </c>
      <c r="C271" s="37" t="s">
        <v>59</v>
      </c>
      <c r="D271" s="26">
        <v>38.6</v>
      </c>
      <c r="E271" s="25" t="s">
        <v>28</v>
      </c>
      <c r="F271" s="26">
        <v>238</v>
      </c>
      <c r="G271" s="12">
        <f t="shared" ref="G271:G279" si="11">D271*F271</f>
        <v>9186.8000000000011</v>
      </c>
      <c r="H271" s="27" t="s">
        <v>281</v>
      </c>
      <c r="I271" s="25" t="s">
        <v>147</v>
      </c>
      <c r="J271" s="37" t="s">
        <v>37</v>
      </c>
      <c r="K271" s="12"/>
      <c r="L271" s="84"/>
      <c r="M271" s="41">
        <v>335</v>
      </c>
      <c r="N271" s="41">
        <v>753</v>
      </c>
      <c r="O271" s="7" t="s">
        <v>459</v>
      </c>
    </row>
    <row r="272" spans="1:15" s="7" customFormat="1" x14ac:dyDescent="0.25">
      <c r="A272" s="6"/>
      <c r="B272" s="24">
        <v>44357</v>
      </c>
      <c r="C272" s="37" t="s">
        <v>59</v>
      </c>
      <c r="D272" s="26">
        <v>5.5</v>
      </c>
      <c r="E272" s="25" t="s">
        <v>28</v>
      </c>
      <c r="F272" s="26">
        <v>400</v>
      </c>
      <c r="G272" s="12">
        <f t="shared" si="11"/>
        <v>2200</v>
      </c>
      <c r="H272" s="27" t="s">
        <v>280</v>
      </c>
      <c r="I272" s="25" t="s">
        <v>147</v>
      </c>
      <c r="J272" s="37" t="s">
        <v>146</v>
      </c>
      <c r="K272" s="12"/>
      <c r="L272" s="84"/>
      <c r="M272" s="41">
        <v>899</v>
      </c>
      <c r="N272" s="41">
        <v>751</v>
      </c>
      <c r="O272" s="7" t="s">
        <v>459</v>
      </c>
    </row>
    <row r="273" spans="1:15" s="7" customFormat="1" x14ac:dyDescent="0.25">
      <c r="A273" s="6"/>
      <c r="B273" s="24">
        <v>44357</v>
      </c>
      <c r="C273" s="37" t="s">
        <v>59</v>
      </c>
      <c r="D273" s="26">
        <v>9945</v>
      </c>
      <c r="E273" s="25" t="s">
        <v>28</v>
      </c>
      <c r="F273" s="26">
        <v>95.5</v>
      </c>
      <c r="G273" s="12">
        <f t="shared" si="11"/>
        <v>949747.5</v>
      </c>
      <c r="H273" s="27" t="s">
        <v>481</v>
      </c>
      <c r="I273" s="25" t="s">
        <v>294</v>
      </c>
      <c r="J273" s="37" t="s">
        <v>34</v>
      </c>
      <c r="K273" s="12">
        <v>0</v>
      </c>
      <c r="L273" s="84"/>
      <c r="M273" s="41"/>
      <c r="N273" s="41">
        <v>451</v>
      </c>
      <c r="O273" s="7" t="s">
        <v>578</v>
      </c>
    </row>
    <row r="274" spans="1:15" s="7" customFormat="1" ht="22.5" x14ac:dyDescent="0.25">
      <c r="A274" s="6"/>
      <c r="B274" s="24">
        <v>44357</v>
      </c>
      <c r="C274" s="37" t="s">
        <v>79</v>
      </c>
      <c r="D274" s="26">
        <v>100</v>
      </c>
      <c r="E274" s="25" t="s">
        <v>278</v>
      </c>
      <c r="F274" s="26">
        <v>27.5</v>
      </c>
      <c r="G274" s="12">
        <f t="shared" si="11"/>
        <v>2750</v>
      </c>
      <c r="H274" s="27" t="s">
        <v>279</v>
      </c>
      <c r="I274" s="25" t="s">
        <v>147</v>
      </c>
      <c r="J274" s="37" t="s">
        <v>29</v>
      </c>
      <c r="K274" s="12"/>
      <c r="L274" s="84"/>
      <c r="M274" s="41"/>
      <c r="N274" s="41">
        <v>450</v>
      </c>
      <c r="O274" s="7" t="s">
        <v>459</v>
      </c>
    </row>
    <row r="275" spans="1:15" s="7" customFormat="1" x14ac:dyDescent="0.25">
      <c r="A275" s="6"/>
      <c r="B275" s="24">
        <v>44356</v>
      </c>
      <c r="C275" s="37" t="s">
        <v>79</v>
      </c>
      <c r="D275" s="26"/>
      <c r="E275" s="25"/>
      <c r="F275" s="26"/>
      <c r="G275" s="12">
        <f>570+720</f>
        <v>1290</v>
      </c>
      <c r="H275" s="27" t="s">
        <v>479</v>
      </c>
      <c r="I275" s="25" t="s">
        <v>147</v>
      </c>
      <c r="J275" s="37" t="s">
        <v>147</v>
      </c>
      <c r="K275" s="12"/>
      <c r="L275" s="84"/>
      <c r="M275" s="41"/>
      <c r="N275" s="41"/>
    </row>
    <row r="276" spans="1:15" s="7" customFormat="1" x14ac:dyDescent="0.25">
      <c r="A276" s="6"/>
      <c r="B276" s="24">
        <v>44356</v>
      </c>
      <c r="C276" s="37" t="s">
        <v>79</v>
      </c>
      <c r="D276" s="26">
        <v>1880</v>
      </c>
      <c r="E276" s="25" t="s">
        <v>28</v>
      </c>
      <c r="F276" s="26">
        <v>96</v>
      </c>
      <c r="G276" s="12">
        <f t="shared" si="11"/>
        <v>180480</v>
      </c>
      <c r="H276" s="27" t="s">
        <v>276</v>
      </c>
      <c r="I276" s="25" t="s">
        <v>277</v>
      </c>
      <c r="J276" s="37" t="s">
        <v>20</v>
      </c>
      <c r="K276" s="12">
        <v>0</v>
      </c>
      <c r="L276" s="84"/>
      <c r="M276" s="41"/>
      <c r="N276" s="41">
        <v>446</v>
      </c>
    </row>
    <row r="277" spans="1:15" s="7" customFormat="1" x14ac:dyDescent="0.25">
      <c r="A277" s="6"/>
      <c r="B277" s="24">
        <v>44356</v>
      </c>
      <c r="C277" s="37" t="s">
        <v>59</v>
      </c>
      <c r="D277" s="26">
        <v>1015</v>
      </c>
      <c r="E277" s="25" t="s">
        <v>28</v>
      </c>
      <c r="F277" s="26">
        <v>98</v>
      </c>
      <c r="G277" s="12">
        <f t="shared" si="11"/>
        <v>99470</v>
      </c>
      <c r="H277" s="27" t="s">
        <v>275</v>
      </c>
      <c r="I277" s="25" t="s">
        <v>153</v>
      </c>
      <c r="J277" s="37" t="s">
        <v>139</v>
      </c>
      <c r="K277" s="12"/>
      <c r="L277" s="84"/>
      <c r="M277" s="41"/>
      <c r="N277" s="41">
        <v>447</v>
      </c>
      <c r="O277" s="7" t="s">
        <v>459</v>
      </c>
    </row>
    <row r="278" spans="1:15" s="7" customFormat="1" x14ac:dyDescent="0.25">
      <c r="A278" s="6"/>
      <c r="B278" s="24">
        <v>44356</v>
      </c>
      <c r="C278" s="37" t="s">
        <v>79</v>
      </c>
      <c r="D278" s="26">
        <v>1015</v>
      </c>
      <c r="E278" s="25" t="s">
        <v>28</v>
      </c>
      <c r="F278" s="26">
        <v>98</v>
      </c>
      <c r="G278" s="12">
        <f t="shared" si="11"/>
        <v>99470</v>
      </c>
      <c r="H278" s="27" t="s">
        <v>274</v>
      </c>
      <c r="I278" s="25" t="s">
        <v>153</v>
      </c>
      <c r="J278" s="37" t="s">
        <v>139</v>
      </c>
      <c r="K278" s="12"/>
      <c r="L278" s="84"/>
      <c r="M278" s="41"/>
      <c r="N278" s="41">
        <v>447</v>
      </c>
      <c r="O278" s="7" t="s">
        <v>459</v>
      </c>
    </row>
    <row r="279" spans="1:15" s="7" customFormat="1" ht="22.5" x14ac:dyDescent="0.25">
      <c r="A279" s="6"/>
      <c r="B279" s="24">
        <v>44356</v>
      </c>
      <c r="C279" s="37" t="s">
        <v>79</v>
      </c>
      <c r="D279" s="26">
        <v>6050</v>
      </c>
      <c r="E279" s="25" t="s">
        <v>272</v>
      </c>
      <c r="F279" s="26">
        <v>2</v>
      </c>
      <c r="G279" s="12">
        <f t="shared" si="11"/>
        <v>12100</v>
      </c>
      <c r="H279" s="27" t="s">
        <v>273</v>
      </c>
      <c r="I279" s="25" t="s">
        <v>147</v>
      </c>
      <c r="J279" s="37" t="s">
        <v>30</v>
      </c>
      <c r="K279" s="12">
        <v>0</v>
      </c>
      <c r="L279" s="84"/>
      <c r="M279" s="41"/>
      <c r="N279" s="41">
        <v>449</v>
      </c>
      <c r="O279" s="7" t="s">
        <v>459</v>
      </c>
    </row>
    <row r="280" spans="1:15" s="7" customFormat="1" ht="22.5" x14ac:dyDescent="0.25">
      <c r="A280" s="6"/>
      <c r="B280" s="24">
        <v>44356</v>
      </c>
      <c r="C280" s="37" t="s">
        <v>79</v>
      </c>
      <c r="D280" s="26">
        <v>335</v>
      </c>
      <c r="E280" s="25" t="s">
        <v>28</v>
      </c>
      <c r="F280" s="26">
        <v>41</v>
      </c>
      <c r="G280" s="12">
        <f>570+500+1000+12100+1400+220</f>
        <v>15790</v>
      </c>
      <c r="H280" s="27" t="s">
        <v>271</v>
      </c>
      <c r="I280" s="25" t="s">
        <v>253</v>
      </c>
      <c r="J280" s="37" t="s">
        <v>29</v>
      </c>
      <c r="K280" s="12">
        <v>0</v>
      </c>
      <c r="L280" s="84"/>
      <c r="M280" s="41"/>
      <c r="N280" s="41">
        <v>448</v>
      </c>
      <c r="O280" s="7" t="s">
        <v>459</v>
      </c>
    </row>
    <row r="281" spans="1:15" s="7" customFormat="1" x14ac:dyDescent="0.25">
      <c r="A281" s="6"/>
      <c r="B281" s="24">
        <v>44355</v>
      </c>
      <c r="C281" s="37" t="s">
        <v>79</v>
      </c>
      <c r="D281" s="26"/>
      <c r="E281" s="25"/>
      <c r="F281" s="26"/>
      <c r="G281" s="12">
        <v>12420</v>
      </c>
      <c r="H281" s="27" t="s">
        <v>479</v>
      </c>
      <c r="I281" s="25" t="s">
        <v>147</v>
      </c>
      <c r="J281" s="37" t="s">
        <v>147</v>
      </c>
      <c r="K281" s="12"/>
      <c r="L281" s="84"/>
      <c r="M281" s="41">
        <v>894</v>
      </c>
      <c r="N281" s="41"/>
    </row>
    <row r="282" spans="1:15" s="7" customFormat="1" x14ac:dyDescent="0.25">
      <c r="A282" s="6"/>
      <c r="B282" s="24">
        <v>44355</v>
      </c>
      <c r="C282" s="37" t="s">
        <v>59</v>
      </c>
      <c r="D282" s="26">
        <v>101</v>
      </c>
      <c r="E282" s="25" t="s">
        <v>28</v>
      </c>
      <c r="F282" s="26">
        <v>96</v>
      </c>
      <c r="G282" s="12">
        <f t="shared" ref="G282:G290" si="12">D282*F282</f>
        <v>9696</v>
      </c>
      <c r="H282" s="27" t="s">
        <v>267</v>
      </c>
      <c r="I282" s="77" t="s">
        <v>226</v>
      </c>
      <c r="J282" s="37" t="s">
        <v>146</v>
      </c>
      <c r="K282" s="12"/>
      <c r="L282" s="84"/>
      <c r="M282" s="41"/>
      <c r="N282" s="41">
        <v>445</v>
      </c>
      <c r="O282" s="7" t="s">
        <v>459</v>
      </c>
    </row>
    <row r="283" spans="1:15" s="7" customFormat="1" ht="22.5" x14ac:dyDescent="0.25">
      <c r="A283" s="6"/>
      <c r="B283" s="24">
        <v>44355</v>
      </c>
      <c r="C283" s="82" t="s">
        <v>59</v>
      </c>
      <c r="D283" s="26">
        <f>744.4</f>
        <v>744.4</v>
      </c>
      <c r="E283" s="25" t="s">
        <v>28</v>
      </c>
      <c r="F283" s="26">
        <v>1400</v>
      </c>
      <c r="G283" s="12">
        <f t="shared" si="12"/>
        <v>1042160</v>
      </c>
      <c r="H283" s="27" t="s">
        <v>265</v>
      </c>
      <c r="I283" s="25" t="s">
        <v>188</v>
      </c>
      <c r="J283" s="37" t="s">
        <v>32</v>
      </c>
      <c r="K283" s="12">
        <v>0</v>
      </c>
      <c r="L283" s="84"/>
      <c r="M283" s="41"/>
      <c r="N283" s="41" t="s">
        <v>480</v>
      </c>
      <c r="O283" s="7" t="s">
        <v>578</v>
      </c>
    </row>
    <row r="284" spans="1:15" s="7" customFormat="1" ht="22.5" x14ac:dyDescent="0.25">
      <c r="A284" s="6"/>
      <c r="B284" s="24">
        <v>44355</v>
      </c>
      <c r="C284" s="82" t="s">
        <v>59</v>
      </c>
      <c r="D284" s="26">
        <f>559.9-6.8-58.9</f>
        <v>494.20000000000005</v>
      </c>
      <c r="E284" s="25" t="s">
        <v>28</v>
      </c>
      <c r="F284" s="26">
        <v>1400</v>
      </c>
      <c r="G284" s="12">
        <f t="shared" si="12"/>
        <v>691880.00000000012</v>
      </c>
      <c r="H284" s="27" t="s">
        <v>265</v>
      </c>
      <c r="I284" s="25" t="s">
        <v>188</v>
      </c>
      <c r="J284" s="37" t="s">
        <v>32</v>
      </c>
      <c r="K284" s="12">
        <v>0</v>
      </c>
      <c r="L284" s="84"/>
      <c r="M284" s="41"/>
      <c r="N284" s="41" t="s">
        <v>480</v>
      </c>
      <c r="O284" s="7" t="s">
        <v>578</v>
      </c>
    </row>
    <row r="285" spans="1:15" s="7" customFormat="1" x14ac:dyDescent="0.25">
      <c r="A285" s="6"/>
      <c r="B285" s="24">
        <v>44354</v>
      </c>
      <c r="C285" s="37" t="s">
        <v>79</v>
      </c>
      <c r="D285" s="26"/>
      <c r="E285" s="25"/>
      <c r="F285" s="26"/>
      <c r="G285" s="12">
        <v>35050</v>
      </c>
      <c r="H285" s="27" t="s">
        <v>479</v>
      </c>
      <c r="I285" s="25" t="s">
        <v>147</v>
      </c>
      <c r="J285" s="37" t="s">
        <v>147</v>
      </c>
      <c r="K285" s="12"/>
      <c r="L285" s="84"/>
      <c r="M285" s="41"/>
      <c r="N285" s="41">
        <v>891</v>
      </c>
    </row>
    <row r="286" spans="1:15" s="7" customFormat="1" x14ac:dyDescent="0.25">
      <c r="A286" s="6"/>
      <c r="B286" s="24">
        <v>44354</v>
      </c>
      <c r="C286" s="37" t="s">
        <v>79</v>
      </c>
      <c r="D286" s="26"/>
      <c r="E286" s="25"/>
      <c r="F286" s="26"/>
      <c r="G286" s="12">
        <v>30000</v>
      </c>
      <c r="H286" s="27" t="s">
        <v>466</v>
      </c>
      <c r="I286" s="25" t="s">
        <v>466</v>
      </c>
      <c r="J286" s="37" t="s">
        <v>33</v>
      </c>
      <c r="K286" s="12"/>
      <c r="L286" s="84"/>
      <c r="M286" s="41"/>
      <c r="N286" s="41">
        <v>893</v>
      </c>
    </row>
    <row r="287" spans="1:15" s="7" customFormat="1" x14ac:dyDescent="0.25">
      <c r="A287" s="6"/>
      <c r="B287" s="24">
        <v>44354</v>
      </c>
      <c r="C287" s="37" t="s">
        <v>59</v>
      </c>
      <c r="D287" s="26">
        <v>2275</v>
      </c>
      <c r="E287" s="25" t="s">
        <v>28</v>
      </c>
      <c r="F287" s="26">
        <v>99.5</v>
      </c>
      <c r="G287" s="12">
        <f t="shared" si="12"/>
        <v>226362.5</v>
      </c>
      <c r="H287" s="27" t="s">
        <v>258</v>
      </c>
      <c r="I287" s="25" t="s">
        <v>257</v>
      </c>
      <c r="J287" s="37" t="s">
        <v>139</v>
      </c>
      <c r="K287" s="12">
        <v>0</v>
      </c>
      <c r="L287" s="84"/>
      <c r="M287" s="41"/>
      <c r="N287" s="41">
        <v>441</v>
      </c>
      <c r="O287" s="7" t="s">
        <v>459</v>
      </c>
    </row>
    <row r="288" spans="1:15" s="7" customFormat="1" x14ac:dyDescent="0.25">
      <c r="A288" s="6"/>
      <c r="B288" s="24">
        <v>44354</v>
      </c>
      <c r="C288" s="37" t="s">
        <v>59</v>
      </c>
      <c r="D288" s="26">
        <v>846</v>
      </c>
      <c r="E288" s="25" t="s">
        <v>28</v>
      </c>
      <c r="F288" s="26">
        <v>295</v>
      </c>
      <c r="G288" s="12">
        <f t="shared" si="12"/>
        <v>249570</v>
      </c>
      <c r="H288" s="27" t="s">
        <v>237</v>
      </c>
      <c r="I288" s="25" t="s">
        <v>238</v>
      </c>
      <c r="J288" s="37" t="s">
        <v>31</v>
      </c>
      <c r="K288" s="12">
        <v>0</v>
      </c>
      <c r="L288" s="84"/>
      <c r="M288" s="41"/>
      <c r="N288" s="41">
        <v>440</v>
      </c>
      <c r="O288" s="7" t="s">
        <v>459</v>
      </c>
    </row>
    <row r="289" spans="1:15" s="7" customFormat="1" x14ac:dyDescent="0.25">
      <c r="A289" s="6"/>
      <c r="B289" s="24">
        <v>44353</v>
      </c>
      <c r="C289" s="37" t="s">
        <v>79</v>
      </c>
      <c r="D289" s="26"/>
      <c r="E289" s="25"/>
      <c r="F289" s="26"/>
      <c r="G289" s="12">
        <v>3000</v>
      </c>
      <c r="H289" s="27" t="s">
        <v>478</v>
      </c>
      <c r="I289" s="25" t="s">
        <v>147</v>
      </c>
      <c r="J289" s="37" t="s">
        <v>10</v>
      </c>
      <c r="K289" s="12"/>
      <c r="L289" s="84"/>
      <c r="M289" s="41"/>
      <c r="N289" s="41"/>
    </row>
    <row r="290" spans="1:15" s="7" customFormat="1" x14ac:dyDescent="0.25">
      <c r="A290" s="6"/>
      <c r="B290" s="24">
        <v>44353</v>
      </c>
      <c r="C290" s="37" t="s">
        <v>59</v>
      </c>
      <c r="D290" s="26">
        <f>750.1-3.2-89.9</f>
        <v>657</v>
      </c>
      <c r="E290" s="25" t="s">
        <v>28</v>
      </c>
      <c r="F290" s="26">
        <v>1400</v>
      </c>
      <c r="G290" s="12">
        <f t="shared" si="12"/>
        <v>919800</v>
      </c>
      <c r="H290" s="27" t="s">
        <v>266</v>
      </c>
      <c r="I290" s="25" t="s">
        <v>188</v>
      </c>
      <c r="J290" s="37" t="s">
        <v>32</v>
      </c>
      <c r="K290" s="12">
        <v>0</v>
      </c>
      <c r="L290" s="84"/>
      <c r="M290" s="41"/>
      <c r="N290" s="41">
        <v>439</v>
      </c>
      <c r="O290" s="7" t="s">
        <v>578</v>
      </c>
    </row>
    <row r="291" spans="1:15" s="7" customFormat="1" x14ac:dyDescent="0.25">
      <c r="A291" s="6"/>
      <c r="B291" s="24">
        <v>44353</v>
      </c>
      <c r="C291" s="37" t="s">
        <v>59</v>
      </c>
      <c r="D291" s="26"/>
      <c r="E291" s="25"/>
      <c r="F291" s="26"/>
      <c r="G291" s="12">
        <v>125000</v>
      </c>
      <c r="H291" s="27" t="s">
        <v>259</v>
      </c>
      <c r="I291" s="25" t="s">
        <v>260</v>
      </c>
      <c r="J291" s="37" t="s">
        <v>38</v>
      </c>
      <c r="K291" s="12"/>
      <c r="L291" s="84"/>
      <c r="M291" s="41" t="s">
        <v>264</v>
      </c>
      <c r="N291" s="41"/>
      <c r="O291" s="7" t="s">
        <v>459</v>
      </c>
    </row>
    <row r="292" spans="1:15" s="7" customFormat="1" x14ac:dyDescent="0.25">
      <c r="A292" s="6"/>
      <c r="B292" s="24">
        <v>44353</v>
      </c>
      <c r="C292" s="37" t="s">
        <v>59</v>
      </c>
      <c r="D292" s="26">
        <v>1294</v>
      </c>
      <c r="E292" s="25" t="s">
        <v>28</v>
      </c>
      <c r="F292" s="26">
        <v>295</v>
      </c>
      <c r="G292" s="12">
        <f>D292*F292</f>
        <v>381730</v>
      </c>
      <c r="H292" s="27" t="s">
        <v>237</v>
      </c>
      <c r="I292" s="25" t="s">
        <v>238</v>
      </c>
      <c r="J292" s="37" t="s">
        <v>31</v>
      </c>
      <c r="K292" s="12">
        <v>0</v>
      </c>
      <c r="L292" s="84"/>
      <c r="M292" s="41"/>
      <c r="N292" s="41">
        <v>438</v>
      </c>
      <c r="O292" s="7" t="s">
        <v>459</v>
      </c>
    </row>
    <row r="293" spans="1:15" s="7" customFormat="1" x14ac:dyDescent="0.25">
      <c r="A293" s="6"/>
      <c r="B293" s="24">
        <v>44352</v>
      </c>
      <c r="C293" s="37" t="s">
        <v>79</v>
      </c>
      <c r="D293" s="26"/>
      <c r="E293" s="25"/>
      <c r="F293" s="26"/>
      <c r="G293" s="12">
        <v>800</v>
      </c>
      <c r="H293" s="27" t="s">
        <v>263</v>
      </c>
      <c r="I293" s="25" t="s">
        <v>147</v>
      </c>
      <c r="J293" s="37" t="s">
        <v>228</v>
      </c>
      <c r="K293" s="12"/>
      <c r="L293" s="84"/>
      <c r="M293" s="41">
        <v>885</v>
      </c>
      <c r="N293" s="41"/>
      <c r="O293" s="7" t="s">
        <v>459</v>
      </c>
    </row>
    <row r="294" spans="1:15" s="7" customFormat="1" ht="22.5" x14ac:dyDescent="0.25">
      <c r="A294" s="6"/>
      <c r="B294" s="24">
        <v>44352</v>
      </c>
      <c r="C294" s="37" t="s">
        <v>79</v>
      </c>
      <c r="D294" s="26">
        <v>405</v>
      </c>
      <c r="E294" s="25" t="s">
        <v>28</v>
      </c>
      <c r="F294" s="26">
        <v>43</v>
      </c>
      <c r="G294" s="12">
        <v>17400</v>
      </c>
      <c r="H294" s="27" t="s">
        <v>261</v>
      </c>
      <c r="I294" s="25" t="s">
        <v>147</v>
      </c>
      <c r="J294" s="37" t="s">
        <v>29</v>
      </c>
      <c r="K294" s="12"/>
      <c r="L294" s="84"/>
      <c r="M294" s="41">
        <v>890</v>
      </c>
      <c r="N294" s="41"/>
      <c r="O294" s="7" t="s">
        <v>459</v>
      </c>
    </row>
    <row r="295" spans="1:15" s="7" customFormat="1" x14ac:dyDescent="0.25">
      <c r="A295" s="6"/>
      <c r="B295" s="24">
        <v>44352</v>
      </c>
      <c r="C295" s="37" t="s">
        <v>79</v>
      </c>
      <c r="D295" s="26"/>
      <c r="E295" s="25"/>
      <c r="F295" s="26"/>
      <c r="G295" s="12">
        <v>800</v>
      </c>
      <c r="H295" s="27" t="s">
        <v>262</v>
      </c>
      <c r="I295" s="25" t="s">
        <v>147</v>
      </c>
      <c r="J295" s="37" t="s">
        <v>228</v>
      </c>
      <c r="K295" s="12"/>
      <c r="L295" s="84"/>
      <c r="M295" s="41">
        <v>885</v>
      </c>
      <c r="N295" s="41"/>
      <c r="O295" s="7" t="s">
        <v>459</v>
      </c>
    </row>
    <row r="296" spans="1:15" s="7" customFormat="1" x14ac:dyDescent="0.25">
      <c r="A296" s="6"/>
      <c r="B296" s="24">
        <v>44352</v>
      </c>
      <c r="C296" s="37" t="s">
        <v>59</v>
      </c>
      <c r="D296" s="26">
        <v>227.4</v>
      </c>
      <c r="E296" s="25" t="s">
        <v>28</v>
      </c>
      <c r="F296" s="26">
        <v>331</v>
      </c>
      <c r="G296" s="12">
        <f>D296*F296</f>
        <v>75269.400000000009</v>
      </c>
      <c r="H296" s="27" t="s">
        <v>268</v>
      </c>
      <c r="I296" s="25" t="s">
        <v>257</v>
      </c>
      <c r="J296" s="37" t="s">
        <v>31</v>
      </c>
      <c r="K296" s="12"/>
      <c r="L296" s="84"/>
      <c r="M296" s="41">
        <v>882</v>
      </c>
      <c r="N296" s="41">
        <v>437</v>
      </c>
      <c r="O296" s="7" t="s">
        <v>459</v>
      </c>
    </row>
    <row r="297" spans="1:15" s="7" customFormat="1" x14ac:dyDescent="0.25">
      <c r="A297" s="6"/>
      <c r="B297" s="24">
        <v>44352</v>
      </c>
      <c r="C297" s="37" t="s">
        <v>59</v>
      </c>
      <c r="D297" s="26">
        <v>6388</v>
      </c>
      <c r="E297" s="25" t="s">
        <v>28</v>
      </c>
      <c r="F297" s="26">
        <f>95.5+4</f>
        <v>99.5</v>
      </c>
      <c r="G297" s="12">
        <f>D297*F297</f>
        <v>635606</v>
      </c>
      <c r="H297" s="27" t="s">
        <v>258</v>
      </c>
      <c r="I297" s="25" t="s">
        <v>257</v>
      </c>
      <c r="J297" s="37" t="s">
        <v>139</v>
      </c>
      <c r="K297" s="12">
        <v>0</v>
      </c>
      <c r="L297" s="84"/>
      <c r="M297" s="41">
        <v>882</v>
      </c>
      <c r="N297" s="41">
        <v>437</v>
      </c>
      <c r="O297" s="7" t="s">
        <v>459</v>
      </c>
    </row>
    <row r="298" spans="1:15" s="7" customFormat="1" x14ac:dyDescent="0.25">
      <c r="A298" s="6"/>
      <c r="B298" s="24">
        <v>44352</v>
      </c>
      <c r="C298" s="37" t="s">
        <v>59</v>
      </c>
      <c r="D298" s="26">
        <f>19.4+67.3</f>
        <v>86.699999999999989</v>
      </c>
      <c r="E298" s="25" t="s">
        <v>28</v>
      </c>
      <c r="F298" s="26">
        <f>G298/D298</f>
        <v>241.29181084198387</v>
      </c>
      <c r="G298" s="12">
        <v>20920</v>
      </c>
      <c r="H298" s="27" t="s">
        <v>256</v>
      </c>
      <c r="I298" s="25" t="s">
        <v>257</v>
      </c>
      <c r="J298" s="37" t="s">
        <v>37</v>
      </c>
      <c r="K298" s="12">
        <v>0</v>
      </c>
      <c r="L298" s="84"/>
      <c r="M298" s="41">
        <v>881</v>
      </c>
      <c r="N298" s="41">
        <v>435</v>
      </c>
      <c r="O298" s="7" t="s">
        <v>459</v>
      </c>
    </row>
    <row r="299" spans="1:15" s="7" customFormat="1" x14ac:dyDescent="0.25">
      <c r="A299" s="6"/>
      <c r="B299" s="24">
        <v>44352</v>
      </c>
      <c r="C299" s="37" t="s">
        <v>79</v>
      </c>
      <c r="D299" s="26">
        <v>0.75</v>
      </c>
      <c r="E299" s="25"/>
      <c r="F299" s="26">
        <v>13655</v>
      </c>
      <c r="G299" s="12">
        <v>10200</v>
      </c>
      <c r="H299" s="27" t="s">
        <v>270</v>
      </c>
      <c r="I299" s="25" t="s">
        <v>269</v>
      </c>
      <c r="J299" s="37" t="s">
        <v>228</v>
      </c>
      <c r="K299" s="12">
        <v>0</v>
      </c>
      <c r="L299" s="84"/>
      <c r="M299" s="41">
        <v>883</v>
      </c>
      <c r="N299" s="41"/>
      <c r="O299" s="7" t="s">
        <v>459</v>
      </c>
    </row>
    <row r="300" spans="1:15" s="7" customFormat="1" x14ac:dyDescent="0.25">
      <c r="A300" s="6"/>
      <c r="B300" s="24">
        <v>44352</v>
      </c>
      <c r="C300" s="37" t="s">
        <v>59</v>
      </c>
      <c r="D300" s="26">
        <v>13655</v>
      </c>
      <c r="E300" s="25" t="s">
        <v>28</v>
      </c>
      <c r="F300" s="26">
        <v>95.5</v>
      </c>
      <c r="G300" s="12">
        <f>D300*F300</f>
        <v>1304052.5</v>
      </c>
      <c r="H300" s="27" t="s">
        <v>255</v>
      </c>
      <c r="I300" s="25" t="s">
        <v>294</v>
      </c>
      <c r="J300" s="37" t="s">
        <v>34</v>
      </c>
      <c r="K300" s="12">
        <v>0</v>
      </c>
      <c r="L300" s="84"/>
      <c r="M300" s="41"/>
      <c r="N300" s="41">
        <v>434</v>
      </c>
      <c r="O300" s="7" t="s">
        <v>578</v>
      </c>
    </row>
    <row r="301" spans="1:15" s="7" customFormat="1" x14ac:dyDescent="0.25">
      <c r="A301" s="6"/>
      <c r="B301" s="24">
        <v>44350</v>
      </c>
      <c r="C301" s="37" t="s">
        <v>79</v>
      </c>
      <c r="D301" s="26"/>
      <c r="E301" s="25"/>
      <c r="F301" s="26"/>
      <c r="G301" s="12">
        <v>198000</v>
      </c>
      <c r="H301" s="27" t="s">
        <v>197</v>
      </c>
      <c r="I301" s="25" t="s">
        <v>466</v>
      </c>
      <c r="J301" s="37" t="s">
        <v>33</v>
      </c>
      <c r="K301" s="12">
        <v>0</v>
      </c>
      <c r="L301" s="84"/>
      <c r="M301" s="41">
        <v>879</v>
      </c>
      <c r="N301" s="41"/>
      <c r="O301" s="7" t="s">
        <v>459</v>
      </c>
    </row>
    <row r="302" spans="1:15" s="7" customFormat="1" x14ac:dyDescent="0.25">
      <c r="A302" s="6"/>
      <c r="B302" s="24">
        <v>44350</v>
      </c>
      <c r="C302" s="37" t="s">
        <v>79</v>
      </c>
      <c r="D302" s="26"/>
      <c r="E302" s="25"/>
      <c r="F302" s="26"/>
      <c r="G302" s="12">
        <v>50</v>
      </c>
      <c r="H302" s="27" t="s">
        <v>252</v>
      </c>
      <c r="I302" s="25" t="s">
        <v>254</v>
      </c>
      <c r="J302" s="37" t="s">
        <v>228</v>
      </c>
      <c r="K302" s="12">
        <v>0</v>
      </c>
      <c r="L302" s="84"/>
      <c r="M302" s="41">
        <v>873</v>
      </c>
      <c r="N302" s="41"/>
      <c r="O302" s="7" t="s">
        <v>459</v>
      </c>
    </row>
    <row r="303" spans="1:15" s="7" customFormat="1" x14ac:dyDescent="0.25">
      <c r="A303" s="6"/>
      <c r="B303" s="24">
        <v>44350</v>
      </c>
      <c r="C303" s="37" t="s">
        <v>59</v>
      </c>
      <c r="D303" s="26">
        <f>955.3+2.5-9.4</f>
        <v>948.4</v>
      </c>
      <c r="E303" s="25" t="s">
        <v>28</v>
      </c>
      <c r="F303" s="26">
        <v>1400</v>
      </c>
      <c r="G303" s="12">
        <f>D303*F303</f>
        <v>1327760</v>
      </c>
      <c r="H303" s="27" t="s">
        <v>266</v>
      </c>
      <c r="I303" s="25" t="s">
        <v>188</v>
      </c>
      <c r="J303" s="82" t="s">
        <v>32</v>
      </c>
      <c r="K303" s="12">
        <v>0</v>
      </c>
      <c r="L303" s="84"/>
      <c r="M303" s="41"/>
      <c r="N303" s="41">
        <v>433</v>
      </c>
      <c r="O303" s="7" t="s">
        <v>578</v>
      </c>
    </row>
    <row r="304" spans="1:15" s="7" customFormat="1" ht="22.5" x14ac:dyDescent="0.25">
      <c r="A304" s="6"/>
      <c r="B304" s="24">
        <v>44349</v>
      </c>
      <c r="C304" s="37" t="s">
        <v>79</v>
      </c>
      <c r="D304" s="26"/>
      <c r="E304" s="25"/>
      <c r="F304" s="26"/>
      <c r="G304" s="12">
        <v>2000</v>
      </c>
      <c r="H304" s="27" t="s">
        <v>148</v>
      </c>
      <c r="I304" s="25" t="s">
        <v>148</v>
      </c>
      <c r="J304" s="82" t="s">
        <v>30</v>
      </c>
      <c r="K304" s="12">
        <v>0</v>
      </c>
      <c r="L304" s="84"/>
      <c r="M304" s="41">
        <v>874</v>
      </c>
      <c r="N304" s="41"/>
    </row>
    <row r="305" spans="1:15" s="7" customFormat="1" x14ac:dyDescent="0.25">
      <c r="A305" s="6"/>
      <c r="B305" s="24">
        <v>44349</v>
      </c>
      <c r="C305" s="37" t="s">
        <v>59</v>
      </c>
      <c r="D305" s="26">
        <v>136.19999999999999</v>
      </c>
      <c r="E305" s="25" t="s">
        <v>28</v>
      </c>
      <c r="F305" s="26">
        <v>96</v>
      </c>
      <c r="G305" s="12">
        <f>D305*F305</f>
        <v>13075.199999999999</v>
      </c>
      <c r="H305" s="27" t="s">
        <v>251</v>
      </c>
      <c r="I305" s="77" t="s">
        <v>226</v>
      </c>
      <c r="J305" s="37" t="s">
        <v>146</v>
      </c>
      <c r="K305" s="12">
        <v>0</v>
      </c>
      <c r="L305" s="84"/>
      <c r="M305" s="41"/>
      <c r="N305" s="41">
        <v>432</v>
      </c>
      <c r="O305" s="7" t="s">
        <v>459</v>
      </c>
    </row>
    <row r="306" spans="1:15" s="7" customFormat="1" x14ac:dyDescent="0.25">
      <c r="A306" s="6"/>
      <c r="B306" s="24">
        <v>44349</v>
      </c>
      <c r="C306" s="37" t="s">
        <v>79</v>
      </c>
      <c r="D306" s="26">
        <v>1985</v>
      </c>
      <c r="E306" s="25" t="s">
        <v>28</v>
      </c>
      <c r="F306" s="26">
        <v>94.5</v>
      </c>
      <c r="G306" s="12">
        <f>D306*F306</f>
        <v>187582.5</v>
      </c>
      <c r="H306" s="27" t="s">
        <v>249</v>
      </c>
      <c r="I306" s="25" t="s">
        <v>250</v>
      </c>
      <c r="J306" s="37" t="s">
        <v>20</v>
      </c>
      <c r="K306" s="12">
        <v>0</v>
      </c>
      <c r="L306" s="84"/>
      <c r="M306" s="41"/>
      <c r="N306" s="41">
        <v>431</v>
      </c>
    </row>
    <row r="307" spans="1:15" s="7" customFormat="1" x14ac:dyDescent="0.25">
      <c r="A307" s="6"/>
      <c r="B307" s="24">
        <v>44349</v>
      </c>
      <c r="C307" s="37" t="s">
        <v>79</v>
      </c>
      <c r="D307" s="26"/>
      <c r="E307" s="25"/>
      <c r="F307" s="26"/>
      <c r="G307" s="12">
        <v>2780</v>
      </c>
      <c r="H307" s="72" t="s">
        <v>247</v>
      </c>
      <c r="I307" s="25" t="s">
        <v>248</v>
      </c>
      <c r="J307" s="37" t="s">
        <v>228</v>
      </c>
      <c r="K307" s="12">
        <v>0</v>
      </c>
      <c r="L307" s="84"/>
      <c r="M307" s="41">
        <v>871</v>
      </c>
      <c r="N307" s="41"/>
      <c r="O307" s="7" t="s">
        <v>459</v>
      </c>
    </row>
    <row r="308" spans="1:15" s="7" customFormat="1" x14ac:dyDescent="0.25">
      <c r="A308" s="6"/>
      <c r="B308" s="24">
        <v>44349</v>
      </c>
      <c r="C308" s="37" t="s">
        <v>79</v>
      </c>
      <c r="D308" s="26"/>
      <c r="E308" s="25"/>
      <c r="F308" s="26"/>
      <c r="G308" s="12">
        <v>2150</v>
      </c>
      <c r="H308" s="27" t="s">
        <v>246</v>
      </c>
      <c r="I308" s="25" t="s">
        <v>147</v>
      </c>
      <c r="J308" s="37" t="s">
        <v>228</v>
      </c>
      <c r="K308" s="12">
        <v>0</v>
      </c>
      <c r="L308" s="84"/>
      <c r="M308" s="41">
        <v>869</v>
      </c>
      <c r="N308" s="41"/>
      <c r="O308" s="7" t="s">
        <v>459</v>
      </c>
    </row>
    <row r="309" spans="1:15" s="7" customFormat="1" x14ac:dyDescent="0.25">
      <c r="A309" s="6"/>
      <c r="B309" s="24">
        <v>44349</v>
      </c>
      <c r="C309" s="37" t="s">
        <v>79</v>
      </c>
      <c r="D309" s="26"/>
      <c r="E309" s="25"/>
      <c r="F309" s="26"/>
      <c r="G309" s="12">
        <v>1000</v>
      </c>
      <c r="H309" s="27" t="s">
        <v>246</v>
      </c>
      <c r="I309" s="25" t="s">
        <v>147</v>
      </c>
      <c r="J309" s="37" t="s">
        <v>228</v>
      </c>
      <c r="K309" s="12">
        <v>0</v>
      </c>
      <c r="L309" s="84"/>
      <c r="M309" s="41">
        <v>873</v>
      </c>
      <c r="N309" s="41"/>
      <c r="O309" s="7" t="s">
        <v>459</v>
      </c>
    </row>
    <row r="310" spans="1:15" s="7" customFormat="1" ht="24" x14ac:dyDescent="0.25">
      <c r="A310" s="6"/>
      <c r="B310" s="24">
        <v>44349</v>
      </c>
      <c r="C310" s="37" t="s">
        <v>59</v>
      </c>
      <c r="D310" s="26">
        <v>4530</v>
      </c>
      <c r="E310" s="25" t="s">
        <v>28</v>
      </c>
      <c r="F310" s="26">
        <v>92.75</v>
      </c>
      <c r="G310" s="12">
        <f>D310*F310</f>
        <v>420157.5</v>
      </c>
      <c r="H310" s="72" t="s">
        <v>241</v>
      </c>
      <c r="I310" s="25" t="s">
        <v>215</v>
      </c>
      <c r="J310" s="37" t="s">
        <v>80</v>
      </c>
      <c r="K310" s="12">
        <v>0</v>
      </c>
      <c r="L310" s="84"/>
      <c r="M310" s="41"/>
      <c r="N310" s="41">
        <v>430</v>
      </c>
      <c r="O310" s="7" t="s">
        <v>459</v>
      </c>
    </row>
    <row r="311" spans="1:15" s="7" customFormat="1" x14ac:dyDescent="0.25">
      <c r="A311" s="6"/>
      <c r="B311" s="24">
        <v>44349</v>
      </c>
      <c r="C311" s="37" t="s">
        <v>59</v>
      </c>
      <c r="D311" s="26">
        <v>1793</v>
      </c>
      <c r="E311" s="25" t="s">
        <v>28</v>
      </c>
      <c r="F311" s="26">
        <v>295</v>
      </c>
      <c r="G311" s="12">
        <f>D311*F311</f>
        <v>528935</v>
      </c>
      <c r="H311" s="27" t="s">
        <v>237</v>
      </c>
      <c r="I311" s="25" t="s">
        <v>238</v>
      </c>
      <c r="J311" s="37" t="s">
        <v>31</v>
      </c>
      <c r="K311" s="12">
        <v>0</v>
      </c>
      <c r="L311" s="84"/>
      <c r="M311" s="41"/>
      <c r="N311" s="41">
        <v>428</v>
      </c>
      <c r="O311" s="7" t="s">
        <v>459</v>
      </c>
    </row>
    <row r="312" spans="1:15" s="7" customFormat="1" x14ac:dyDescent="0.25">
      <c r="A312" s="6"/>
      <c r="B312" s="24">
        <v>44349</v>
      </c>
      <c r="C312" s="37" t="s">
        <v>59</v>
      </c>
      <c r="D312" s="26">
        <v>11.7</v>
      </c>
      <c r="E312" s="25" t="s">
        <v>28</v>
      </c>
      <c r="F312" s="26">
        <f>G312/D312</f>
        <v>155.982905982906</v>
      </c>
      <c r="G312" s="12">
        <v>1825</v>
      </c>
      <c r="H312" s="27" t="s">
        <v>245</v>
      </c>
      <c r="I312" s="25" t="s">
        <v>236</v>
      </c>
      <c r="J312" s="37" t="s">
        <v>146</v>
      </c>
      <c r="K312" s="12">
        <v>0</v>
      </c>
      <c r="L312" s="84"/>
      <c r="M312" s="41">
        <v>870</v>
      </c>
      <c r="N312" s="41">
        <v>429</v>
      </c>
      <c r="O312" s="7" t="s">
        <v>459</v>
      </c>
    </row>
    <row r="313" spans="1:15" s="7" customFormat="1" x14ac:dyDescent="0.25">
      <c r="A313" s="6"/>
      <c r="B313" s="24">
        <v>44349</v>
      </c>
      <c r="C313" s="37" t="s">
        <v>59</v>
      </c>
      <c r="D313" s="26">
        <v>74.7</v>
      </c>
      <c r="E313" s="25" t="s">
        <v>28</v>
      </c>
      <c r="F313" s="26">
        <v>340</v>
      </c>
      <c r="G313" s="12">
        <f>D313*F313</f>
        <v>25398</v>
      </c>
      <c r="H313" s="27" t="s">
        <v>235</v>
      </c>
      <c r="I313" s="25" t="s">
        <v>236</v>
      </c>
      <c r="J313" s="37" t="s">
        <v>146</v>
      </c>
      <c r="K313" s="12">
        <v>0</v>
      </c>
      <c r="L313" s="84"/>
      <c r="M313" s="41">
        <v>870</v>
      </c>
      <c r="N313" s="41">
        <v>429</v>
      </c>
      <c r="O313" s="7" t="s">
        <v>459</v>
      </c>
    </row>
    <row r="314" spans="1:15" s="7" customFormat="1" x14ac:dyDescent="0.25">
      <c r="A314" s="6"/>
      <c r="B314" s="24">
        <v>44349</v>
      </c>
      <c r="C314" s="37" t="s">
        <v>59</v>
      </c>
      <c r="D314" s="26">
        <v>89.5</v>
      </c>
      <c r="E314" s="25" t="s">
        <v>28</v>
      </c>
      <c r="F314" s="26">
        <v>260</v>
      </c>
      <c r="G314" s="12">
        <f>D314*F314</f>
        <v>23270</v>
      </c>
      <c r="H314" s="27" t="s">
        <v>243</v>
      </c>
      <c r="I314" s="25" t="s">
        <v>234</v>
      </c>
      <c r="J314" s="37" t="s">
        <v>37</v>
      </c>
      <c r="K314" s="12">
        <v>0</v>
      </c>
      <c r="L314" s="84"/>
      <c r="M314" s="41" t="s">
        <v>477</v>
      </c>
      <c r="N314" s="41">
        <v>427</v>
      </c>
      <c r="O314" s="7" t="s">
        <v>459</v>
      </c>
    </row>
    <row r="315" spans="1:15" s="7" customFormat="1" x14ac:dyDescent="0.25">
      <c r="A315" s="6"/>
      <c r="B315" s="24">
        <v>44349</v>
      </c>
      <c r="C315" s="37" t="s">
        <v>59</v>
      </c>
      <c r="D315" s="26">
        <v>158.80000000000001</v>
      </c>
      <c r="E315" s="25" t="s">
        <v>28</v>
      </c>
      <c r="F315" s="26">
        <v>238</v>
      </c>
      <c r="G315" s="12">
        <f>D315*F315</f>
        <v>37794.400000000001</v>
      </c>
      <c r="H315" s="27" t="s">
        <v>244</v>
      </c>
      <c r="I315" s="25" t="s">
        <v>234</v>
      </c>
      <c r="J315" s="37" t="s">
        <v>37</v>
      </c>
      <c r="K315" s="12">
        <v>0</v>
      </c>
      <c r="L315" s="84"/>
      <c r="M315" s="41" t="s">
        <v>477</v>
      </c>
      <c r="N315" s="41">
        <v>427</v>
      </c>
      <c r="O315" s="7" t="s">
        <v>459</v>
      </c>
    </row>
    <row r="316" spans="1:15" s="7" customFormat="1" x14ac:dyDescent="0.25">
      <c r="A316" s="6"/>
      <c r="B316" s="24">
        <v>44349</v>
      </c>
      <c r="C316" s="37" t="s">
        <v>59</v>
      </c>
      <c r="D316" s="26">
        <f>784.2-0.5-5</f>
        <v>778.7</v>
      </c>
      <c r="E316" s="25" t="s">
        <v>28</v>
      </c>
      <c r="F316" s="26">
        <v>1400</v>
      </c>
      <c r="G316" s="12">
        <f>D316*F316</f>
        <v>1090180</v>
      </c>
      <c r="H316" s="27" t="s">
        <v>266</v>
      </c>
      <c r="I316" s="25" t="s">
        <v>188</v>
      </c>
      <c r="J316" s="37" t="s">
        <v>32</v>
      </c>
      <c r="K316" s="12">
        <v>0</v>
      </c>
      <c r="L316" s="84"/>
      <c r="M316" s="41"/>
      <c r="N316" s="41">
        <v>425</v>
      </c>
      <c r="O316" s="7" t="s">
        <v>578</v>
      </c>
    </row>
    <row r="317" spans="1:15" s="7" customFormat="1" x14ac:dyDescent="0.25">
      <c r="A317" s="6"/>
      <c r="B317" s="24">
        <v>44349</v>
      </c>
      <c r="C317" s="37" t="s">
        <v>59</v>
      </c>
      <c r="D317" s="26">
        <f>712.5+0.4-11.5</f>
        <v>701.4</v>
      </c>
      <c r="E317" s="25" t="s">
        <v>28</v>
      </c>
      <c r="F317" s="26">
        <v>1400</v>
      </c>
      <c r="G317" s="12">
        <f t="shared" ref="G317:G318" si="13">D317*F317</f>
        <v>981960</v>
      </c>
      <c r="H317" s="27" t="s">
        <v>266</v>
      </c>
      <c r="I317" s="25" t="s">
        <v>188</v>
      </c>
      <c r="J317" s="37" t="s">
        <v>32</v>
      </c>
      <c r="K317" s="12">
        <v>0</v>
      </c>
      <c r="L317" s="84"/>
      <c r="M317" s="41"/>
      <c r="N317" s="41">
        <v>426</v>
      </c>
      <c r="O317" s="7" t="s">
        <v>578</v>
      </c>
    </row>
    <row r="318" spans="1:15" s="7" customFormat="1" x14ac:dyDescent="0.25">
      <c r="A318" s="6"/>
      <c r="B318" s="24">
        <v>44349</v>
      </c>
      <c r="C318" s="37" t="s">
        <v>59</v>
      </c>
      <c r="D318" s="26">
        <f>648.9-0.1-1.8</f>
        <v>647</v>
      </c>
      <c r="E318" s="25" t="s">
        <v>28</v>
      </c>
      <c r="F318" s="26">
        <v>1400</v>
      </c>
      <c r="G318" s="12">
        <f t="shared" si="13"/>
        <v>905800</v>
      </c>
      <c r="H318" s="27" t="s">
        <v>266</v>
      </c>
      <c r="I318" s="25" t="s">
        <v>188</v>
      </c>
      <c r="J318" s="37" t="s">
        <v>32</v>
      </c>
      <c r="K318" s="12">
        <v>0</v>
      </c>
      <c r="L318" s="84"/>
      <c r="M318" s="41"/>
      <c r="N318" s="41">
        <v>424</v>
      </c>
      <c r="O318" s="7" t="s">
        <v>578</v>
      </c>
    </row>
    <row r="319" spans="1:15" s="7" customFormat="1" x14ac:dyDescent="0.25">
      <c r="A319" s="6"/>
      <c r="B319" s="24">
        <v>44348</v>
      </c>
      <c r="C319" s="37" t="s">
        <v>59</v>
      </c>
      <c r="D319" s="78">
        <v>2.1</v>
      </c>
      <c r="E319" s="79" t="s">
        <v>28</v>
      </c>
      <c r="F319" s="78">
        <f>G319/D319</f>
        <v>238.09523809523807</v>
      </c>
      <c r="G319" s="80">
        <v>500</v>
      </c>
      <c r="H319" s="81" t="s">
        <v>232</v>
      </c>
      <c r="I319" s="79" t="s">
        <v>217</v>
      </c>
      <c r="J319" s="37" t="s">
        <v>146</v>
      </c>
      <c r="K319" s="12">
        <v>0</v>
      </c>
      <c r="L319" s="84"/>
      <c r="M319" s="41"/>
      <c r="N319" s="41">
        <v>423</v>
      </c>
      <c r="O319" s="7" t="s">
        <v>459</v>
      </c>
    </row>
    <row r="320" spans="1:15" s="7" customFormat="1" ht="22.5" x14ac:dyDescent="0.25">
      <c r="A320" s="6"/>
      <c r="B320" s="24">
        <v>44348</v>
      </c>
      <c r="C320" s="37" t="s">
        <v>79</v>
      </c>
      <c r="D320" s="26"/>
      <c r="E320" s="25"/>
      <c r="F320" s="26"/>
      <c r="G320" s="12">
        <v>160</v>
      </c>
      <c r="H320" s="27" t="s">
        <v>240</v>
      </c>
      <c r="I320" s="25" t="s">
        <v>147</v>
      </c>
      <c r="J320" s="37" t="s">
        <v>29</v>
      </c>
      <c r="K320" s="12">
        <v>0</v>
      </c>
      <c r="L320" s="84"/>
      <c r="M320" s="41">
        <v>299</v>
      </c>
      <c r="N320" s="41"/>
      <c r="O320" s="7" t="s">
        <v>459</v>
      </c>
    </row>
    <row r="321" spans="1:15" s="7" customFormat="1" x14ac:dyDescent="0.25">
      <c r="A321" s="6"/>
      <c r="B321" s="24">
        <v>44348</v>
      </c>
      <c r="C321" s="37" t="s">
        <v>79</v>
      </c>
      <c r="D321" s="26"/>
      <c r="E321" s="25"/>
      <c r="F321" s="26"/>
      <c r="G321" s="12">
        <v>110</v>
      </c>
      <c r="H321" s="27" t="s">
        <v>239</v>
      </c>
      <c r="I321" s="25" t="s">
        <v>147</v>
      </c>
      <c r="J321" s="37" t="s">
        <v>228</v>
      </c>
      <c r="K321" s="12">
        <v>0</v>
      </c>
      <c r="L321" s="84"/>
      <c r="M321" s="41">
        <v>299</v>
      </c>
      <c r="N321" s="41"/>
      <c r="O321" s="7" t="s">
        <v>459</v>
      </c>
    </row>
    <row r="322" spans="1:15" s="7" customFormat="1" x14ac:dyDescent="0.25">
      <c r="A322" s="6"/>
      <c r="B322" s="24">
        <v>44348</v>
      </c>
      <c r="C322" s="37" t="s">
        <v>79</v>
      </c>
      <c r="D322" s="26"/>
      <c r="E322" s="25"/>
      <c r="F322" s="26"/>
      <c r="G322" s="12">
        <v>1000</v>
      </c>
      <c r="H322" s="27" t="s">
        <v>197</v>
      </c>
      <c r="I322" s="25" t="s">
        <v>466</v>
      </c>
      <c r="J322" s="37" t="s">
        <v>33</v>
      </c>
      <c r="K322" s="12">
        <v>0</v>
      </c>
      <c r="L322" s="84"/>
      <c r="M322" s="41">
        <v>298</v>
      </c>
      <c r="N322" s="41"/>
      <c r="O322" s="7" t="s">
        <v>459</v>
      </c>
    </row>
    <row r="323" spans="1:15" s="7" customFormat="1" ht="22.5" x14ac:dyDescent="0.25">
      <c r="A323" s="6"/>
      <c r="B323" s="24">
        <v>44348</v>
      </c>
      <c r="C323" s="37" t="s">
        <v>79</v>
      </c>
      <c r="D323" s="26">
        <v>100</v>
      </c>
      <c r="E323" s="25"/>
      <c r="F323" s="26">
        <v>27</v>
      </c>
      <c r="G323" s="12">
        <f>2700+100</f>
        <v>2800</v>
      </c>
      <c r="H323" s="27" t="s">
        <v>231</v>
      </c>
      <c r="I323" s="25" t="s">
        <v>147</v>
      </c>
      <c r="J323" s="37" t="s">
        <v>29</v>
      </c>
      <c r="K323" s="12">
        <v>0</v>
      </c>
      <c r="L323" s="84"/>
      <c r="M323" s="41">
        <v>296</v>
      </c>
      <c r="N323" s="41">
        <v>422</v>
      </c>
      <c r="O323" s="7" t="s">
        <v>459</v>
      </c>
    </row>
    <row r="324" spans="1:15" s="7" customFormat="1" x14ac:dyDescent="0.25">
      <c r="A324" s="6"/>
      <c r="B324" s="24">
        <v>44348</v>
      </c>
      <c r="C324" s="37" t="s">
        <v>79</v>
      </c>
      <c r="D324" s="26"/>
      <c r="E324" s="25"/>
      <c r="F324" s="26"/>
      <c r="G324" s="12">
        <v>800</v>
      </c>
      <c r="H324" s="27" t="s">
        <v>223</v>
      </c>
      <c r="I324" s="25" t="s">
        <v>224</v>
      </c>
      <c r="J324" s="37" t="s">
        <v>228</v>
      </c>
      <c r="K324" s="12">
        <v>0</v>
      </c>
      <c r="L324" s="84"/>
      <c r="M324" s="41">
        <v>294</v>
      </c>
      <c r="N324" s="41"/>
      <c r="O324" s="7" t="s">
        <v>459</v>
      </c>
    </row>
    <row r="325" spans="1:15" s="7" customFormat="1" ht="24" x14ac:dyDescent="0.25">
      <c r="A325" s="6"/>
      <c r="B325" s="24">
        <v>44348</v>
      </c>
      <c r="C325" s="37" t="s">
        <v>79</v>
      </c>
      <c r="D325" s="26">
        <v>300</v>
      </c>
      <c r="E325" s="25" t="s">
        <v>28</v>
      </c>
      <c r="F325" s="26">
        <v>43</v>
      </c>
      <c r="G325" s="12">
        <f>D325*F325+50+100</f>
        <v>13050</v>
      </c>
      <c r="H325" s="27" t="s">
        <v>225</v>
      </c>
      <c r="I325" s="25" t="s">
        <v>147</v>
      </c>
      <c r="J325" s="37" t="s">
        <v>29</v>
      </c>
      <c r="K325" s="12">
        <v>0</v>
      </c>
      <c r="L325" s="84"/>
      <c r="M325" s="41">
        <v>295</v>
      </c>
      <c r="N325" s="41">
        <v>421</v>
      </c>
      <c r="O325" s="7" t="s">
        <v>459</v>
      </c>
    </row>
    <row r="326" spans="1:15" s="7" customFormat="1" ht="22.5" x14ac:dyDescent="0.25">
      <c r="A326" s="6"/>
      <c r="B326" s="24">
        <v>44348</v>
      </c>
      <c r="C326" s="37" t="s">
        <v>79</v>
      </c>
      <c r="D326" s="26"/>
      <c r="E326" s="25"/>
      <c r="F326" s="26"/>
      <c r="G326" s="12">
        <v>7850</v>
      </c>
      <c r="H326" s="27" t="s">
        <v>222</v>
      </c>
      <c r="I326" s="25" t="s">
        <v>147</v>
      </c>
      <c r="J326" s="37" t="s">
        <v>29</v>
      </c>
      <c r="K326" s="12">
        <v>0</v>
      </c>
      <c r="L326" s="84"/>
      <c r="M326" s="41">
        <v>291</v>
      </c>
      <c r="N326" s="41"/>
      <c r="O326" s="7" t="s">
        <v>459</v>
      </c>
    </row>
    <row r="327" spans="1:15" s="7" customFormat="1" x14ac:dyDescent="0.25">
      <c r="A327" s="6"/>
      <c r="B327" s="24">
        <v>44346</v>
      </c>
      <c r="C327" s="37" t="s">
        <v>79</v>
      </c>
      <c r="D327" s="26"/>
      <c r="E327" s="25"/>
      <c r="F327" s="26"/>
      <c r="G327" s="12">
        <v>35000</v>
      </c>
      <c r="H327" s="27" t="s">
        <v>197</v>
      </c>
      <c r="I327" s="25" t="s">
        <v>466</v>
      </c>
      <c r="J327" s="37" t="s">
        <v>33</v>
      </c>
      <c r="K327" s="12">
        <v>0</v>
      </c>
      <c r="L327" s="84"/>
      <c r="M327" s="41">
        <v>290</v>
      </c>
      <c r="N327" s="41"/>
      <c r="O327" s="7" t="s">
        <v>459</v>
      </c>
    </row>
    <row r="328" spans="1:15" s="7" customFormat="1" ht="24" x14ac:dyDescent="0.25">
      <c r="A328" s="6"/>
      <c r="B328" s="24">
        <v>44346</v>
      </c>
      <c r="C328" s="37" t="s">
        <v>79</v>
      </c>
      <c r="D328" s="26"/>
      <c r="E328" s="25"/>
      <c r="F328" s="26"/>
      <c r="G328" s="12">
        <v>6000</v>
      </c>
      <c r="H328" s="27" t="s">
        <v>219</v>
      </c>
      <c r="I328" s="25" t="s">
        <v>215</v>
      </c>
      <c r="J328" s="37" t="s">
        <v>228</v>
      </c>
      <c r="K328" s="12">
        <v>0</v>
      </c>
      <c r="L328" s="84"/>
      <c r="M328" s="41">
        <v>292</v>
      </c>
      <c r="N328" s="41"/>
      <c r="O328" s="7" t="s">
        <v>459</v>
      </c>
    </row>
    <row r="329" spans="1:15" s="7" customFormat="1" x14ac:dyDescent="0.25">
      <c r="A329" s="6"/>
      <c r="B329" s="24">
        <v>44346</v>
      </c>
      <c r="C329" s="37" t="s">
        <v>79</v>
      </c>
      <c r="D329" s="26"/>
      <c r="E329" s="25"/>
      <c r="F329" s="26"/>
      <c r="G329" s="12">
        <v>1410</v>
      </c>
      <c r="H329" s="27" t="s">
        <v>218</v>
      </c>
      <c r="I329" s="25" t="s">
        <v>195</v>
      </c>
      <c r="J329" s="37" t="s">
        <v>147</v>
      </c>
      <c r="K329" s="12">
        <v>0</v>
      </c>
      <c r="L329" s="84"/>
      <c r="M329" s="41">
        <v>289</v>
      </c>
      <c r="N329" s="41"/>
      <c r="O329" s="7" t="s">
        <v>459</v>
      </c>
    </row>
    <row r="330" spans="1:15" s="7" customFormat="1" ht="22.5" x14ac:dyDescent="0.25">
      <c r="A330" s="6"/>
      <c r="B330" s="24">
        <v>44346</v>
      </c>
      <c r="C330" s="37" t="s">
        <v>59</v>
      </c>
      <c r="D330" s="26">
        <v>6010</v>
      </c>
      <c r="E330" s="25" t="s">
        <v>28</v>
      </c>
      <c r="F330" s="26">
        <v>94</v>
      </c>
      <c r="G330" s="12">
        <f>D330*F330</f>
        <v>564940</v>
      </c>
      <c r="H330" s="72" t="s">
        <v>241</v>
      </c>
      <c r="I330" s="77" t="s">
        <v>215</v>
      </c>
      <c r="J330" s="37" t="s">
        <v>80</v>
      </c>
      <c r="K330" s="12">
        <v>0</v>
      </c>
      <c r="L330" s="84"/>
      <c r="M330" s="41"/>
      <c r="N330" s="41">
        <v>420</v>
      </c>
      <c r="O330" s="7" t="s">
        <v>459</v>
      </c>
    </row>
    <row r="331" spans="1:15" s="7" customFormat="1" x14ac:dyDescent="0.25">
      <c r="A331" s="6"/>
      <c r="B331" s="24">
        <v>44346</v>
      </c>
      <c r="C331" s="37" t="s">
        <v>59</v>
      </c>
      <c r="D331" s="26">
        <v>31.4</v>
      </c>
      <c r="E331" s="25" t="s">
        <v>28</v>
      </c>
      <c r="F331" s="26">
        <v>375</v>
      </c>
      <c r="G331" s="12">
        <v>11800</v>
      </c>
      <c r="H331" s="27" t="s">
        <v>216</v>
      </c>
      <c r="I331" s="25" t="s">
        <v>217</v>
      </c>
      <c r="J331" s="37" t="s">
        <v>146</v>
      </c>
      <c r="K331" s="12">
        <v>0</v>
      </c>
      <c r="L331" s="84"/>
      <c r="M331" s="41">
        <v>288</v>
      </c>
      <c r="N331" s="41">
        <v>419</v>
      </c>
      <c r="O331" s="7" t="s">
        <v>459</v>
      </c>
    </row>
    <row r="332" spans="1:15" s="7" customFormat="1" x14ac:dyDescent="0.25">
      <c r="A332" s="6"/>
      <c r="B332" s="24">
        <v>44345</v>
      </c>
      <c r="C332" s="37" t="s">
        <v>79</v>
      </c>
      <c r="D332" s="26"/>
      <c r="E332" s="25"/>
      <c r="F332" s="26"/>
      <c r="G332" s="12">
        <v>50000</v>
      </c>
      <c r="H332" s="27" t="s">
        <v>197</v>
      </c>
      <c r="I332" s="25" t="s">
        <v>466</v>
      </c>
      <c r="J332" s="37" t="s">
        <v>33</v>
      </c>
      <c r="K332" s="12">
        <v>0</v>
      </c>
      <c r="L332" s="84"/>
      <c r="M332" s="41">
        <v>286</v>
      </c>
      <c r="N332" s="41"/>
      <c r="O332" s="7" t="s">
        <v>459</v>
      </c>
    </row>
    <row r="333" spans="1:15" s="7" customFormat="1" x14ac:dyDescent="0.25">
      <c r="A333" s="6"/>
      <c r="B333" s="24">
        <v>44345</v>
      </c>
      <c r="C333" s="37" t="s">
        <v>79</v>
      </c>
      <c r="D333" s="26"/>
      <c r="E333" s="25"/>
      <c r="F333" s="26"/>
      <c r="G333" s="12">
        <f>100+50</f>
        <v>150</v>
      </c>
      <c r="H333" s="27" t="s">
        <v>214</v>
      </c>
      <c r="I333" s="25" t="s">
        <v>147</v>
      </c>
      <c r="J333" s="37" t="s">
        <v>147</v>
      </c>
      <c r="K333" s="12">
        <v>0</v>
      </c>
      <c r="L333" s="84"/>
      <c r="M333" s="41">
        <v>285</v>
      </c>
      <c r="N333" s="41"/>
      <c r="O333" s="7" t="s">
        <v>459</v>
      </c>
    </row>
    <row r="334" spans="1:15" s="7" customFormat="1" x14ac:dyDescent="0.25">
      <c r="A334" s="6"/>
      <c r="B334" s="24">
        <v>44345</v>
      </c>
      <c r="C334" s="37" t="s">
        <v>79</v>
      </c>
      <c r="D334" s="26"/>
      <c r="E334" s="25"/>
      <c r="F334" s="26"/>
      <c r="G334" s="12">
        <v>150</v>
      </c>
      <c r="H334" s="27" t="s">
        <v>213</v>
      </c>
      <c r="I334" s="25" t="s">
        <v>147</v>
      </c>
      <c r="J334" s="37" t="s">
        <v>147</v>
      </c>
      <c r="K334" s="12">
        <v>0</v>
      </c>
      <c r="L334" s="84"/>
      <c r="M334" s="41">
        <v>285</v>
      </c>
      <c r="N334" s="41"/>
      <c r="O334" s="7" t="s">
        <v>459</v>
      </c>
    </row>
    <row r="335" spans="1:15" s="7" customFormat="1" x14ac:dyDescent="0.25">
      <c r="A335" s="6"/>
      <c r="B335" s="24">
        <v>44345</v>
      </c>
      <c r="C335" s="37" t="s">
        <v>59</v>
      </c>
      <c r="D335" s="49">
        <v>6430</v>
      </c>
      <c r="E335" s="50" t="s">
        <v>28</v>
      </c>
      <c r="F335" s="49">
        <v>95.5</v>
      </c>
      <c r="G335" s="51">
        <f>D335*F335</f>
        <v>614065</v>
      </c>
      <c r="H335" s="52" t="s">
        <v>211</v>
      </c>
      <c r="I335" s="50" t="s">
        <v>294</v>
      </c>
      <c r="J335" s="37" t="s">
        <v>34</v>
      </c>
      <c r="K335" s="12">
        <v>0</v>
      </c>
      <c r="L335" s="84"/>
      <c r="M335" s="41"/>
      <c r="N335" s="41">
        <v>418</v>
      </c>
      <c r="O335" s="7" t="s">
        <v>578</v>
      </c>
    </row>
    <row r="336" spans="1:15" s="7" customFormat="1" x14ac:dyDescent="0.25">
      <c r="A336" s="6"/>
      <c r="B336" s="24">
        <v>44345</v>
      </c>
      <c r="C336" s="37" t="s">
        <v>79</v>
      </c>
      <c r="D336" s="26"/>
      <c r="E336" s="25"/>
      <c r="F336" s="26"/>
      <c r="G336" s="12">
        <v>1000</v>
      </c>
      <c r="H336" s="27" t="s">
        <v>212</v>
      </c>
      <c r="I336" s="25" t="s">
        <v>210</v>
      </c>
      <c r="J336" s="37" t="s">
        <v>10</v>
      </c>
      <c r="K336" s="12">
        <v>0</v>
      </c>
      <c r="L336" s="84"/>
      <c r="M336" s="41">
        <v>282</v>
      </c>
      <c r="N336" s="41"/>
      <c r="O336" s="7" t="s">
        <v>459</v>
      </c>
    </row>
    <row r="337" spans="1:15" s="7" customFormat="1" x14ac:dyDescent="0.25">
      <c r="A337" s="6"/>
      <c r="B337" s="24">
        <v>44345</v>
      </c>
      <c r="C337" s="37" t="s">
        <v>79</v>
      </c>
      <c r="D337" s="26"/>
      <c r="E337" s="25"/>
      <c r="F337" s="26"/>
      <c r="G337" s="12">
        <v>500</v>
      </c>
      <c r="H337" s="27" t="s">
        <v>209</v>
      </c>
      <c r="I337" s="25" t="s">
        <v>205</v>
      </c>
      <c r="J337" s="37" t="s">
        <v>10</v>
      </c>
      <c r="K337" s="12">
        <v>0</v>
      </c>
      <c r="L337" s="84"/>
      <c r="M337" s="41">
        <v>283</v>
      </c>
      <c r="N337" s="41"/>
      <c r="O337" s="7" t="s">
        <v>459</v>
      </c>
    </row>
    <row r="338" spans="1:15" s="7" customFormat="1" x14ac:dyDescent="0.25">
      <c r="A338" s="6"/>
      <c r="B338" s="24">
        <v>44345</v>
      </c>
      <c r="C338" s="37" t="s">
        <v>59</v>
      </c>
      <c r="D338" s="26">
        <v>297.10000000000002</v>
      </c>
      <c r="E338" s="25" t="s">
        <v>28</v>
      </c>
      <c r="F338" s="26">
        <v>100</v>
      </c>
      <c r="G338" s="12">
        <f>D338*F338</f>
        <v>29710.000000000004</v>
      </c>
      <c r="H338" s="72" t="s">
        <v>207</v>
      </c>
      <c r="I338" s="25" t="s">
        <v>208</v>
      </c>
      <c r="J338" s="37" t="s">
        <v>34</v>
      </c>
      <c r="K338" s="12">
        <v>0</v>
      </c>
      <c r="L338" s="84"/>
      <c r="M338" s="41">
        <v>284</v>
      </c>
      <c r="N338" s="41">
        <v>417</v>
      </c>
      <c r="O338" s="7" t="s">
        <v>459</v>
      </c>
    </row>
    <row r="339" spans="1:15" s="7" customFormat="1" ht="22.5" x14ac:dyDescent="0.25">
      <c r="A339" s="6"/>
      <c r="B339" s="24">
        <v>44345</v>
      </c>
      <c r="C339" s="37" t="s">
        <v>79</v>
      </c>
      <c r="D339" s="26"/>
      <c r="E339" s="25"/>
      <c r="F339" s="26"/>
      <c r="G339" s="12">
        <v>500</v>
      </c>
      <c r="H339" s="27" t="s">
        <v>206</v>
      </c>
      <c r="I339" s="25" t="s">
        <v>147</v>
      </c>
      <c r="J339" s="37" t="s">
        <v>30</v>
      </c>
      <c r="K339" s="12">
        <v>0</v>
      </c>
      <c r="L339" s="48"/>
      <c r="M339" s="41"/>
      <c r="N339" s="41"/>
      <c r="O339" s="7" t="s">
        <v>459</v>
      </c>
    </row>
    <row r="340" spans="1:15" s="7" customFormat="1" x14ac:dyDescent="0.25">
      <c r="A340" s="6"/>
      <c r="B340" s="24">
        <v>44343</v>
      </c>
      <c r="C340" s="37" t="s">
        <v>59</v>
      </c>
      <c r="D340" s="26">
        <f>315.9-1.5</f>
        <v>314.39999999999998</v>
      </c>
      <c r="E340" s="25" t="s">
        <v>28</v>
      </c>
      <c r="F340" s="26">
        <v>1400</v>
      </c>
      <c r="G340" s="12">
        <f>D340*F340</f>
        <v>440159.99999999994</v>
      </c>
      <c r="H340" s="27" t="s">
        <v>266</v>
      </c>
      <c r="I340" s="25" t="s">
        <v>188</v>
      </c>
      <c r="J340" s="37" t="s">
        <v>189</v>
      </c>
      <c r="K340" s="12">
        <v>0</v>
      </c>
      <c r="L340" s="84"/>
      <c r="M340" s="41"/>
      <c r="N340" s="41">
        <v>414</v>
      </c>
      <c r="O340" s="7" t="s">
        <v>578</v>
      </c>
    </row>
    <row r="341" spans="1:15" s="7" customFormat="1" ht="22.5" x14ac:dyDescent="0.25">
      <c r="A341" s="6"/>
      <c r="B341" s="24">
        <v>44343</v>
      </c>
      <c r="C341" s="37" t="s">
        <v>79</v>
      </c>
      <c r="D341" s="26"/>
      <c r="E341" s="25"/>
      <c r="F341" s="26"/>
      <c r="G341" s="12">
        <v>300</v>
      </c>
      <c r="H341" s="27" t="s">
        <v>230</v>
      </c>
      <c r="I341" s="25" t="s">
        <v>147</v>
      </c>
      <c r="J341" s="37" t="s">
        <v>30</v>
      </c>
      <c r="K341" s="12">
        <v>0</v>
      </c>
      <c r="L341" s="84"/>
      <c r="M341" s="41">
        <v>279</v>
      </c>
      <c r="N341" s="41"/>
      <c r="O341" s="7" t="s">
        <v>459</v>
      </c>
    </row>
    <row r="342" spans="1:15" s="7" customFormat="1" x14ac:dyDescent="0.25">
      <c r="A342" s="6"/>
      <c r="B342" s="24">
        <v>44343</v>
      </c>
      <c r="C342" s="37" t="s">
        <v>79</v>
      </c>
      <c r="D342" s="26"/>
      <c r="E342" s="25"/>
      <c r="F342" s="26"/>
      <c r="G342" s="12">
        <v>500</v>
      </c>
      <c r="H342" s="27" t="s">
        <v>203</v>
      </c>
      <c r="I342" s="25" t="s">
        <v>147</v>
      </c>
      <c r="J342" s="37" t="s">
        <v>10</v>
      </c>
      <c r="K342" s="12">
        <v>0</v>
      </c>
      <c r="L342" s="84"/>
      <c r="M342" s="41">
        <v>276</v>
      </c>
      <c r="N342" s="41"/>
      <c r="O342" s="7" t="s">
        <v>459</v>
      </c>
    </row>
    <row r="343" spans="1:15" s="7" customFormat="1" x14ac:dyDescent="0.25">
      <c r="A343" s="6"/>
      <c r="B343" s="24">
        <v>44343</v>
      </c>
      <c r="C343" s="37" t="s">
        <v>79</v>
      </c>
      <c r="D343" s="26"/>
      <c r="E343" s="25"/>
      <c r="F343" s="26"/>
      <c r="G343" s="12">
        <v>180</v>
      </c>
      <c r="H343" s="27" t="s">
        <v>202</v>
      </c>
      <c r="I343" s="25" t="s">
        <v>147</v>
      </c>
      <c r="J343" s="37" t="s">
        <v>10</v>
      </c>
      <c r="K343" s="12">
        <v>0</v>
      </c>
      <c r="L343" s="84"/>
      <c r="M343" s="41">
        <v>277</v>
      </c>
      <c r="N343" s="41"/>
      <c r="O343" s="7" t="s">
        <v>459</v>
      </c>
    </row>
    <row r="344" spans="1:15" s="7" customFormat="1" x14ac:dyDescent="0.25">
      <c r="A344" s="6"/>
      <c r="B344" s="24">
        <v>44343</v>
      </c>
      <c r="C344" s="37" t="s">
        <v>79</v>
      </c>
      <c r="D344" s="26"/>
      <c r="E344" s="25"/>
      <c r="F344" s="26"/>
      <c r="G344" s="12">
        <v>1240</v>
      </c>
      <c r="H344" s="27" t="s">
        <v>201</v>
      </c>
      <c r="I344" s="25" t="s">
        <v>147</v>
      </c>
      <c r="J344" s="37" t="s">
        <v>147</v>
      </c>
      <c r="K344" s="12">
        <v>0</v>
      </c>
      <c r="L344" s="84"/>
      <c r="M344" s="41">
        <v>277</v>
      </c>
      <c r="N344" s="41"/>
      <c r="O344" s="7" t="s">
        <v>459</v>
      </c>
    </row>
    <row r="345" spans="1:15" s="7" customFormat="1" x14ac:dyDescent="0.25">
      <c r="A345" s="6"/>
      <c r="B345" s="24">
        <v>44343</v>
      </c>
      <c r="C345" s="37" t="s">
        <v>79</v>
      </c>
      <c r="D345" s="26"/>
      <c r="E345" s="25"/>
      <c r="F345" s="26"/>
      <c r="G345" s="12">
        <v>1500</v>
      </c>
      <c r="H345" s="27" t="s">
        <v>200</v>
      </c>
      <c r="I345" s="25" t="s">
        <v>147</v>
      </c>
      <c r="J345" s="37" t="s">
        <v>10</v>
      </c>
      <c r="K345" s="12">
        <v>0</v>
      </c>
      <c r="L345" s="84"/>
      <c r="M345" s="41">
        <v>277</v>
      </c>
      <c r="N345" s="41"/>
      <c r="O345" s="7" t="s">
        <v>459</v>
      </c>
    </row>
    <row r="346" spans="1:15" s="7" customFormat="1" ht="22.5" x14ac:dyDescent="0.25">
      <c r="A346" s="6"/>
      <c r="B346" s="24">
        <v>44343</v>
      </c>
      <c r="C346" s="37" t="s">
        <v>79</v>
      </c>
      <c r="D346" s="26"/>
      <c r="E346" s="25"/>
      <c r="F346" s="26"/>
      <c r="G346" s="12">
        <v>200</v>
      </c>
      <c r="H346" s="27" t="s">
        <v>199</v>
      </c>
      <c r="I346" s="25" t="s">
        <v>147</v>
      </c>
      <c r="J346" s="37" t="s">
        <v>30</v>
      </c>
      <c r="K346" s="12">
        <v>0</v>
      </c>
      <c r="L346" s="84"/>
      <c r="M346" s="41">
        <v>277</v>
      </c>
      <c r="N346" s="41"/>
      <c r="O346" s="7" t="s">
        <v>459</v>
      </c>
    </row>
    <row r="347" spans="1:15" s="7" customFormat="1" ht="22.5" x14ac:dyDescent="0.25">
      <c r="A347" s="6"/>
      <c r="B347" s="24">
        <v>44343</v>
      </c>
      <c r="C347" s="37" t="s">
        <v>79</v>
      </c>
      <c r="D347" s="26"/>
      <c r="E347" s="25"/>
      <c r="F347" s="26"/>
      <c r="G347" s="12">
        <v>2600</v>
      </c>
      <c r="H347" s="27" t="s">
        <v>198</v>
      </c>
      <c r="I347" s="25" t="s">
        <v>147</v>
      </c>
      <c r="J347" s="37" t="s">
        <v>30</v>
      </c>
      <c r="K347" s="12">
        <v>0</v>
      </c>
      <c r="L347" s="84"/>
      <c r="M347" s="41">
        <v>277</v>
      </c>
      <c r="N347" s="41"/>
      <c r="O347" s="7" t="s">
        <v>459</v>
      </c>
    </row>
    <row r="348" spans="1:15" s="7" customFormat="1" x14ac:dyDescent="0.25">
      <c r="A348" s="6"/>
      <c r="B348" s="24">
        <v>44343</v>
      </c>
      <c r="C348" s="37" t="s">
        <v>79</v>
      </c>
      <c r="D348" s="49">
        <v>2440.8000000000002</v>
      </c>
      <c r="E348" s="50" t="s">
        <v>28</v>
      </c>
      <c r="F348" s="49">
        <v>94.5</v>
      </c>
      <c r="G348" s="51">
        <f>D348*F348</f>
        <v>230655.6</v>
      </c>
      <c r="H348" s="52" t="s">
        <v>196</v>
      </c>
      <c r="I348" s="50" t="s">
        <v>294</v>
      </c>
      <c r="J348" s="37" t="s">
        <v>20</v>
      </c>
      <c r="K348" s="12">
        <v>0</v>
      </c>
      <c r="L348" s="84"/>
      <c r="M348" s="41"/>
      <c r="N348" s="41">
        <v>416</v>
      </c>
    </row>
    <row r="349" spans="1:15" s="7" customFormat="1" x14ac:dyDescent="0.25">
      <c r="A349" s="6"/>
      <c r="B349" s="24">
        <v>44343</v>
      </c>
      <c r="C349" s="37" t="s">
        <v>79</v>
      </c>
      <c r="D349" s="73">
        <v>1305</v>
      </c>
      <c r="E349" s="74" t="s">
        <v>28</v>
      </c>
      <c r="F349" s="73">
        <v>94.5</v>
      </c>
      <c r="G349" s="75">
        <f>D349*F349</f>
        <v>123322.5</v>
      </c>
      <c r="H349" s="76" t="s">
        <v>194</v>
      </c>
      <c r="I349" s="74" t="s">
        <v>195</v>
      </c>
      <c r="J349" s="37" t="s">
        <v>20</v>
      </c>
      <c r="K349" s="12">
        <v>0</v>
      </c>
      <c r="L349" s="84"/>
      <c r="M349" s="41"/>
      <c r="N349" s="41">
        <v>415</v>
      </c>
    </row>
    <row r="350" spans="1:15" s="7" customFormat="1" x14ac:dyDescent="0.25">
      <c r="A350" s="6"/>
      <c r="B350" s="24">
        <v>44343</v>
      </c>
      <c r="C350" s="37" t="s">
        <v>79</v>
      </c>
      <c r="D350" s="26"/>
      <c r="E350" s="25"/>
      <c r="F350" s="26"/>
      <c r="G350" s="12">
        <v>65000</v>
      </c>
      <c r="H350" s="27" t="s">
        <v>197</v>
      </c>
      <c r="I350" s="25" t="s">
        <v>466</v>
      </c>
      <c r="J350" s="37" t="s">
        <v>33</v>
      </c>
      <c r="K350" s="12">
        <v>0</v>
      </c>
      <c r="L350" s="84"/>
      <c r="M350" s="41">
        <v>278</v>
      </c>
      <c r="N350" s="41"/>
      <c r="O350" s="7" t="s">
        <v>459</v>
      </c>
    </row>
    <row r="351" spans="1:15" s="7" customFormat="1" ht="24" x14ac:dyDescent="0.25">
      <c r="A351" s="6"/>
      <c r="B351" s="24">
        <v>44343</v>
      </c>
      <c r="C351" s="37" t="s">
        <v>59</v>
      </c>
      <c r="D351" s="26">
        <v>3.7</v>
      </c>
      <c r="E351" s="25" t="s">
        <v>28</v>
      </c>
      <c r="F351" s="26">
        <v>500</v>
      </c>
      <c r="G351" s="12">
        <f>D351*F351</f>
        <v>1850</v>
      </c>
      <c r="H351" s="72" t="s">
        <v>193</v>
      </c>
      <c r="I351" s="25" t="s">
        <v>229</v>
      </c>
      <c r="J351" s="37" t="s">
        <v>146</v>
      </c>
      <c r="K351" s="12">
        <v>0</v>
      </c>
      <c r="L351" s="84"/>
      <c r="M351" s="41"/>
      <c r="N351" s="41">
        <v>413</v>
      </c>
      <c r="O351" s="7" t="s">
        <v>459</v>
      </c>
    </row>
    <row r="352" spans="1:15" s="7" customFormat="1" x14ac:dyDescent="0.25">
      <c r="A352" s="6"/>
      <c r="B352" s="24">
        <v>44342</v>
      </c>
      <c r="C352" s="37" t="s">
        <v>79</v>
      </c>
      <c r="D352" s="26"/>
      <c r="E352" s="25"/>
      <c r="F352" s="26"/>
      <c r="G352" s="12">
        <v>3000</v>
      </c>
      <c r="H352" s="27" t="s">
        <v>192</v>
      </c>
      <c r="I352" s="25" t="s">
        <v>147</v>
      </c>
      <c r="J352" s="37" t="s">
        <v>10</v>
      </c>
      <c r="K352" s="12">
        <v>0</v>
      </c>
      <c r="L352" s="84"/>
      <c r="M352" s="41">
        <v>275</v>
      </c>
      <c r="N352" s="41"/>
      <c r="O352" s="7" t="s">
        <v>459</v>
      </c>
    </row>
    <row r="353" spans="1:15" s="7" customFormat="1" x14ac:dyDescent="0.25">
      <c r="A353" s="6"/>
      <c r="B353" s="24">
        <v>44342</v>
      </c>
      <c r="C353" s="37" t="s">
        <v>59</v>
      </c>
      <c r="D353" s="26">
        <v>1940</v>
      </c>
      <c r="E353" s="25" t="s">
        <v>28</v>
      </c>
      <c r="F353" s="26">
        <v>290</v>
      </c>
      <c r="G353" s="12">
        <f>D353*F353</f>
        <v>562600</v>
      </c>
      <c r="H353" s="27" t="s">
        <v>237</v>
      </c>
      <c r="I353" s="25" t="s">
        <v>238</v>
      </c>
      <c r="J353" s="37" t="s">
        <v>31</v>
      </c>
      <c r="K353" s="12">
        <v>0</v>
      </c>
      <c r="L353" s="84"/>
      <c r="M353" s="41"/>
      <c r="N353" s="41">
        <v>412</v>
      </c>
      <c r="O353" s="7" t="s">
        <v>459</v>
      </c>
    </row>
    <row r="354" spans="1:15" s="7" customFormat="1" x14ac:dyDescent="0.25">
      <c r="A354" s="6"/>
      <c r="B354" s="24">
        <v>44342</v>
      </c>
      <c r="C354" s="37" t="s">
        <v>59</v>
      </c>
      <c r="D354" s="26">
        <v>5690</v>
      </c>
      <c r="E354" s="25" t="s">
        <v>28</v>
      </c>
      <c r="F354" s="26">
        <v>92</v>
      </c>
      <c r="G354" s="12">
        <f>D354*F354</f>
        <v>523480</v>
      </c>
      <c r="H354" s="27" t="s">
        <v>242</v>
      </c>
      <c r="I354" s="25" t="s">
        <v>191</v>
      </c>
      <c r="J354" s="37" t="s">
        <v>80</v>
      </c>
      <c r="K354" s="12">
        <v>0</v>
      </c>
      <c r="L354" s="84"/>
      <c r="M354" s="41"/>
      <c r="N354" s="41">
        <v>411</v>
      </c>
      <c r="O354" s="7" t="s">
        <v>459</v>
      </c>
    </row>
    <row r="355" spans="1:15" s="7" customFormat="1" x14ac:dyDescent="0.25">
      <c r="A355" s="6"/>
      <c r="B355" s="24">
        <v>44342</v>
      </c>
      <c r="C355" s="37" t="s">
        <v>79</v>
      </c>
      <c r="D355" s="26"/>
      <c r="E355" s="25"/>
      <c r="F355" s="26"/>
      <c r="G355" s="12">
        <v>100</v>
      </c>
      <c r="H355" s="27" t="s">
        <v>190</v>
      </c>
      <c r="I355" s="25" t="s">
        <v>147</v>
      </c>
      <c r="J355" s="37" t="s">
        <v>147</v>
      </c>
      <c r="K355" s="12">
        <v>0</v>
      </c>
      <c r="L355" s="84"/>
      <c r="M355" s="41">
        <v>275</v>
      </c>
      <c r="N355" s="41"/>
      <c r="O355" s="7" t="s">
        <v>459</v>
      </c>
    </row>
    <row r="356" spans="1:15" s="7" customFormat="1" x14ac:dyDescent="0.25">
      <c r="A356" s="6"/>
      <c r="B356" s="24">
        <v>44342</v>
      </c>
      <c r="C356" s="37" t="s">
        <v>59</v>
      </c>
      <c r="D356" s="26">
        <f>401.1-1.6</f>
        <v>399.5</v>
      </c>
      <c r="E356" s="25" t="s">
        <v>28</v>
      </c>
      <c r="F356" s="26">
        <v>1400</v>
      </c>
      <c r="G356" s="12">
        <f>D356*F356</f>
        <v>559300</v>
      </c>
      <c r="H356" s="27" t="s">
        <v>266</v>
      </c>
      <c r="I356" s="25" t="s">
        <v>188</v>
      </c>
      <c r="J356" s="37" t="s">
        <v>189</v>
      </c>
      <c r="K356" s="12">
        <v>0</v>
      </c>
      <c r="L356" s="84"/>
      <c r="M356" s="41"/>
      <c r="N356" s="41">
        <v>410</v>
      </c>
      <c r="O356" s="7" t="s">
        <v>578</v>
      </c>
    </row>
    <row r="357" spans="1:15" s="7" customFormat="1" ht="24" x14ac:dyDescent="0.25">
      <c r="A357" s="6"/>
      <c r="B357" s="24">
        <v>44342</v>
      </c>
      <c r="C357" s="37" t="s">
        <v>79</v>
      </c>
      <c r="D357" s="26"/>
      <c r="E357" s="25"/>
      <c r="F357" s="26"/>
      <c r="G357" s="12">
        <v>400</v>
      </c>
      <c r="H357" s="27" t="s">
        <v>204</v>
      </c>
      <c r="I357" s="25" t="s">
        <v>205</v>
      </c>
      <c r="J357" s="37" t="s">
        <v>228</v>
      </c>
      <c r="K357" s="12">
        <v>0</v>
      </c>
      <c r="L357" s="84"/>
      <c r="M357" s="41">
        <v>271</v>
      </c>
      <c r="N357" s="41"/>
      <c r="O357" s="7" t="s">
        <v>459</v>
      </c>
    </row>
    <row r="358" spans="1:15" s="7" customFormat="1" ht="22.5" x14ac:dyDescent="0.25">
      <c r="A358" s="6"/>
      <c r="B358" s="24">
        <v>44341</v>
      </c>
      <c r="C358" s="37" t="s">
        <v>79</v>
      </c>
      <c r="D358" s="26"/>
      <c r="E358" s="25"/>
      <c r="F358" s="26"/>
      <c r="G358" s="12">
        <v>160</v>
      </c>
      <c r="H358" s="27" t="s">
        <v>186</v>
      </c>
      <c r="I358" s="25" t="s">
        <v>147</v>
      </c>
      <c r="J358" s="37" t="s">
        <v>29</v>
      </c>
      <c r="K358" s="12">
        <v>0</v>
      </c>
      <c r="L358" s="84"/>
      <c r="M358" s="41">
        <v>269</v>
      </c>
      <c r="N358" s="41"/>
      <c r="O358" s="7" t="s">
        <v>459</v>
      </c>
    </row>
    <row r="359" spans="1:15" s="7" customFormat="1" x14ac:dyDescent="0.25">
      <c r="A359" s="6"/>
      <c r="B359" s="24">
        <v>44341</v>
      </c>
      <c r="C359" s="37" t="s">
        <v>59</v>
      </c>
      <c r="D359" s="26">
        <v>23.5</v>
      </c>
      <c r="E359" s="25" t="s">
        <v>28</v>
      </c>
      <c r="F359" s="26">
        <v>130</v>
      </c>
      <c r="G359" s="12">
        <f>D359*F359-5</f>
        <v>3050</v>
      </c>
      <c r="H359" s="27" t="s">
        <v>184</v>
      </c>
      <c r="I359" s="25" t="s">
        <v>185</v>
      </c>
      <c r="J359" s="37" t="s">
        <v>146</v>
      </c>
      <c r="K359" s="12">
        <v>0</v>
      </c>
      <c r="L359" s="84"/>
      <c r="M359" s="41">
        <v>267</v>
      </c>
      <c r="N359" s="41">
        <v>408</v>
      </c>
      <c r="O359" s="7" t="s">
        <v>459</v>
      </c>
    </row>
    <row r="360" spans="1:15" s="7" customFormat="1" x14ac:dyDescent="0.25">
      <c r="A360" s="6"/>
      <c r="B360" s="24">
        <v>44341</v>
      </c>
      <c r="C360" s="37" t="s">
        <v>59</v>
      </c>
      <c r="D360" s="26">
        <v>14.7</v>
      </c>
      <c r="E360" s="25" t="s">
        <v>28</v>
      </c>
      <c r="F360" s="26">
        <v>130</v>
      </c>
      <c r="G360" s="12">
        <f>D360*F360-1</f>
        <v>1910</v>
      </c>
      <c r="H360" s="27" t="s">
        <v>181</v>
      </c>
      <c r="I360" s="25" t="s">
        <v>182</v>
      </c>
      <c r="J360" s="37" t="s">
        <v>146</v>
      </c>
      <c r="K360" s="12">
        <v>0</v>
      </c>
      <c r="L360" s="84"/>
      <c r="M360" s="41">
        <v>266</v>
      </c>
      <c r="N360" s="41">
        <v>407</v>
      </c>
      <c r="O360" s="7" t="s">
        <v>459</v>
      </c>
    </row>
    <row r="361" spans="1:15" s="7" customFormat="1" ht="22.5" x14ac:dyDescent="0.25">
      <c r="A361" s="6"/>
      <c r="B361" s="24">
        <v>44341</v>
      </c>
      <c r="C361" s="37" t="s">
        <v>79</v>
      </c>
      <c r="D361" s="26"/>
      <c r="E361" s="25"/>
      <c r="F361" s="26"/>
      <c r="G361" s="12">
        <v>2900</v>
      </c>
      <c r="H361" s="27" t="s">
        <v>183</v>
      </c>
      <c r="I361" s="77" t="s">
        <v>226</v>
      </c>
      <c r="J361" s="37" t="s">
        <v>29</v>
      </c>
      <c r="K361" s="12">
        <v>0</v>
      </c>
      <c r="L361" s="84"/>
      <c r="M361" s="41">
        <v>268</v>
      </c>
      <c r="N361" s="41"/>
      <c r="O361" s="7" t="s">
        <v>459</v>
      </c>
    </row>
    <row r="362" spans="1:15" s="7" customFormat="1" x14ac:dyDescent="0.25">
      <c r="A362" s="6"/>
      <c r="B362" s="24">
        <v>44341</v>
      </c>
      <c r="C362" s="37" t="s">
        <v>59</v>
      </c>
      <c r="D362" s="26">
        <v>20.3</v>
      </c>
      <c r="E362" s="25" t="s">
        <v>28</v>
      </c>
      <c r="F362" s="26">
        <v>340</v>
      </c>
      <c r="G362" s="12">
        <f>D362*F362+8</f>
        <v>6910</v>
      </c>
      <c r="H362" s="27" t="s">
        <v>179</v>
      </c>
      <c r="I362" s="25" t="s">
        <v>178</v>
      </c>
      <c r="J362" s="37" t="s">
        <v>146</v>
      </c>
      <c r="K362" s="12">
        <v>0</v>
      </c>
      <c r="L362" s="84"/>
      <c r="M362" s="41">
        <v>265</v>
      </c>
      <c r="N362" s="41">
        <v>406</v>
      </c>
      <c r="O362" s="7" t="s">
        <v>459</v>
      </c>
    </row>
    <row r="363" spans="1:15" s="7" customFormat="1" x14ac:dyDescent="0.25">
      <c r="A363" s="6"/>
      <c r="B363" s="24">
        <v>44341</v>
      </c>
      <c r="C363" s="37" t="s">
        <v>59</v>
      </c>
      <c r="D363" s="26">
        <v>3.8</v>
      </c>
      <c r="E363" s="25" t="s">
        <v>28</v>
      </c>
      <c r="F363" s="26">
        <v>340</v>
      </c>
      <c r="G363" s="12">
        <f>D363*F363</f>
        <v>1292</v>
      </c>
      <c r="H363" s="27" t="s">
        <v>180</v>
      </c>
      <c r="I363" s="25" t="s">
        <v>178</v>
      </c>
      <c r="J363" s="37" t="s">
        <v>146</v>
      </c>
      <c r="K363" s="12">
        <v>0</v>
      </c>
      <c r="L363" s="84"/>
      <c r="M363" s="41">
        <v>265</v>
      </c>
      <c r="N363" s="41">
        <v>406</v>
      </c>
      <c r="O363" s="7" t="s">
        <v>459</v>
      </c>
    </row>
    <row r="364" spans="1:15" s="7" customFormat="1" x14ac:dyDescent="0.25">
      <c r="A364" s="6"/>
      <c r="B364" s="24">
        <v>44340</v>
      </c>
      <c r="C364" s="37" t="s">
        <v>59</v>
      </c>
      <c r="D364" s="26">
        <v>5.7</v>
      </c>
      <c r="E364" s="25" t="s">
        <v>28</v>
      </c>
      <c r="F364" s="26">
        <v>120</v>
      </c>
      <c r="G364" s="12">
        <f>D364*F364+16</f>
        <v>700</v>
      </c>
      <c r="H364" s="27" t="s">
        <v>166</v>
      </c>
      <c r="I364" s="25" t="s">
        <v>167</v>
      </c>
      <c r="J364" s="37" t="s">
        <v>146</v>
      </c>
      <c r="K364" s="12">
        <v>0</v>
      </c>
      <c r="L364" s="84" t="s">
        <v>475</v>
      </c>
      <c r="M364" s="41">
        <v>264</v>
      </c>
      <c r="N364" s="41">
        <v>405</v>
      </c>
      <c r="O364" s="7" t="s">
        <v>459</v>
      </c>
    </row>
    <row r="365" spans="1:15" s="7" customFormat="1" x14ac:dyDescent="0.25">
      <c r="A365" s="6"/>
      <c r="B365" s="24">
        <v>44340</v>
      </c>
      <c r="C365" s="37" t="s">
        <v>59</v>
      </c>
      <c r="D365" s="26">
        <v>3</v>
      </c>
      <c r="E365" s="25" t="s">
        <v>28</v>
      </c>
      <c r="F365" s="26">
        <v>100</v>
      </c>
      <c r="G365" s="12">
        <f>D365*F365</f>
        <v>300</v>
      </c>
      <c r="H365" s="27" t="s">
        <v>166</v>
      </c>
      <c r="I365" s="25" t="s">
        <v>167</v>
      </c>
      <c r="J365" s="37" t="s">
        <v>146</v>
      </c>
      <c r="K365" s="12">
        <v>0</v>
      </c>
      <c r="L365" s="84" t="s">
        <v>476</v>
      </c>
      <c r="M365" s="41">
        <v>262</v>
      </c>
      <c r="N365" s="41">
        <v>404</v>
      </c>
      <c r="O365" s="7" t="s">
        <v>459</v>
      </c>
    </row>
    <row r="366" spans="1:15" s="7" customFormat="1" x14ac:dyDescent="0.25">
      <c r="A366" s="6"/>
      <c r="B366" s="24">
        <v>44339</v>
      </c>
      <c r="C366" s="37" t="s">
        <v>79</v>
      </c>
      <c r="D366" s="26"/>
      <c r="E366" s="25"/>
      <c r="F366" s="26" t="s">
        <v>165</v>
      </c>
      <c r="G366" s="12">
        <v>18000</v>
      </c>
      <c r="H366" s="27" t="s">
        <v>220</v>
      </c>
      <c r="I366" s="25" t="s">
        <v>466</v>
      </c>
      <c r="J366" s="37" t="s">
        <v>33</v>
      </c>
      <c r="K366" s="12">
        <v>0</v>
      </c>
      <c r="L366" s="84" t="s">
        <v>467</v>
      </c>
      <c r="M366" s="41">
        <v>259</v>
      </c>
      <c r="N366" s="41"/>
      <c r="O366" s="7" t="s">
        <v>460</v>
      </c>
    </row>
    <row r="367" spans="1:15" s="7" customFormat="1" ht="22.5" x14ac:dyDescent="0.25">
      <c r="A367" s="6"/>
      <c r="B367" s="24">
        <v>44339</v>
      </c>
      <c r="C367" s="37" t="s">
        <v>79</v>
      </c>
      <c r="D367" s="26"/>
      <c r="E367" s="25"/>
      <c r="F367" s="26" t="s">
        <v>165</v>
      </c>
      <c r="G367" s="12">
        <v>100000</v>
      </c>
      <c r="H367" s="27" t="s">
        <v>221</v>
      </c>
      <c r="I367" s="25" t="s">
        <v>153</v>
      </c>
      <c r="J367" s="37" t="s">
        <v>29</v>
      </c>
      <c r="K367" s="12">
        <v>0</v>
      </c>
      <c r="L367" s="84" t="s">
        <v>469</v>
      </c>
      <c r="M367" s="41">
        <v>260</v>
      </c>
      <c r="N367" s="41"/>
      <c r="O367" s="7" t="s">
        <v>460</v>
      </c>
    </row>
    <row r="368" spans="1:15" s="7" customFormat="1" x14ac:dyDescent="0.25">
      <c r="A368" s="6"/>
      <c r="B368" s="24">
        <v>44339</v>
      </c>
      <c r="C368" s="37" t="s">
        <v>79</v>
      </c>
      <c r="D368" s="26">
        <v>91</v>
      </c>
      <c r="E368" s="25" t="s">
        <v>28</v>
      </c>
      <c r="F368" s="26">
        <v>95</v>
      </c>
      <c r="G368" s="12">
        <f>D368*F368</f>
        <v>8645</v>
      </c>
      <c r="H368" s="27" t="s">
        <v>164</v>
      </c>
      <c r="I368" s="25" t="s">
        <v>294</v>
      </c>
      <c r="J368" s="37" t="s">
        <v>20</v>
      </c>
      <c r="K368" s="12">
        <v>0</v>
      </c>
      <c r="L368" s="84" t="s">
        <v>473</v>
      </c>
      <c r="M368" s="41"/>
      <c r="N368" s="41">
        <v>403</v>
      </c>
    </row>
    <row r="369" spans="1:15" s="7" customFormat="1" x14ac:dyDescent="0.25">
      <c r="A369" s="6"/>
      <c r="B369" s="24">
        <v>44339</v>
      </c>
      <c r="C369" s="37" t="s">
        <v>79</v>
      </c>
      <c r="D369" s="26"/>
      <c r="E369" s="25"/>
      <c r="F369" s="26"/>
      <c r="G369" s="12">
        <v>350</v>
      </c>
      <c r="H369" s="27" t="s">
        <v>162</v>
      </c>
      <c r="I369" s="25" t="s">
        <v>163</v>
      </c>
      <c r="J369" s="37" t="s">
        <v>10</v>
      </c>
      <c r="K369" s="12">
        <v>0</v>
      </c>
      <c r="L369" s="84" t="s">
        <v>468</v>
      </c>
      <c r="M369" s="41">
        <v>261</v>
      </c>
      <c r="N369" s="41"/>
      <c r="O369" s="7" t="s">
        <v>459</v>
      </c>
    </row>
    <row r="370" spans="1:15" s="7" customFormat="1" x14ac:dyDescent="0.25">
      <c r="A370" s="6"/>
      <c r="B370" s="24">
        <v>44339</v>
      </c>
      <c r="C370" s="37" t="s">
        <v>59</v>
      </c>
      <c r="D370" s="26">
        <v>58.8</v>
      </c>
      <c r="E370" s="25" t="s">
        <v>28</v>
      </c>
      <c r="F370" s="26">
        <v>400</v>
      </c>
      <c r="G370" s="12">
        <f>8000+15520</f>
        <v>23520</v>
      </c>
      <c r="H370" s="27" t="s">
        <v>160</v>
      </c>
      <c r="I370" s="25" t="s">
        <v>161</v>
      </c>
      <c r="J370" s="37" t="s">
        <v>146</v>
      </c>
      <c r="K370" s="12">
        <v>0</v>
      </c>
      <c r="L370" s="84" t="s">
        <v>474</v>
      </c>
      <c r="M370" s="41" t="s">
        <v>187</v>
      </c>
      <c r="N370" s="41">
        <v>409</v>
      </c>
      <c r="O370" s="7" t="s">
        <v>459</v>
      </c>
    </row>
    <row r="371" spans="1:15" s="7" customFormat="1" x14ac:dyDescent="0.25">
      <c r="A371" s="6"/>
      <c r="B371" s="24">
        <v>44339</v>
      </c>
      <c r="C371" s="37" t="s">
        <v>59</v>
      </c>
      <c r="D371" s="26">
        <v>5.2</v>
      </c>
      <c r="E371" s="25" t="s">
        <v>28</v>
      </c>
      <c r="F371" s="26">
        <v>500</v>
      </c>
      <c r="G371" s="12">
        <f>D371*F371</f>
        <v>2600</v>
      </c>
      <c r="H371" s="27" t="s">
        <v>159</v>
      </c>
      <c r="I371" s="25" t="s">
        <v>157</v>
      </c>
      <c r="J371" s="37" t="s">
        <v>146</v>
      </c>
      <c r="K371" s="12">
        <v>0</v>
      </c>
      <c r="L371" s="84" t="s">
        <v>472</v>
      </c>
      <c r="M371" s="41">
        <v>256</v>
      </c>
      <c r="N371" s="41">
        <v>402</v>
      </c>
      <c r="O371" s="7" t="s">
        <v>459</v>
      </c>
    </row>
    <row r="372" spans="1:15" s="7" customFormat="1" x14ac:dyDescent="0.25">
      <c r="A372" s="6"/>
      <c r="B372" s="24">
        <v>44339</v>
      </c>
      <c r="C372" s="37" t="s">
        <v>59</v>
      </c>
      <c r="D372" s="26">
        <v>8.3000000000000007</v>
      </c>
      <c r="E372" s="25" t="s">
        <v>28</v>
      </c>
      <c r="F372" s="26">
        <v>500</v>
      </c>
      <c r="G372" s="12">
        <f>D372*F372</f>
        <v>4150</v>
      </c>
      <c r="H372" s="27" t="s">
        <v>156</v>
      </c>
      <c r="I372" s="25" t="s">
        <v>157</v>
      </c>
      <c r="J372" s="37" t="s">
        <v>158</v>
      </c>
      <c r="K372" s="12">
        <v>0</v>
      </c>
      <c r="L372" s="84" t="s">
        <v>472</v>
      </c>
      <c r="M372" s="41">
        <v>256</v>
      </c>
      <c r="N372" s="41">
        <v>402</v>
      </c>
      <c r="O372" s="7" t="s">
        <v>459</v>
      </c>
    </row>
    <row r="373" spans="1:15" s="7" customFormat="1" x14ac:dyDescent="0.25">
      <c r="A373" s="6"/>
      <c r="B373" s="24">
        <v>44337</v>
      </c>
      <c r="C373" s="37" t="s">
        <v>79</v>
      </c>
      <c r="D373" s="26"/>
      <c r="E373" s="25"/>
      <c r="F373" s="26"/>
      <c r="G373" s="12">
        <v>205000</v>
      </c>
      <c r="H373" s="27" t="s">
        <v>470</v>
      </c>
      <c r="I373" s="25" t="s">
        <v>147</v>
      </c>
      <c r="J373" s="37" t="s">
        <v>228</v>
      </c>
      <c r="K373" s="12">
        <v>0</v>
      </c>
      <c r="L373" s="84" t="s">
        <v>471</v>
      </c>
      <c r="M373" s="41">
        <v>255</v>
      </c>
      <c r="N373" s="41"/>
    </row>
    <row r="374" spans="1:15" s="7" customFormat="1" ht="22.5" x14ac:dyDescent="0.25">
      <c r="A374" s="6"/>
      <c r="B374" s="55">
        <v>44339</v>
      </c>
      <c r="C374" s="53" t="s">
        <v>79</v>
      </c>
      <c r="D374" s="49"/>
      <c r="E374" s="50"/>
      <c r="F374" s="49"/>
      <c r="G374" s="51">
        <f>5000+10000+1000</f>
        <v>16000</v>
      </c>
      <c r="H374" s="52" t="s">
        <v>154</v>
      </c>
      <c r="I374" s="25" t="s">
        <v>288</v>
      </c>
      <c r="J374" s="53" t="s">
        <v>25</v>
      </c>
      <c r="K374" s="51">
        <v>0</v>
      </c>
      <c r="L374" s="84" t="s">
        <v>464</v>
      </c>
      <c r="M374" s="54" t="s">
        <v>233</v>
      </c>
      <c r="N374" s="54"/>
      <c r="O374" s="7" t="s">
        <v>459</v>
      </c>
    </row>
    <row r="375" spans="1:15" s="7" customFormat="1" x14ac:dyDescent="0.25">
      <c r="A375" s="6"/>
      <c r="B375" s="24">
        <v>44337</v>
      </c>
      <c r="C375" s="37" t="s">
        <v>79</v>
      </c>
      <c r="D375" s="91">
        <v>54035</v>
      </c>
      <c r="E375" s="25" t="s">
        <v>28</v>
      </c>
      <c r="F375" s="26">
        <v>240</v>
      </c>
      <c r="G375" s="12">
        <f>D375*F375</f>
        <v>12968400</v>
      </c>
      <c r="H375" s="89" t="s">
        <v>152</v>
      </c>
      <c r="I375" s="25" t="s">
        <v>153</v>
      </c>
      <c r="J375" s="37" t="s">
        <v>20</v>
      </c>
      <c r="K375" s="12">
        <v>0</v>
      </c>
      <c r="L375" s="84" t="s">
        <v>461</v>
      </c>
      <c r="M375" s="41"/>
      <c r="N375" s="41">
        <v>401</v>
      </c>
      <c r="O375" s="7" t="s">
        <v>578</v>
      </c>
    </row>
    <row r="376" spans="1:15" s="7" customFormat="1" x14ac:dyDescent="0.25">
      <c r="A376" s="6"/>
      <c r="B376" s="24">
        <v>44337</v>
      </c>
      <c r="C376" s="37" t="s">
        <v>79</v>
      </c>
      <c r="D376" s="26"/>
      <c r="E376" s="25"/>
      <c r="F376" s="26"/>
      <c r="G376" s="12">
        <v>25000</v>
      </c>
      <c r="H376" s="27" t="s">
        <v>151</v>
      </c>
      <c r="I376" s="25" t="s">
        <v>227</v>
      </c>
      <c r="J376" s="37" t="s">
        <v>228</v>
      </c>
      <c r="K376" s="12">
        <v>0</v>
      </c>
      <c r="L376" s="84" t="s">
        <v>463</v>
      </c>
      <c r="M376" s="41">
        <v>253</v>
      </c>
      <c r="N376" s="41"/>
      <c r="O376" s="7" t="s">
        <v>459</v>
      </c>
    </row>
    <row r="377" spans="1:15" s="7" customFormat="1" x14ac:dyDescent="0.25">
      <c r="A377" s="6"/>
      <c r="B377" s="24">
        <v>44337</v>
      </c>
      <c r="C377" s="37" t="s">
        <v>79</v>
      </c>
      <c r="D377" s="91">
        <v>54410</v>
      </c>
      <c r="E377" s="25" t="s">
        <v>28</v>
      </c>
      <c r="F377" s="26">
        <v>240</v>
      </c>
      <c r="G377" s="12">
        <f>D377*F377</f>
        <v>13058400</v>
      </c>
      <c r="H377" s="89" t="s">
        <v>152</v>
      </c>
      <c r="I377" s="25" t="s">
        <v>153</v>
      </c>
      <c r="J377" s="37" t="s">
        <v>20</v>
      </c>
      <c r="K377" s="12">
        <v>0</v>
      </c>
      <c r="L377" s="84" t="s">
        <v>461</v>
      </c>
      <c r="M377" s="41"/>
      <c r="N377" s="41">
        <v>401</v>
      </c>
      <c r="O377" s="7" t="s">
        <v>578</v>
      </c>
    </row>
    <row r="378" spans="1:15" s="7" customFormat="1" x14ac:dyDescent="0.25">
      <c r="A378" s="6"/>
      <c r="B378" s="24">
        <v>44337</v>
      </c>
      <c r="C378" s="37" t="s">
        <v>79</v>
      </c>
      <c r="D378" s="26"/>
      <c r="E378" s="25"/>
      <c r="F378" s="26"/>
      <c r="G378" s="12">
        <v>4500</v>
      </c>
      <c r="H378" s="27" t="s">
        <v>150</v>
      </c>
      <c r="I378" s="25" t="s">
        <v>155</v>
      </c>
      <c r="J378" s="37" t="s">
        <v>10</v>
      </c>
      <c r="K378" s="12">
        <v>0</v>
      </c>
      <c r="L378" s="84" t="s">
        <v>465</v>
      </c>
      <c r="M378" s="41">
        <v>263</v>
      </c>
      <c r="N378" s="41"/>
      <c r="O378" s="7" t="s">
        <v>459</v>
      </c>
    </row>
    <row r="379" spans="1:15" s="7" customFormat="1" x14ac:dyDescent="0.25">
      <c r="A379" s="6"/>
      <c r="B379" s="24">
        <v>44337</v>
      </c>
      <c r="C379" s="37" t="s">
        <v>79</v>
      </c>
      <c r="D379" s="26"/>
      <c r="E379" s="25"/>
      <c r="F379" s="26"/>
      <c r="G379" s="12">
        <v>350</v>
      </c>
      <c r="H379" s="27" t="s">
        <v>149</v>
      </c>
      <c r="I379" s="25" t="s">
        <v>148</v>
      </c>
      <c r="J379" s="37" t="s">
        <v>10</v>
      </c>
      <c r="K379" s="12">
        <v>0</v>
      </c>
      <c r="L379" s="84" t="s">
        <v>462</v>
      </c>
      <c r="M379" s="41">
        <v>252</v>
      </c>
      <c r="N379" s="41"/>
      <c r="O379" s="7" t="s">
        <v>459</v>
      </c>
    </row>
    <row r="380" spans="1:15" s="7" customFormat="1" x14ac:dyDescent="0.25">
      <c r="A380" s="6"/>
    </row>
    <row r="381" spans="1:15" s="7" customFormat="1" x14ac:dyDescent="0.25">
      <c r="A381" s="6"/>
    </row>
    <row r="382" spans="1:15" s="7" customFormat="1" x14ac:dyDescent="0.25">
      <c r="A382" s="6"/>
    </row>
    <row r="383" spans="1:15" s="7" customFormat="1" x14ac:dyDescent="0.25">
      <c r="A383" s="6"/>
    </row>
    <row r="384" spans="1:15" s="7" customFormat="1" x14ac:dyDescent="0.25">
      <c r="A384" s="6"/>
    </row>
    <row r="385" spans="1:1" s="7" customFormat="1" x14ac:dyDescent="0.25">
      <c r="A385" s="6"/>
    </row>
    <row r="386" spans="1:1" s="7" customFormat="1" x14ac:dyDescent="0.25">
      <c r="A386" s="6"/>
    </row>
    <row r="387" spans="1:1" s="7" customFormat="1" x14ac:dyDescent="0.25">
      <c r="A387" s="6"/>
    </row>
    <row r="388" spans="1:1" s="7" customFormat="1" x14ac:dyDescent="0.25">
      <c r="A388" s="6"/>
    </row>
    <row r="389" spans="1:1" s="7" customFormat="1" x14ac:dyDescent="0.25">
      <c r="A389" s="6"/>
    </row>
    <row r="390" spans="1:1" s="7" customFormat="1" x14ac:dyDescent="0.25">
      <c r="A390" s="6"/>
    </row>
    <row r="391" spans="1:1" s="7" customFormat="1" x14ac:dyDescent="0.25">
      <c r="A391" s="6"/>
    </row>
    <row r="392" spans="1:1" s="7" customFormat="1" x14ac:dyDescent="0.25">
      <c r="A392" s="6"/>
    </row>
    <row r="393" spans="1:1" s="7" customFormat="1" x14ac:dyDescent="0.25">
      <c r="A393" s="6"/>
    </row>
    <row r="394" spans="1:1" s="7" customFormat="1" x14ac:dyDescent="0.25">
      <c r="A394" s="6"/>
    </row>
    <row r="395" spans="1:1" s="7" customFormat="1" x14ac:dyDescent="0.25">
      <c r="A395" s="6"/>
    </row>
    <row r="396" spans="1:1" s="7" customFormat="1" x14ac:dyDescent="0.25">
      <c r="A396" s="6"/>
    </row>
    <row r="397" spans="1:1" s="7" customFormat="1" x14ac:dyDescent="0.25">
      <c r="A397" s="6"/>
    </row>
    <row r="398" spans="1:1" s="7" customFormat="1" x14ac:dyDescent="0.25">
      <c r="A398" s="6"/>
    </row>
    <row r="399" spans="1:1" s="7" customFormat="1" x14ac:dyDescent="0.25">
      <c r="A399" s="6"/>
    </row>
    <row r="400" spans="1:1" s="7" customFormat="1" x14ac:dyDescent="0.25">
      <c r="A400" s="6"/>
    </row>
    <row r="401" spans="1:1" s="7" customFormat="1" x14ac:dyDescent="0.25">
      <c r="A401" s="6"/>
    </row>
    <row r="402" spans="1:1" s="7" customFormat="1" x14ac:dyDescent="0.25">
      <c r="A402" s="6"/>
    </row>
    <row r="403" spans="1:1" s="7" customFormat="1" x14ac:dyDescent="0.25">
      <c r="A403" s="6"/>
    </row>
    <row r="404" spans="1:1" s="7" customFormat="1" x14ac:dyDescent="0.25">
      <c r="A404" s="6"/>
    </row>
    <row r="405" spans="1:1" s="7" customFormat="1" x14ac:dyDescent="0.25">
      <c r="A405" s="6"/>
    </row>
    <row r="406" spans="1:1" s="7" customFormat="1" x14ac:dyDescent="0.25">
      <c r="A406" s="6"/>
    </row>
    <row r="407" spans="1:1" s="7" customFormat="1" x14ac:dyDescent="0.25">
      <c r="A407" s="6"/>
    </row>
    <row r="408" spans="1:1" s="7" customFormat="1" x14ac:dyDescent="0.25">
      <c r="A408" s="6"/>
    </row>
    <row r="409" spans="1:1" s="7" customFormat="1" x14ac:dyDescent="0.25">
      <c r="A409" s="6"/>
    </row>
    <row r="410" spans="1:1" s="7" customFormat="1" x14ac:dyDescent="0.25">
      <c r="A410" s="6"/>
    </row>
    <row r="411" spans="1:1" s="7" customFormat="1" x14ac:dyDescent="0.25">
      <c r="A411" s="6"/>
    </row>
    <row r="412" spans="1:1" s="7" customFormat="1" x14ac:dyDescent="0.25">
      <c r="A412" s="6"/>
    </row>
    <row r="413" spans="1:1" s="7" customFormat="1" x14ac:dyDescent="0.25">
      <c r="A413" s="6"/>
    </row>
    <row r="414" spans="1:1" s="7" customFormat="1" x14ac:dyDescent="0.25">
      <c r="A414" s="6"/>
    </row>
    <row r="415" spans="1:1" s="7" customFormat="1" x14ac:dyDescent="0.25">
      <c r="A415" s="6"/>
    </row>
    <row r="416" spans="1:1" s="7" customFormat="1" x14ac:dyDescent="0.25">
      <c r="A416" s="6"/>
    </row>
    <row r="417" spans="1:1" s="7" customFormat="1" x14ac:dyDescent="0.25">
      <c r="A417" s="6"/>
    </row>
    <row r="418" spans="1:1" s="7" customFormat="1" x14ac:dyDescent="0.25">
      <c r="A418" s="6"/>
    </row>
    <row r="419" spans="1:1" s="7" customFormat="1" x14ac:dyDescent="0.25">
      <c r="A419" s="6"/>
    </row>
    <row r="420" spans="1:1" s="7" customFormat="1" x14ac:dyDescent="0.25">
      <c r="A420" s="6"/>
    </row>
    <row r="421" spans="1:1" s="7" customFormat="1" x14ac:dyDescent="0.25">
      <c r="A421" s="6"/>
    </row>
    <row r="422" spans="1:1" s="7" customFormat="1" x14ac:dyDescent="0.25">
      <c r="A422" s="6"/>
    </row>
    <row r="423" spans="1:1" s="7" customFormat="1" x14ac:dyDescent="0.25">
      <c r="A423" s="6"/>
    </row>
    <row r="424" spans="1:1" s="7" customFormat="1" x14ac:dyDescent="0.25">
      <c r="A424" s="6"/>
    </row>
    <row r="425" spans="1:1" s="7" customFormat="1" x14ac:dyDescent="0.25">
      <c r="A425" s="6"/>
    </row>
    <row r="426" spans="1:1" s="7" customFormat="1" x14ac:dyDescent="0.25">
      <c r="A426" s="6"/>
    </row>
    <row r="427" spans="1:1" s="7" customFormat="1" x14ac:dyDescent="0.25">
      <c r="A427" s="6"/>
    </row>
    <row r="428" spans="1:1" s="7" customFormat="1" x14ac:dyDescent="0.25">
      <c r="A428" s="6"/>
    </row>
    <row r="429" spans="1:1" s="7" customFormat="1" x14ac:dyDescent="0.25">
      <c r="A429" s="6"/>
    </row>
    <row r="430" spans="1:1" s="7" customFormat="1" x14ac:dyDescent="0.25">
      <c r="A430" s="6"/>
    </row>
    <row r="431" spans="1:1" s="7" customFormat="1" x14ac:dyDescent="0.25">
      <c r="A431" s="6"/>
    </row>
    <row r="432" spans="1:1" s="7" customFormat="1" x14ac:dyDescent="0.25">
      <c r="A432" s="6"/>
    </row>
    <row r="433" spans="1:1" s="7" customFormat="1" x14ac:dyDescent="0.25">
      <c r="A433" s="6"/>
    </row>
    <row r="434" spans="1:1" s="7" customFormat="1" x14ac:dyDescent="0.25">
      <c r="A434" s="6"/>
    </row>
    <row r="435" spans="1:1" s="7" customFormat="1" x14ac:dyDescent="0.25">
      <c r="A435" s="6"/>
    </row>
    <row r="436" spans="1:1" s="7" customFormat="1" x14ac:dyDescent="0.25">
      <c r="A436" s="6"/>
    </row>
    <row r="437" spans="1:1" s="7" customFormat="1" x14ac:dyDescent="0.25">
      <c r="A437" s="6"/>
    </row>
    <row r="438" spans="1:1" s="7" customFormat="1" x14ac:dyDescent="0.25">
      <c r="A438" s="6"/>
    </row>
    <row r="439" spans="1:1" s="7" customFormat="1" x14ac:dyDescent="0.25">
      <c r="A439" s="6"/>
    </row>
    <row r="440" spans="1:1" s="7" customFormat="1" x14ac:dyDescent="0.25">
      <c r="A440" s="6"/>
    </row>
    <row r="441" spans="1:1" s="7" customFormat="1" x14ac:dyDescent="0.25">
      <c r="A441" s="6"/>
    </row>
    <row r="442" spans="1:1" s="7" customFormat="1" x14ac:dyDescent="0.25">
      <c r="A442" s="6"/>
    </row>
    <row r="443" spans="1:1" s="7" customFormat="1" x14ac:dyDescent="0.25">
      <c r="A443" s="6"/>
    </row>
    <row r="444" spans="1:1" s="7" customFormat="1" x14ac:dyDescent="0.25">
      <c r="A444" s="6"/>
    </row>
    <row r="445" spans="1:1" s="7" customFormat="1" x14ac:dyDescent="0.25">
      <c r="A445" s="6"/>
    </row>
    <row r="446" spans="1:1" s="7" customFormat="1" x14ac:dyDescent="0.25">
      <c r="A446" s="6"/>
    </row>
    <row r="447" spans="1:1" s="7" customFormat="1" x14ac:dyDescent="0.25">
      <c r="A447" s="6"/>
    </row>
    <row r="448" spans="1:1" s="7" customFormat="1" x14ac:dyDescent="0.25">
      <c r="A448" s="6"/>
    </row>
    <row r="449" spans="1:1" s="7" customFormat="1" x14ac:dyDescent="0.25">
      <c r="A449" s="6"/>
    </row>
    <row r="450" spans="1:1" s="7" customFormat="1" x14ac:dyDescent="0.25">
      <c r="A450" s="6"/>
    </row>
    <row r="451" spans="1:1" s="7" customFormat="1" x14ac:dyDescent="0.25">
      <c r="A451" s="6"/>
    </row>
    <row r="452" spans="1:1" s="7" customFormat="1" x14ac:dyDescent="0.25">
      <c r="A452" s="6"/>
    </row>
    <row r="453" spans="1:1" s="7" customFormat="1" x14ac:dyDescent="0.25">
      <c r="A453" s="6"/>
    </row>
    <row r="454" spans="1:1" s="7" customFormat="1" x14ac:dyDescent="0.25">
      <c r="A454" s="6"/>
    </row>
    <row r="455" spans="1:1" s="7" customFormat="1" x14ac:dyDescent="0.25">
      <c r="A455" s="6"/>
    </row>
    <row r="456" spans="1:1" s="7" customFormat="1" x14ac:dyDescent="0.25">
      <c r="A456" s="6"/>
    </row>
    <row r="457" spans="1:1" s="7" customFormat="1" x14ac:dyDescent="0.25">
      <c r="A457" s="6"/>
    </row>
    <row r="458" spans="1:1" s="7" customFormat="1" x14ac:dyDescent="0.25">
      <c r="A458" s="6"/>
    </row>
    <row r="459" spans="1:1" s="7" customFormat="1" x14ac:dyDescent="0.25">
      <c r="A459" s="6"/>
    </row>
    <row r="460" spans="1:1" s="7" customFormat="1" x14ac:dyDescent="0.25">
      <c r="A460" s="6"/>
    </row>
    <row r="461" spans="1:1" s="7" customFormat="1" x14ac:dyDescent="0.25">
      <c r="A461" s="6"/>
    </row>
    <row r="462" spans="1:1" s="7" customFormat="1" x14ac:dyDescent="0.25">
      <c r="A462" s="6"/>
    </row>
    <row r="463" spans="1:1" s="7" customFormat="1" x14ac:dyDescent="0.25">
      <c r="A463" s="6"/>
    </row>
    <row r="464" spans="1:1" s="7" customFormat="1" x14ac:dyDescent="0.25">
      <c r="A464" s="6"/>
    </row>
    <row r="465" spans="1:1" s="7" customFormat="1" x14ac:dyDescent="0.25">
      <c r="A465" s="6"/>
    </row>
    <row r="466" spans="1:1" s="7" customFormat="1" x14ac:dyDescent="0.25">
      <c r="A466" s="6"/>
    </row>
    <row r="467" spans="1:1" s="7" customFormat="1" x14ac:dyDescent="0.25">
      <c r="A467" s="6"/>
    </row>
    <row r="468" spans="1:1" s="7" customFormat="1" x14ac:dyDescent="0.25">
      <c r="A468" s="6"/>
    </row>
    <row r="469" spans="1:1" s="7" customFormat="1" x14ac:dyDescent="0.25">
      <c r="A469" s="6"/>
    </row>
    <row r="470" spans="1:1" s="7" customFormat="1" x14ac:dyDescent="0.25">
      <c r="A470" s="6"/>
    </row>
    <row r="471" spans="1:1" s="7" customFormat="1" x14ac:dyDescent="0.25">
      <c r="A471" s="6"/>
    </row>
    <row r="472" spans="1:1" s="7" customFormat="1" x14ac:dyDescent="0.25">
      <c r="A472" s="6"/>
    </row>
    <row r="473" spans="1:1" s="7" customFormat="1" x14ac:dyDescent="0.25">
      <c r="A473" s="6"/>
    </row>
    <row r="474" spans="1:1" s="7" customFormat="1" x14ac:dyDescent="0.25">
      <c r="A474" s="6"/>
    </row>
    <row r="475" spans="1:1" s="7" customFormat="1" x14ac:dyDescent="0.25">
      <c r="A475" s="6"/>
    </row>
    <row r="476" spans="1:1" s="7" customFormat="1" x14ac:dyDescent="0.25">
      <c r="A476" s="6"/>
    </row>
    <row r="477" spans="1:1" s="7" customFormat="1" x14ac:dyDescent="0.25">
      <c r="A477" s="6"/>
    </row>
    <row r="478" spans="1:1" s="7" customFormat="1" x14ac:dyDescent="0.25">
      <c r="A478" s="6"/>
    </row>
    <row r="479" spans="1:1" s="7" customFormat="1" x14ac:dyDescent="0.25">
      <c r="A479" s="6"/>
    </row>
    <row r="480" spans="1:1" s="7" customFormat="1" x14ac:dyDescent="0.25">
      <c r="A480" s="6"/>
    </row>
    <row r="481" spans="1:1" s="7" customFormat="1" x14ac:dyDescent="0.25">
      <c r="A481" s="6"/>
    </row>
    <row r="482" spans="1:1" s="7" customFormat="1" x14ac:dyDescent="0.25">
      <c r="A482" s="6"/>
    </row>
    <row r="483" spans="1:1" s="7" customFormat="1" x14ac:dyDescent="0.25">
      <c r="A483" s="6"/>
    </row>
    <row r="484" spans="1:1" s="7" customFormat="1" x14ac:dyDescent="0.25">
      <c r="A484" s="6"/>
    </row>
    <row r="485" spans="1:1" s="7" customFormat="1" x14ac:dyDescent="0.25">
      <c r="A485" s="6"/>
    </row>
    <row r="486" spans="1:1" s="7" customFormat="1" x14ac:dyDescent="0.25">
      <c r="A486" s="6"/>
    </row>
    <row r="487" spans="1:1" s="7" customFormat="1" x14ac:dyDescent="0.25">
      <c r="A487" s="6"/>
    </row>
    <row r="488" spans="1:1" s="7" customFormat="1" x14ac:dyDescent="0.25">
      <c r="A488" s="6"/>
    </row>
    <row r="489" spans="1:1" s="7" customFormat="1" x14ac:dyDescent="0.25">
      <c r="A489" s="6"/>
    </row>
    <row r="490" spans="1:1" s="7" customFormat="1" x14ac:dyDescent="0.25">
      <c r="A490" s="6"/>
    </row>
    <row r="491" spans="1:1" s="7" customFormat="1" x14ac:dyDescent="0.25">
      <c r="A491" s="6"/>
    </row>
    <row r="492" spans="1:1" s="7" customFormat="1" x14ac:dyDescent="0.25">
      <c r="A492" s="6"/>
    </row>
    <row r="493" spans="1:1" s="7" customFormat="1" x14ac:dyDescent="0.25">
      <c r="A493" s="6"/>
    </row>
    <row r="494" spans="1:1" s="7" customFormat="1" x14ac:dyDescent="0.25">
      <c r="A494" s="6"/>
    </row>
    <row r="495" spans="1:1" s="7" customFormat="1" x14ac:dyDescent="0.25">
      <c r="A495" s="6"/>
    </row>
    <row r="496" spans="1:1" s="7" customFormat="1" x14ac:dyDescent="0.25">
      <c r="A496" s="6"/>
    </row>
    <row r="497" spans="1:1" s="7" customFormat="1" x14ac:dyDescent="0.25">
      <c r="A497" s="6"/>
    </row>
    <row r="498" spans="1:1" s="7" customFormat="1" x14ac:dyDescent="0.25">
      <c r="A498" s="6"/>
    </row>
    <row r="499" spans="1:1" s="7" customFormat="1" x14ac:dyDescent="0.25">
      <c r="A499" s="6"/>
    </row>
    <row r="500" spans="1:1" s="7" customFormat="1" x14ac:dyDescent="0.25">
      <c r="A500" s="6"/>
    </row>
    <row r="501" spans="1:1" s="7" customFormat="1" x14ac:dyDescent="0.25">
      <c r="A501" s="6"/>
    </row>
    <row r="502" spans="1:1" s="7" customFormat="1" x14ac:dyDescent="0.25">
      <c r="A502" s="6"/>
    </row>
    <row r="503" spans="1:1" s="7" customFormat="1" x14ac:dyDescent="0.25">
      <c r="A503" s="6"/>
    </row>
    <row r="504" spans="1:1" s="7" customFormat="1" x14ac:dyDescent="0.25">
      <c r="A504" s="6"/>
    </row>
    <row r="505" spans="1:1" s="7" customFormat="1" x14ac:dyDescent="0.25">
      <c r="A505" s="6"/>
    </row>
    <row r="506" spans="1:1" s="7" customFormat="1" x14ac:dyDescent="0.25">
      <c r="A506" s="6"/>
    </row>
    <row r="507" spans="1:1" s="7" customFormat="1" x14ac:dyDescent="0.25">
      <c r="A507" s="6"/>
    </row>
    <row r="508" spans="1:1" s="7" customFormat="1" x14ac:dyDescent="0.25">
      <c r="A508" s="6"/>
    </row>
    <row r="509" spans="1:1" s="7" customFormat="1" x14ac:dyDescent="0.25">
      <c r="A509" s="6"/>
    </row>
    <row r="510" spans="1:1" s="7" customFormat="1" x14ac:dyDescent="0.25">
      <c r="A510" s="6"/>
    </row>
    <row r="511" spans="1:1" s="7" customFormat="1" x14ac:dyDescent="0.25">
      <c r="A511" s="6"/>
    </row>
    <row r="512" spans="1:1" s="7" customFormat="1" x14ac:dyDescent="0.25">
      <c r="A512" s="6"/>
    </row>
    <row r="513" spans="1:14" s="7" customFormat="1" x14ac:dyDescent="0.25">
      <c r="A513" s="6"/>
    </row>
    <row r="514" spans="1:14" s="7" customFormat="1" x14ac:dyDescent="0.25">
      <c r="A514" s="6"/>
    </row>
    <row r="515" spans="1:14" s="7" customFormat="1" x14ac:dyDescent="0.25">
      <c r="A515" s="6"/>
    </row>
    <row r="516" spans="1:14" s="7" customFormat="1" x14ac:dyDescent="0.25">
      <c r="A516" s="6"/>
    </row>
    <row r="517" spans="1:14" s="39" customFormat="1" ht="15" customHeight="1" x14ac:dyDescent="0.25">
      <c r="A517" s="3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 s="39" customFormat="1" ht="15" customHeight="1" x14ac:dyDescent="0.25">
      <c r="A518" s="38"/>
    </row>
    <row r="519" spans="1:14" s="39" customFormat="1" ht="15" customHeight="1" x14ac:dyDescent="0.25">
      <c r="A519" s="38"/>
    </row>
    <row r="520" spans="1:14" s="39" customFormat="1" ht="15" customHeight="1" x14ac:dyDescent="0.25">
      <c r="A520" s="38"/>
    </row>
    <row r="521" spans="1:14" s="39" customFormat="1" ht="15.75" customHeight="1" x14ac:dyDescent="0.25">
      <c r="A521" s="38"/>
    </row>
    <row r="522" spans="1:14" s="39" customFormat="1" ht="15" customHeight="1" x14ac:dyDescent="0.25">
      <c r="A522" s="38"/>
    </row>
    <row r="523" spans="1:14" s="39" customFormat="1" ht="15" customHeight="1" x14ac:dyDescent="0.25">
      <c r="A523" s="38"/>
    </row>
    <row r="524" spans="1:14" s="39" customFormat="1" ht="15" customHeight="1" x14ac:dyDescent="0.25">
      <c r="A524" s="38"/>
    </row>
    <row r="525" spans="1:14" s="39" customFormat="1" ht="14.25" customHeight="1" x14ac:dyDescent="0.25">
      <c r="A525" s="38"/>
    </row>
    <row r="526" spans="1:14" s="39" customFormat="1" ht="14.25" customHeight="1" x14ac:dyDescent="0.25">
      <c r="A526" s="38"/>
    </row>
    <row r="527" spans="1:14" s="39" customFormat="1" ht="15" customHeight="1" x14ac:dyDescent="0.25">
      <c r="A527" s="38"/>
    </row>
    <row r="528" spans="1:14" s="39" customFormat="1" ht="15" customHeight="1" x14ac:dyDescent="0.25">
      <c r="A528" s="38"/>
    </row>
    <row r="529" spans="1:1" s="39" customFormat="1" ht="15" customHeight="1" x14ac:dyDescent="0.25">
      <c r="A529" s="38"/>
    </row>
    <row r="530" spans="1:1" s="39" customFormat="1" ht="15" customHeight="1" x14ac:dyDescent="0.25">
      <c r="A530" s="38"/>
    </row>
    <row r="531" spans="1:1" s="39" customFormat="1" ht="15" customHeight="1" x14ac:dyDescent="0.25">
      <c r="A531" s="38"/>
    </row>
    <row r="532" spans="1:1" s="39" customFormat="1" ht="15" customHeight="1" x14ac:dyDescent="0.25">
      <c r="A532" s="38"/>
    </row>
    <row r="533" spans="1:1" s="39" customFormat="1" ht="15" customHeight="1" x14ac:dyDescent="0.25">
      <c r="A533" s="38"/>
    </row>
    <row r="534" spans="1:1" s="39" customFormat="1" ht="15" customHeight="1" x14ac:dyDescent="0.25">
      <c r="A534" s="38"/>
    </row>
    <row r="535" spans="1:1" s="39" customFormat="1" ht="15" customHeight="1" x14ac:dyDescent="0.25">
      <c r="A535" s="38"/>
    </row>
    <row r="536" spans="1:1" s="39" customFormat="1" ht="15" customHeight="1" x14ac:dyDescent="0.25">
      <c r="A536" s="38"/>
    </row>
    <row r="537" spans="1:1" s="39" customFormat="1" ht="15" customHeight="1" x14ac:dyDescent="0.25">
      <c r="A537" s="38"/>
    </row>
    <row r="538" spans="1:1" s="39" customFormat="1" ht="15" customHeight="1" x14ac:dyDescent="0.25">
      <c r="A538" s="38"/>
    </row>
    <row r="539" spans="1:1" s="39" customFormat="1" ht="15" customHeight="1" x14ac:dyDescent="0.25">
      <c r="A539" s="38"/>
    </row>
    <row r="540" spans="1:1" s="39" customFormat="1" ht="15" customHeight="1" x14ac:dyDescent="0.25">
      <c r="A540" s="38"/>
    </row>
    <row r="541" spans="1:1" s="39" customFormat="1" ht="15" customHeight="1" x14ac:dyDescent="0.25">
      <c r="A541" s="38"/>
    </row>
    <row r="542" spans="1:1" s="39" customFormat="1" ht="15" customHeight="1" x14ac:dyDescent="0.25">
      <c r="A542" s="38"/>
    </row>
    <row r="543" spans="1:1" s="39" customFormat="1" ht="15" customHeight="1" x14ac:dyDescent="0.25">
      <c r="A543" s="38"/>
    </row>
    <row r="544" spans="1:1" s="39" customFormat="1" ht="15" customHeight="1" x14ac:dyDescent="0.25">
      <c r="A544" s="38"/>
    </row>
    <row r="545" spans="1:1" s="39" customFormat="1" ht="15" customHeight="1" x14ac:dyDescent="0.25">
      <c r="A545" s="38"/>
    </row>
    <row r="546" spans="1:1" s="39" customFormat="1" ht="15" customHeight="1" x14ac:dyDescent="0.25">
      <c r="A546" s="38"/>
    </row>
    <row r="547" spans="1:1" s="39" customFormat="1" ht="15" customHeight="1" x14ac:dyDescent="0.25">
      <c r="A547" s="38"/>
    </row>
    <row r="548" spans="1:1" s="39" customFormat="1" ht="15" customHeight="1" x14ac:dyDescent="0.25">
      <c r="A548" s="38"/>
    </row>
    <row r="549" spans="1:1" s="39" customFormat="1" ht="15" customHeight="1" x14ac:dyDescent="0.25">
      <c r="A549" s="38"/>
    </row>
    <row r="550" spans="1:1" s="39" customFormat="1" ht="15" customHeight="1" x14ac:dyDescent="0.25">
      <c r="A550" s="38"/>
    </row>
    <row r="551" spans="1:1" s="39" customFormat="1" ht="15" customHeight="1" x14ac:dyDescent="0.25">
      <c r="A551" s="38"/>
    </row>
    <row r="552" spans="1:1" s="39" customFormat="1" ht="15" customHeight="1" x14ac:dyDescent="0.25">
      <c r="A552" s="38"/>
    </row>
    <row r="553" spans="1:1" s="39" customFormat="1" ht="15" customHeight="1" x14ac:dyDescent="0.25">
      <c r="A553" s="38"/>
    </row>
    <row r="554" spans="1:1" s="39" customFormat="1" ht="15" customHeight="1" x14ac:dyDescent="0.25">
      <c r="A554" s="38"/>
    </row>
    <row r="555" spans="1:1" s="39" customFormat="1" ht="15" customHeight="1" x14ac:dyDescent="0.25">
      <c r="A555" s="38"/>
    </row>
    <row r="556" spans="1:1" s="39" customFormat="1" ht="15" customHeight="1" x14ac:dyDescent="0.25">
      <c r="A556" s="38"/>
    </row>
    <row r="557" spans="1:1" s="39" customFormat="1" ht="15" customHeight="1" x14ac:dyDescent="0.25">
      <c r="A557" s="38"/>
    </row>
    <row r="558" spans="1:1" s="39" customFormat="1" ht="15" customHeight="1" x14ac:dyDescent="0.25">
      <c r="A558" s="38"/>
    </row>
    <row r="559" spans="1:1" s="39" customFormat="1" ht="15" customHeight="1" x14ac:dyDescent="0.25">
      <c r="A559" s="38"/>
    </row>
    <row r="560" spans="1:1" s="39" customFormat="1" ht="15" customHeight="1" x14ac:dyDescent="0.25">
      <c r="A560" s="38"/>
    </row>
    <row r="561" spans="1:1" s="39" customFormat="1" ht="15" customHeight="1" x14ac:dyDescent="0.25">
      <c r="A561" s="38"/>
    </row>
    <row r="562" spans="1:1" s="39" customFormat="1" ht="15" customHeight="1" x14ac:dyDescent="0.25">
      <c r="A562" s="38"/>
    </row>
    <row r="563" spans="1:1" s="39" customFormat="1" ht="15" customHeight="1" x14ac:dyDescent="0.25">
      <c r="A563" s="38"/>
    </row>
    <row r="564" spans="1:1" s="39" customFormat="1" ht="15" customHeight="1" x14ac:dyDescent="0.25">
      <c r="A564" s="38"/>
    </row>
    <row r="565" spans="1:1" s="39" customFormat="1" ht="15" customHeight="1" x14ac:dyDescent="0.25">
      <c r="A565" s="38"/>
    </row>
    <row r="566" spans="1:1" s="39" customFormat="1" ht="15" customHeight="1" x14ac:dyDescent="0.25">
      <c r="A566" s="38"/>
    </row>
    <row r="567" spans="1:1" s="39" customFormat="1" ht="15" customHeight="1" x14ac:dyDescent="0.25">
      <c r="A567" s="38"/>
    </row>
    <row r="568" spans="1:1" s="39" customFormat="1" ht="15" customHeight="1" x14ac:dyDescent="0.25">
      <c r="A568" s="38"/>
    </row>
    <row r="569" spans="1:1" s="39" customFormat="1" ht="15" customHeight="1" x14ac:dyDescent="0.25">
      <c r="A569" s="38"/>
    </row>
    <row r="570" spans="1:1" s="39" customFormat="1" ht="15" customHeight="1" x14ac:dyDescent="0.25">
      <c r="A570" s="38"/>
    </row>
    <row r="571" spans="1:1" s="39" customFormat="1" ht="15" customHeight="1" x14ac:dyDescent="0.25">
      <c r="A571" s="38"/>
    </row>
    <row r="572" spans="1:1" s="39" customFormat="1" ht="15" customHeight="1" x14ac:dyDescent="0.25">
      <c r="A572" s="38"/>
    </row>
    <row r="573" spans="1:1" s="39" customFormat="1" ht="15" customHeight="1" x14ac:dyDescent="0.25">
      <c r="A573" s="38"/>
    </row>
    <row r="574" spans="1:1" s="39" customFormat="1" ht="15" customHeight="1" x14ac:dyDescent="0.25">
      <c r="A574" s="38"/>
    </row>
    <row r="575" spans="1:1" s="39" customFormat="1" ht="15" customHeight="1" x14ac:dyDescent="0.25">
      <c r="A575" s="38"/>
    </row>
    <row r="576" spans="1:1" s="39" customFormat="1" ht="15" customHeight="1" x14ac:dyDescent="0.25">
      <c r="A576" s="38"/>
    </row>
    <row r="577" spans="1:14" s="39" customFormat="1" ht="15" customHeight="1" x14ac:dyDescent="0.25">
      <c r="A577" s="38"/>
    </row>
    <row r="578" spans="1:14" s="39" customFormat="1" ht="15" customHeight="1" x14ac:dyDescent="0.25">
      <c r="A578" s="38"/>
    </row>
    <row r="579" spans="1:14" s="39" customFormat="1" ht="15" customHeight="1" x14ac:dyDescent="0.25">
      <c r="A579" s="38"/>
    </row>
    <row r="580" spans="1:14" s="39" customFormat="1" ht="15" customHeight="1" x14ac:dyDescent="0.25">
      <c r="A580" s="38"/>
    </row>
    <row r="581" spans="1:14" s="39" customFormat="1" ht="15" customHeight="1" x14ac:dyDescent="0.25">
      <c r="A581" s="38"/>
    </row>
    <row r="582" spans="1:14" s="39" customFormat="1" ht="15" customHeight="1" x14ac:dyDescent="0.25">
      <c r="A582" s="38"/>
    </row>
    <row r="583" spans="1:14" s="39" customFormat="1" ht="15" customHeight="1" x14ac:dyDescent="0.25">
      <c r="A583" s="38"/>
    </row>
    <row r="584" spans="1:14" s="39" customFormat="1" ht="15" customHeight="1" x14ac:dyDescent="0.25">
      <c r="A584" s="38"/>
    </row>
    <row r="585" spans="1:14" s="39" customFormat="1" ht="15" customHeight="1" x14ac:dyDescent="0.25">
      <c r="A585" s="38"/>
    </row>
    <row r="586" spans="1:14" s="39" customFormat="1" ht="15" customHeight="1" x14ac:dyDescent="0.25">
      <c r="A586" s="38"/>
    </row>
    <row r="587" spans="1:14" s="39" customFormat="1" ht="15" customHeight="1" x14ac:dyDescent="0.25">
      <c r="A587" s="38"/>
    </row>
    <row r="588" spans="1:14" s="39" customFormat="1" ht="15" customHeight="1" x14ac:dyDescent="0.25">
      <c r="A588" s="38"/>
    </row>
    <row r="589" spans="1:14" s="39" customFormat="1" ht="15" customHeight="1" x14ac:dyDescent="0.25">
      <c r="A589" s="38"/>
    </row>
    <row r="590" spans="1:14" ht="15" customHeight="1" x14ac:dyDescent="0.25"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</row>
    <row r="591" spans="1:14" ht="15" customHeight="1" x14ac:dyDescent="0.25"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</row>
    <row r="592" spans="1:14" ht="15" customHeight="1" x14ac:dyDescent="0.25"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</row>
    <row r="593" spans="2:14" x14ac:dyDescent="0.25"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</row>
    <row r="594" spans="2:14" ht="15" customHeight="1" x14ac:dyDescent="0.25"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</row>
    <row r="595" spans="2:14" ht="15" customHeight="1" x14ac:dyDescent="0.25"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</row>
    <row r="596" spans="2:14" ht="15" customHeight="1" x14ac:dyDescent="0.25"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</row>
    <row r="597" spans="2:14" ht="15" customHeight="1" x14ac:dyDescent="0.25"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</row>
    <row r="598" spans="2:14" s="45" customFormat="1" ht="15" customHeight="1" x14ac:dyDescent="0.25"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</row>
    <row r="599" spans="2:14" s="45" customFormat="1" ht="15" customHeight="1" x14ac:dyDescent="0.25"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</row>
    <row r="600" spans="2:14" s="45" customFormat="1" ht="15" customHeight="1" x14ac:dyDescent="0.25"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</row>
    <row r="601" spans="2:14" s="45" customFormat="1" ht="15" customHeight="1" x14ac:dyDescent="0.25"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</row>
    <row r="602" spans="2:14" ht="15" customHeight="1" x14ac:dyDescent="0.25"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</row>
    <row r="603" spans="2:14" ht="15" customHeight="1" x14ac:dyDescent="0.25"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</row>
    <row r="604" spans="2:14" ht="15" customHeight="1" x14ac:dyDescent="0.25"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</row>
    <row r="605" spans="2:14" ht="15" customHeight="1" x14ac:dyDescent="0.25"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</row>
    <row r="606" spans="2:14" ht="15" customHeight="1" x14ac:dyDescent="0.25"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</row>
    <row r="607" spans="2:14" ht="15" customHeight="1" x14ac:dyDescent="0.25"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</row>
    <row r="608" spans="2:14" ht="15" customHeight="1" x14ac:dyDescent="0.25"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</row>
    <row r="609" spans="2:14" ht="15" customHeight="1" x14ac:dyDescent="0.25"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</row>
    <row r="610" spans="2:14" ht="15" customHeight="1" x14ac:dyDescent="0.25"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</row>
    <row r="611" spans="2:14" ht="15" customHeight="1" x14ac:dyDescent="0.25"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</row>
    <row r="612" spans="2:14" ht="15" customHeight="1" x14ac:dyDescent="0.25"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</row>
    <row r="613" spans="2:14" ht="15" customHeight="1" x14ac:dyDescent="0.25"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</row>
    <row r="614" spans="2:14" ht="15" customHeight="1" x14ac:dyDescent="0.25"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</row>
    <row r="615" spans="2:14" ht="15" customHeight="1" x14ac:dyDescent="0.25"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</row>
    <row r="616" spans="2:14" ht="15" customHeight="1" x14ac:dyDescent="0.25"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</row>
    <row r="617" spans="2:14" ht="15" customHeight="1" x14ac:dyDescent="0.25"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</row>
    <row r="618" spans="2:14" ht="15" customHeight="1" x14ac:dyDescent="0.25"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</row>
    <row r="619" spans="2:14" ht="15" customHeight="1" x14ac:dyDescent="0.25"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</row>
    <row r="620" spans="2:14" ht="15" customHeight="1" x14ac:dyDescent="0.25"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</row>
    <row r="621" spans="2:14" ht="15" customHeight="1" x14ac:dyDescent="0.25"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</row>
    <row r="622" spans="2:14" ht="15" customHeight="1" x14ac:dyDescent="0.25">
      <c r="B622" s="1"/>
      <c r="C622" s="1"/>
      <c r="D622" s="1"/>
      <c r="E622" s="1"/>
      <c r="F622" s="1"/>
      <c r="G622" s="1"/>
      <c r="H622" s="1"/>
      <c r="L622" s="1"/>
      <c r="M622" s="1"/>
      <c r="N622" s="1"/>
    </row>
    <row r="623" spans="2:14" ht="15" customHeight="1" x14ac:dyDescent="0.25">
      <c r="B623" s="1"/>
      <c r="C623" s="1"/>
      <c r="D623" s="1"/>
      <c r="E623" s="1"/>
      <c r="F623" s="1"/>
      <c r="G623" s="1"/>
      <c r="H623" s="1"/>
      <c r="L623" s="1"/>
      <c r="M623" s="1"/>
      <c r="N623" s="1"/>
    </row>
    <row r="624" spans="2:14" ht="15" customHeight="1" x14ac:dyDescent="0.25">
      <c r="B624" s="1"/>
      <c r="C624" s="1"/>
      <c r="D624" s="1"/>
      <c r="E624" s="1"/>
      <c r="F624" s="1"/>
      <c r="G624" s="1"/>
      <c r="H624" s="1"/>
      <c r="L624" s="1"/>
      <c r="M624" s="1"/>
      <c r="N624" s="1"/>
    </row>
    <row r="625" spans="2:14" ht="15" customHeight="1" x14ac:dyDescent="0.25">
      <c r="B625" s="1"/>
      <c r="C625" s="1"/>
      <c r="D625" s="1"/>
      <c r="E625" s="1"/>
      <c r="F625" s="1"/>
      <c r="G625" s="1"/>
      <c r="H625" s="1"/>
      <c r="L625" s="1"/>
      <c r="M625" s="1"/>
      <c r="N625" s="1"/>
    </row>
    <row r="626" spans="2:14" ht="15" customHeight="1" x14ac:dyDescent="0.25">
      <c r="B626" s="1"/>
      <c r="C626" s="1"/>
      <c r="D626" s="1"/>
      <c r="E626" s="1"/>
      <c r="F626" s="1"/>
      <c r="G626" s="1"/>
      <c r="H626" s="1"/>
      <c r="L626" s="1"/>
      <c r="M626" s="1"/>
      <c r="N626" s="1"/>
    </row>
    <row r="627" spans="2:14" ht="15" customHeight="1" x14ac:dyDescent="0.25">
      <c r="B627" s="1"/>
      <c r="C627" s="1"/>
      <c r="D627" s="1"/>
      <c r="E627" s="1"/>
      <c r="F627" s="1"/>
      <c r="G627" s="1"/>
      <c r="H627" s="1"/>
      <c r="L627" s="1"/>
      <c r="M627" s="1"/>
      <c r="N627" s="1"/>
    </row>
    <row r="628" spans="2:14" ht="15" customHeight="1" x14ac:dyDescent="0.25">
      <c r="B628" s="1"/>
      <c r="C628" s="1"/>
      <c r="D628" s="1"/>
      <c r="E628" s="1"/>
      <c r="F628" s="1"/>
      <c r="G628" s="1"/>
      <c r="H628" s="1"/>
      <c r="L628" s="1"/>
      <c r="M628" s="1"/>
      <c r="N628" s="1"/>
    </row>
    <row r="629" spans="2:14" ht="15" customHeight="1" x14ac:dyDescent="0.25">
      <c r="B629" s="1"/>
      <c r="C629" s="1"/>
      <c r="D629" s="1"/>
      <c r="E629" s="1"/>
      <c r="F629" s="1"/>
      <c r="G629" s="1"/>
      <c r="H629" s="1"/>
      <c r="L629" s="1"/>
      <c r="M629" s="1"/>
      <c r="N629" s="1"/>
    </row>
    <row r="630" spans="2:14" ht="15" customHeight="1" x14ac:dyDescent="0.25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</row>
    <row r="631" spans="2:14" ht="15" customHeight="1" x14ac:dyDescent="0.25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</row>
    <row r="632" spans="2:14" ht="15" customHeight="1" x14ac:dyDescent="0.25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</row>
    <row r="633" spans="2:14" ht="15" customHeight="1" x14ac:dyDescent="0.25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</row>
    <row r="634" spans="2:14" x14ac:dyDescent="0.25">
      <c r="B634" s="1"/>
      <c r="C634" s="1"/>
      <c r="D634" s="1"/>
      <c r="E634" s="1"/>
      <c r="F634" s="1"/>
      <c r="G634" s="1"/>
      <c r="H634" s="1"/>
      <c r="L634" s="1"/>
      <c r="M634" s="1"/>
      <c r="N634" s="1"/>
    </row>
    <row r="635" spans="2:14" ht="15" customHeight="1" x14ac:dyDescent="0.25">
      <c r="B635" s="1"/>
      <c r="C635" s="1"/>
      <c r="D635" s="1"/>
      <c r="E635" s="1"/>
      <c r="F635" s="1"/>
      <c r="G635" s="1"/>
      <c r="H635" s="1"/>
      <c r="L635" s="1"/>
      <c r="M635" s="1"/>
      <c r="N635" s="1"/>
    </row>
    <row r="636" spans="2:14" ht="15" customHeight="1" x14ac:dyDescent="0.25">
      <c r="B636" s="1"/>
      <c r="C636" s="1"/>
      <c r="D636" s="1"/>
      <c r="E636" s="1"/>
      <c r="F636" s="1"/>
      <c r="G636" s="1"/>
      <c r="H636" s="1"/>
      <c r="L636" s="1"/>
      <c r="M636" s="1"/>
      <c r="N636" s="1"/>
    </row>
    <row r="637" spans="2:14" ht="15" customHeight="1" x14ac:dyDescent="0.25">
      <c r="B637" s="1"/>
      <c r="C637" s="1"/>
      <c r="D637" s="1"/>
      <c r="E637" s="1"/>
      <c r="F637" s="1"/>
      <c r="G637" s="1"/>
      <c r="H637" s="1"/>
      <c r="L637" s="1"/>
      <c r="M637" s="1"/>
      <c r="N637" s="1"/>
    </row>
    <row r="638" spans="2:14" ht="22.5" customHeight="1" x14ac:dyDescent="0.25">
      <c r="B638" s="1"/>
      <c r="C638" s="1"/>
      <c r="D638" s="1"/>
      <c r="E638" s="1"/>
      <c r="F638" s="1"/>
      <c r="G638" s="1"/>
      <c r="H638" s="1"/>
      <c r="L638" s="1"/>
      <c r="M638" s="1"/>
      <c r="N638" s="1"/>
    </row>
    <row r="639" spans="2:14" ht="15" customHeight="1" x14ac:dyDescent="0.25">
      <c r="B639" s="1"/>
      <c r="C639" s="1"/>
      <c r="D639" s="1"/>
      <c r="E639" s="1"/>
      <c r="F639" s="1"/>
      <c r="G639" s="1"/>
      <c r="H639" s="1"/>
      <c r="L639" s="1"/>
      <c r="M639" s="1"/>
      <c r="N639" s="1"/>
    </row>
    <row r="640" spans="2:14" ht="15" customHeight="1" x14ac:dyDescent="0.25">
      <c r="B640" s="1"/>
      <c r="C640" s="1"/>
      <c r="D640" s="1"/>
      <c r="E640" s="1"/>
      <c r="F640" s="1"/>
      <c r="G640" s="1"/>
      <c r="H640" s="1"/>
      <c r="L640" s="1"/>
      <c r="M640" s="1"/>
      <c r="N640" s="1"/>
    </row>
    <row r="641" spans="2:14" ht="15" customHeight="1" x14ac:dyDescent="0.25">
      <c r="B641" s="1"/>
      <c r="C641" s="1"/>
      <c r="D641" s="1"/>
      <c r="E641" s="1"/>
      <c r="F641" s="1"/>
      <c r="G641" s="1"/>
      <c r="H641" s="1"/>
      <c r="L641" s="1"/>
      <c r="M641" s="1"/>
      <c r="N641" s="1"/>
    </row>
    <row r="642" spans="2:14" x14ac:dyDescent="0.25">
      <c r="B642" s="1"/>
      <c r="C642" s="1"/>
      <c r="D642" s="1"/>
      <c r="E642" s="1"/>
      <c r="F642" s="1"/>
      <c r="G642" s="1"/>
      <c r="H642" s="1"/>
      <c r="L642" s="1"/>
      <c r="M642" s="1"/>
      <c r="N642" s="1"/>
    </row>
    <row r="643" spans="2:14" ht="15" customHeight="1" x14ac:dyDescent="0.25">
      <c r="B643" s="1"/>
      <c r="C643" s="1"/>
      <c r="D643" s="1"/>
      <c r="E643" s="1"/>
      <c r="F643" s="1"/>
      <c r="G643" s="1"/>
      <c r="H643" s="1"/>
      <c r="L643" s="1"/>
      <c r="M643" s="1"/>
      <c r="N643" s="1"/>
    </row>
    <row r="644" spans="2:14" ht="15" customHeight="1" x14ac:dyDescent="0.25">
      <c r="B644" s="1"/>
      <c r="C644" s="1"/>
      <c r="D644" s="1"/>
      <c r="E644" s="1"/>
      <c r="F644" s="1"/>
      <c r="G644" s="1"/>
      <c r="H644" s="1"/>
      <c r="L644" s="1"/>
      <c r="M644" s="1"/>
      <c r="N644" s="1"/>
    </row>
    <row r="645" spans="2:14" ht="15" customHeight="1" x14ac:dyDescent="0.25">
      <c r="B645" s="1"/>
      <c r="C645" s="1"/>
      <c r="D645" s="1"/>
      <c r="E645" s="1"/>
      <c r="F645" s="1"/>
      <c r="G645" s="1"/>
      <c r="H645" s="1"/>
      <c r="L645" s="1"/>
      <c r="M645" s="1"/>
      <c r="N645" s="1"/>
    </row>
    <row r="646" spans="2:14" ht="15" customHeight="1" x14ac:dyDescent="0.25">
      <c r="B646" s="1"/>
      <c r="C646" s="1"/>
      <c r="D646" s="1"/>
      <c r="E646" s="1"/>
      <c r="F646" s="1"/>
      <c r="G646" s="1"/>
      <c r="H646" s="1"/>
      <c r="L646" s="1"/>
      <c r="M646" s="1"/>
      <c r="N646" s="1"/>
    </row>
    <row r="647" spans="2:14" x14ac:dyDescent="0.25">
      <c r="B647" s="1"/>
      <c r="C647" s="1"/>
      <c r="D647" s="1"/>
      <c r="E647" s="1"/>
      <c r="F647" s="1"/>
      <c r="G647" s="1"/>
      <c r="H647" s="1"/>
      <c r="L647" s="1"/>
      <c r="M647" s="1"/>
      <c r="N647" s="1"/>
    </row>
    <row r="648" spans="2:14" ht="15" customHeight="1" x14ac:dyDescent="0.25">
      <c r="B648" s="1"/>
      <c r="C648" s="1"/>
      <c r="D648" s="1"/>
      <c r="E648" s="1"/>
      <c r="F648" s="1"/>
      <c r="G648" s="1"/>
      <c r="H648" s="1"/>
      <c r="L648" s="1"/>
      <c r="M648" s="1"/>
      <c r="N648" s="1"/>
    </row>
    <row r="649" spans="2:14" x14ac:dyDescent="0.25">
      <c r="B649" s="1"/>
      <c r="C649" s="1"/>
      <c r="D649" s="1"/>
      <c r="E649" s="1"/>
      <c r="F649" s="1"/>
      <c r="G649" s="1"/>
      <c r="H649" s="1"/>
      <c r="L649" s="1"/>
      <c r="M649" s="1"/>
      <c r="N649" s="1"/>
    </row>
    <row r="650" spans="2:14" ht="15" customHeight="1" x14ac:dyDescent="0.25">
      <c r="B650" s="1"/>
      <c r="C650" s="1"/>
      <c r="D650" s="1"/>
      <c r="E650" s="1"/>
      <c r="F650" s="1"/>
      <c r="G650" s="1"/>
      <c r="H650" s="1"/>
      <c r="L650" s="1"/>
      <c r="M650" s="1"/>
      <c r="N650" s="1"/>
    </row>
    <row r="651" spans="2:14" ht="15" customHeight="1" x14ac:dyDescent="0.25">
      <c r="B651" s="1"/>
      <c r="C651" s="1"/>
      <c r="D651" s="1"/>
      <c r="E651" s="1"/>
      <c r="F651" s="1"/>
      <c r="G651" s="1"/>
      <c r="H651" s="1"/>
      <c r="L651" s="1"/>
      <c r="M651" s="1"/>
      <c r="N651" s="1"/>
    </row>
    <row r="652" spans="2:14" ht="15" customHeight="1" x14ac:dyDescent="0.25">
      <c r="B652" s="1"/>
      <c r="C652" s="1"/>
      <c r="D652" s="1"/>
      <c r="E652" s="1"/>
      <c r="F652" s="1"/>
      <c r="G652" s="1"/>
      <c r="H652" s="1"/>
      <c r="L652" s="1"/>
      <c r="M652" s="1"/>
      <c r="N652" s="1"/>
    </row>
    <row r="653" spans="2:14" s="45" customFormat="1" ht="22.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ht="15" customHeight="1" x14ac:dyDescent="0.25">
      <c r="B654" s="1"/>
      <c r="C654" s="1"/>
      <c r="D654" s="1"/>
      <c r="E654" s="1"/>
      <c r="F654" s="1"/>
      <c r="G654" s="1"/>
      <c r="H654" s="1"/>
      <c r="L654" s="1"/>
      <c r="M654" s="1"/>
      <c r="N654" s="1"/>
    </row>
    <row r="655" spans="2:14" ht="22.5" customHeight="1" x14ac:dyDescent="0.25">
      <c r="B655" s="1"/>
      <c r="C655" s="1"/>
      <c r="D655" s="1"/>
      <c r="E655" s="1"/>
      <c r="F655" s="1"/>
      <c r="G655" s="1"/>
      <c r="H655" s="1"/>
      <c r="L655" s="1"/>
      <c r="M655" s="1"/>
      <c r="N655" s="1"/>
    </row>
    <row r="656" spans="2:14" ht="15" customHeight="1" x14ac:dyDescent="0.25">
      <c r="B656" s="1"/>
      <c r="C656" s="1"/>
      <c r="D656" s="1"/>
      <c r="E656" s="1"/>
      <c r="F656" s="1"/>
      <c r="G656" s="1"/>
      <c r="H656" s="1"/>
      <c r="L656" s="1"/>
      <c r="M656" s="1"/>
      <c r="N656" s="1"/>
    </row>
    <row r="657" s="1" customFormat="1" ht="15" customHeight="1" x14ac:dyDescent="0.25"/>
    <row r="658" s="1" customFormat="1" ht="22.5" customHeight="1" x14ac:dyDescent="0.25"/>
    <row r="659" s="1" customFormat="1" ht="15" customHeight="1" x14ac:dyDescent="0.25"/>
    <row r="660" s="1" customFormat="1" x14ac:dyDescent="0.25"/>
    <row r="661" s="1" customFormat="1" ht="24" customHeight="1" x14ac:dyDescent="0.25"/>
    <row r="662" s="1" customFormat="1" ht="15" customHeight="1" x14ac:dyDescent="0.25"/>
    <row r="663" s="1" customFormat="1" ht="15" customHeight="1" x14ac:dyDescent="0.25"/>
    <row r="664" s="1" customFormat="1" ht="15" customHeight="1" x14ac:dyDescent="0.25"/>
    <row r="665" s="1" customFormat="1" ht="15" customHeight="1" x14ac:dyDescent="0.25"/>
    <row r="666" s="1" customFormat="1" ht="15" customHeight="1" x14ac:dyDescent="0.25"/>
    <row r="667" s="1" customFormat="1" ht="15" customHeight="1" x14ac:dyDescent="0.25"/>
    <row r="668" s="1" customFormat="1" x14ac:dyDescent="0.25"/>
    <row r="669" s="1" customFormat="1" ht="15" customHeight="1" x14ac:dyDescent="0.25"/>
    <row r="670" s="1" customFormat="1" ht="15" customHeight="1" x14ac:dyDescent="0.25"/>
    <row r="671" s="1" customFormat="1" ht="22.5" customHeight="1" x14ac:dyDescent="0.25"/>
    <row r="672" s="1" customFormat="1" ht="15" customHeight="1" x14ac:dyDescent="0.25"/>
    <row r="673" spans="2:14" ht="15" customHeight="1" x14ac:dyDescent="0.25">
      <c r="B673" s="1"/>
      <c r="C673" s="1"/>
      <c r="D673" s="1"/>
      <c r="E673" s="1"/>
      <c r="F673" s="1"/>
      <c r="G673" s="1"/>
      <c r="H673" s="1"/>
      <c r="L673" s="1"/>
      <c r="M673" s="1"/>
      <c r="N673" s="1"/>
    </row>
    <row r="674" spans="2:14" ht="15" customHeight="1" x14ac:dyDescent="0.25">
      <c r="B674" s="1"/>
      <c r="C674" s="1"/>
      <c r="D674" s="1"/>
      <c r="E674" s="1"/>
      <c r="F674" s="1"/>
      <c r="G674" s="1"/>
      <c r="H674" s="1"/>
      <c r="L674" s="1"/>
      <c r="M674" s="1"/>
      <c r="N674" s="1"/>
    </row>
    <row r="675" spans="2:14" ht="15" customHeight="1" x14ac:dyDescent="0.25">
      <c r="B675" s="1"/>
      <c r="C675" s="1"/>
      <c r="D675" s="1"/>
      <c r="E675" s="1"/>
      <c r="F675" s="1"/>
      <c r="G675" s="1"/>
      <c r="H675" s="1"/>
      <c r="L675" s="1"/>
      <c r="M675" s="1"/>
      <c r="N675" s="1"/>
    </row>
    <row r="676" spans="2:14" ht="22.5" customHeight="1" x14ac:dyDescent="0.25">
      <c r="B676" s="1"/>
      <c r="C676" s="1"/>
      <c r="D676" s="1"/>
      <c r="E676" s="1"/>
      <c r="F676" s="1"/>
      <c r="G676" s="1"/>
      <c r="H676" s="1"/>
      <c r="L676" s="1"/>
      <c r="M676" s="1"/>
      <c r="N676" s="1"/>
    </row>
    <row r="677" spans="2:14" ht="15" customHeight="1" x14ac:dyDescent="0.25">
      <c r="B677" s="1"/>
      <c r="C677" s="1"/>
      <c r="D677" s="1"/>
      <c r="E677" s="1"/>
      <c r="F677" s="1"/>
      <c r="G677" s="1"/>
      <c r="H677" s="1"/>
      <c r="L677" s="1"/>
      <c r="M677" s="1"/>
      <c r="N677" s="1"/>
    </row>
    <row r="678" spans="2:14" ht="15" customHeight="1" x14ac:dyDescent="0.25">
      <c r="B678" s="1"/>
      <c r="C678" s="1"/>
      <c r="D678" s="1"/>
      <c r="E678" s="1"/>
      <c r="F678" s="1"/>
      <c r="G678" s="1"/>
      <c r="H678" s="1"/>
      <c r="L678" s="1"/>
      <c r="M678" s="1"/>
      <c r="N678" s="1"/>
    </row>
    <row r="679" spans="2:14" ht="15" customHeight="1" x14ac:dyDescent="0.25">
      <c r="B679" s="1"/>
      <c r="C679" s="1"/>
      <c r="D679" s="1"/>
      <c r="E679" s="1"/>
      <c r="F679" s="1"/>
      <c r="G679" s="1"/>
      <c r="H679" s="1"/>
      <c r="L679" s="1"/>
      <c r="M679" s="1"/>
      <c r="N679" s="1"/>
    </row>
    <row r="680" spans="2:14" ht="15" customHeight="1" x14ac:dyDescent="0.25">
      <c r="B680" s="1"/>
      <c r="C680" s="1"/>
      <c r="D680" s="1"/>
      <c r="E680" s="1"/>
      <c r="F680" s="1"/>
      <c r="G680" s="1"/>
      <c r="H680" s="1"/>
      <c r="L680" s="1"/>
      <c r="M680" s="1"/>
      <c r="N680" s="1"/>
    </row>
    <row r="681" spans="2:14" ht="15" customHeight="1" x14ac:dyDescent="0.25">
      <c r="B681" s="1"/>
      <c r="C681" s="1"/>
      <c r="D681" s="1"/>
      <c r="E681" s="1"/>
      <c r="F681" s="1"/>
      <c r="G681" s="1"/>
      <c r="H681" s="1"/>
      <c r="L681" s="1"/>
      <c r="M681" s="1"/>
      <c r="N681" s="1"/>
    </row>
    <row r="682" spans="2:14" ht="15" customHeight="1" x14ac:dyDescent="0.25">
      <c r="B682" s="1"/>
      <c r="C682" s="1"/>
      <c r="D682" s="1"/>
      <c r="E682" s="1"/>
      <c r="F682" s="1"/>
      <c r="G682" s="1"/>
      <c r="H682" s="1"/>
      <c r="L682" s="1"/>
      <c r="M682" s="1"/>
      <c r="N682" s="1"/>
    </row>
    <row r="683" spans="2:14" ht="15" customHeight="1" x14ac:dyDescent="0.25">
      <c r="B683" s="1"/>
      <c r="C683" s="1"/>
      <c r="D683" s="1"/>
      <c r="E683" s="1"/>
      <c r="F683" s="1"/>
      <c r="G683" s="1"/>
      <c r="H683" s="1"/>
      <c r="L683" s="1"/>
      <c r="M683" s="1"/>
      <c r="N683" s="1"/>
    </row>
    <row r="684" spans="2:14" ht="15" customHeight="1" x14ac:dyDescent="0.25">
      <c r="B684" s="1"/>
      <c r="C684" s="1"/>
      <c r="D684" s="1"/>
      <c r="E684" s="1"/>
      <c r="F684" s="1"/>
      <c r="G684" s="1"/>
      <c r="H684" s="1"/>
      <c r="L684" s="1"/>
      <c r="M684" s="1"/>
      <c r="N684" s="1"/>
    </row>
    <row r="685" spans="2:14" ht="24" customHeight="1" x14ac:dyDescent="0.25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</row>
    <row r="686" spans="2:14" ht="15" customHeight="1" x14ac:dyDescent="0.25">
      <c r="B686" s="1"/>
      <c r="C686" s="1"/>
      <c r="D686" s="1"/>
      <c r="E686" s="1"/>
      <c r="F686" s="1"/>
      <c r="G686" s="1"/>
      <c r="H686" s="1"/>
      <c r="L686" s="1"/>
      <c r="M686" s="1"/>
      <c r="N686" s="1"/>
    </row>
    <row r="687" spans="2:14" ht="15" customHeight="1" x14ac:dyDescent="0.25">
      <c r="B687" s="1"/>
      <c r="C687" s="1"/>
      <c r="D687" s="1"/>
      <c r="E687" s="1"/>
      <c r="F687" s="1"/>
      <c r="G687" s="1"/>
      <c r="H687" s="1"/>
      <c r="L687" s="1"/>
      <c r="M687" s="1"/>
      <c r="N687" s="1"/>
    </row>
    <row r="688" spans="2:14" ht="15" customHeight="1" x14ac:dyDescent="0.25">
      <c r="B688" s="1"/>
      <c r="C688" s="1"/>
      <c r="D688" s="1"/>
      <c r="E688" s="1"/>
      <c r="F688" s="1"/>
      <c r="G688" s="1"/>
      <c r="H688" s="1"/>
      <c r="L688" s="1"/>
      <c r="M688" s="1"/>
      <c r="N688" s="1"/>
    </row>
    <row r="689" spans="2:14" ht="15" customHeight="1" x14ac:dyDescent="0.25">
      <c r="B689" s="1"/>
      <c r="C689" s="1"/>
      <c r="D689" s="1"/>
      <c r="E689" s="1"/>
      <c r="F689" s="1"/>
      <c r="G689" s="1"/>
      <c r="H689" s="1"/>
      <c r="L689" s="1"/>
      <c r="M689" s="1"/>
      <c r="N689" s="1"/>
    </row>
    <row r="690" spans="2:14" ht="15" customHeight="1" x14ac:dyDescent="0.25">
      <c r="B690" s="1"/>
      <c r="C690" s="1"/>
      <c r="D690" s="1"/>
      <c r="E690" s="1"/>
      <c r="F690" s="1"/>
      <c r="G690" s="1"/>
      <c r="H690" s="1"/>
      <c r="L690" s="1"/>
      <c r="M690" s="1"/>
      <c r="N690" s="1"/>
    </row>
    <row r="691" spans="2:14" s="45" customFormat="1" ht="1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ht="15" customHeight="1" x14ac:dyDescent="0.25">
      <c r="B692" s="1"/>
      <c r="C692" s="1"/>
      <c r="D692" s="1"/>
      <c r="E692" s="1"/>
      <c r="F692" s="1"/>
      <c r="G692" s="1"/>
      <c r="H692" s="1"/>
      <c r="L692" s="1"/>
      <c r="M692" s="1"/>
      <c r="N692" s="1"/>
    </row>
    <row r="693" spans="2:14" ht="15" customHeight="1" x14ac:dyDescent="0.25">
      <c r="B693" s="1"/>
      <c r="C693" s="1"/>
      <c r="D693" s="1"/>
      <c r="E693" s="1"/>
      <c r="F693" s="1"/>
      <c r="G693" s="1"/>
      <c r="H693" s="1"/>
      <c r="L693" s="1"/>
      <c r="M693" s="1"/>
      <c r="N693" s="1"/>
    </row>
    <row r="694" spans="2:14" ht="15" customHeight="1" x14ac:dyDescent="0.25">
      <c r="B694" s="1"/>
      <c r="C694" s="1"/>
      <c r="D694" s="1"/>
      <c r="E694" s="1"/>
      <c r="F694" s="1"/>
      <c r="G694" s="1"/>
      <c r="H694" s="1"/>
      <c r="L694" s="1"/>
      <c r="M694" s="1"/>
      <c r="N694" s="1"/>
    </row>
    <row r="695" spans="2:14" ht="15" customHeight="1" x14ac:dyDescent="0.25">
      <c r="B695" s="1"/>
      <c r="C695" s="1"/>
      <c r="D695" s="1"/>
      <c r="E695" s="1"/>
      <c r="F695" s="1"/>
      <c r="G695" s="1"/>
      <c r="H695" s="1"/>
      <c r="L695" s="1"/>
      <c r="M695" s="1"/>
      <c r="N695" s="1"/>
    </row>
    <row r="696" spans="2:14" ht="15" customHeight="1" x14ac:dyDescent="0.25">
      <c r="B696" s="1"/>
      <c r="C696" s="1"/>
      <c r="D696" s="1"/>
      <c r="E696" s="1"/>
      <c r="F696" s="1"/>
      <c r="G696" s="1"/>
      <c r="H696" s="1"/>
      <c r="L696" s="1"/>
      <c r="M696" s="1"/>
      <c r="N696" s="1"/>
    </row>
    <row r="697" spans="2:14" ht="15" customHeight="1" x14ac:dyDescent="0.25">
      <c r="B697" s="1"/>
      <c r="C697" s="1"/>
      <c r="D697" s="1"/>
      <c r="E697" s="1"/>
      <c r="F697" s="1"/>
      <c r="G697" s="1"/>
      <c r="H697" s="1"/>
      <c r="L697" s="1"/>
      <c r="M697" s="1"/>
      <c r="N697" s="1"/>
    </row>
    <row r="698" spans="2:14" s="45" customFormat="1" ht="1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ht="15" customHeight="1" x14ac:dyDescent="0.25">
      <c r="B699" s="1"/>
      <c r="C699" s="1"/>
      <c r="D699" s="1"/>
      <c r="E699" s="1"/>
      <c r="F699" s="1"/>
      <c r="G699" s="1"/>
      <c r="H699" s="1"/>
      <c r="L699" s="1"/>
      <c r="M699" s="1"/>
      <c r="N699" s="1"/>
    </row>
    <row r="700" spans="2:14" ht="15" customHeight="1" x14ac:dyDescent="0.25">
      <c r="B700" s="1"/>
      <c r="C700" s="1"/>
      <c r="D700" s="1"/>
      <c r="E700" s="1"/>
      <c r="F700" s="1"/>
      <c r="G700" s="1"/>
      <c r="H700" s="1"/>
      <c r="L700" s="1"/>
      <c r="M700" s="1"/>
      <c r="N700" s="1"/>
    </row>
    <row r="701" spans="2:14" s="45" customFormat="1" ht="1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ht="15" customHeight="1" x14ac:dyDescent="0.25">
      <c r="B702" s="1"/>
      <c r="C702" s="1"/>
      <c r="D702" s="1"/>
      <c r="E702" s="1"/>
      <c r="F702" s="1"/>
      <c r="G702" s="1"/>
      <c r="H702" s="1"/>
      <c r="L702" s="1"/>
      <c r="M702" s="1"/>
      <c r="N702" s="1"/>
    </row>
    <row r="703" spans="2:14" ht="15" customHeight="1" x14ac:dyDescent="0.25">
      <c r="B703" s="1"/>
      <c r="C703" s="1"/>
      <c r="D703" s="1"/>
      <c r="E703" s="1"/>
      <c r="F703" s="1"/>
      <c r="G703" s="1"/>
      <c r="H703" s="1"/>
      <c r="L703" s="1"/>
      <c r="M703" s="1"/>
      <c r="N703" s="1"/>
    </row>
    <row r="704" spans="2:14" ht="15" customHeight="1" x14ac:dyDescent="0.25">
      <c r="B704" s="1"/>
      <c r="C704" s="1"/>
      <c r="D704" s="1"/>
      <c r="E704" s="1"/>
      <c r="F704" s="1"/>
      <c r="G704" s="1"/>
      <c r="H704" s="1"/>
      <c r="L704" s="1"/>
      <c r="M704" s="1"/>
      <c r="N704" s="1"/>
    </row>
    <row r="705" s="1" customFormat="1" ht="15" customHeight="1" x14ac:dyDescent="0.25"/>
    <row r="706" s="1" customFormat="1" ht="15" customHeight="1" x14ac:dyDescent="0.25"/>
    <row r="707" s="1" customFormat="1" ht="15" customHeight="1" x14ac:dyDescent="0.25"/>
    <row r="708" s="1" customFormat="1" ht="15" customHeight="1" x14ac:dyDescent="0.25"/>
    <row r="709" s="1" customFormat="1" ht="15" customHeight="1" x14ac:dyDescent="0.25"/>
    <row r="710" s="1" customFormat="1" ht="15" customHeight="1" x14ac:dyDescent="0.25"/>
    <row r="711" s="1" customFormat="1" ht="15" customHeight="1" x14ac:dyDescent="0.25"/>
    <row r="712" s="1" customFormat="1" ht="15" customHeight="1" x14ac:dyDescent="0.25"/>
    <row r="713" s="1" customFormat="1" ht="15" customHeight="1" x14ac:dyDescent="0.25"/>
    <row r="714" s="1" customFormat="1" ht="15" customHeight="1" x14ac:dyDescent="0.25"/>
    <row r="715" s="1" customFormat="1" ht="22.5" customHeight="1" x14ac:dyDescent="0.25"/>
    <row r="716" s="1" customFormat="1" ht="15" customHeight="1" x14ac:dyDescent="0.25"/>
    <row r="717" s="1" customFormat="1" ht="15" customHeight="1" x14ac:dyDescent="0.25"/>
    <row r="718" s="1" customFormat="1" ht="15" customHeight="1" x14ac:dyDescent="0.25"/>
    <row r="719" s="1" customFormat="1" ht="15" customHeight="1" x14ac:dyDescent="0.25"/>
    <row r="720" s="1" customFormat="1" ht="15" customHeight="1" x14ac:dyDescent="0.25"/>
    <row r="721" spans="2:14" ht="15" customHeight="1" x14ac:dyDescent="0.25">
      <c r="B721" s="1"/>
      <c r="C721" s="1"/>
      <c r="D721" s="1"/>
      <c r="E721" s="1"/>
      <c r="F721" s="1"/>
      <c r="G721" s="1"/>
      <c r="H721" s="1"/>
      <c r="L721" s="1"/>
      <c r="M721" s="1"/>
      <c r="N721" s="1"/>
    </row>
    <row r="722" spans="2:14" ht="15" customHeight="1" x14ac:dyDescent="0.25">
      <c r="B722" s="1"/>
      <c r="C722" s="1"/>
      <c r="D722" s="1"/>
      <c r="E722" s="1"/>
      <c r="F722" s="1"/>
      <c r="G722" s="1"/>
      <c r="H722" s="1"/>
      <c r="L722" s="1"/>
      <c r="M722" s="1"/>
      <c r="N722" s="1"/>
    </row>
    <row r="723" spans="2:14" ht="24" customHeight="1" x14ac:dyDescent="0.25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</row>
    <row r="724" spans="2:14" ht="15" customHeight="1" x14ac:dyDescent="0.25">
      <c r="B724" s="1"/>
      <c r="C724" s="1"/>
      <c r="D724" s="1"/>
      <c r="E724" s="1"/>
      <c r="F724" s="1"/>
      <c r="G724" s="1"/>
      <c r="H724" s="1"/>
      <c r="L724" s="1"/>
      <c r="M724" s="1"/>
      <c r="N724" s="1"/>
    </row>
    <row r="725" spans="2:14" ht="15" customHeight="1" x14ac:dyDescent="0.25">
      <c r="B725" s="1"/>
      <c r="C725" s="1"/>
      <c r="D725" s="1"/>
      <c r="E725" s="1"/>
      <c r="F725" s="1"/>
      <c r="G725" s="1"/>
      <c r="H725" s="1"/>
      <c r="L725" s="1"/>
      <c r="M725" s="1"/>
      <c r="N725" s="1"/>
    </row>
    <row r="726" spans="2:14" ht="15" customHeight="1" x14ac:dyDescent="0.25">
      <c r="B726" s="1"/>
      <c r="C726" s="1"/>
      <c r="D726" s="1"/>
      <c r="E726" s="1"/>
      <c r="F726" s="1"/>
      <c r="G726" s="1"/>
      <c r="H726" s="1"/>
      <c r="L726" s="1"/>
      <c r="M726" s="1"/>
      <c r="N726" s="1"/>
    </row>
    <row r="727" spans="2:14" ht="15" customHeight="1" x14ac:dyDescent="0.25">
      <c r="B727" s="1"/>
      <c r="C727" s="1"/>
      <c r="D727" s="1"/>
      <c r="E727" s="1"/>
      <c r="F727" s="1"/>
      <c r="G727" s="1"/>
      <c r="H727" s="1"/>
      <c r="L727" s="1"/>
      <c r="M727" s="1"/>
      <c r="N727" s="1"/>
    </row>
    <row r="728" spans="2:14" ht="15" customHeight="1" x14ac:dyDescent="0.25">
      <c r="B728" s="1"/>
      <c r="C728" s="1"/>
      <c r="D728" s="1"/>
      <c r="E728" s="1"/>
      <c r="F728" s="1"/>
      <c r="G728" s="1"/>
      <c r="H728" s="1"/>
      <c r="L728" s="1"/>
      <c r="M728" s="1"/>
      <c r="N728" s="1"/>
    </row>
    <row r="729" spans="2:14" ht="15" customHeight="1" x14ac:dyDescent="0.25">
      <c r="B729" s="1"/>
      <c r="C729" s="1"/>
      <c r="D729" s="1"/>
      <c r="E729" s="1"/>
      <c r="F729" s="1"/>
      <c r="G729" s="1"/>
      <c r="H729" s="1"/>
      <c r="L729" s="1"/>
      <c r="M729" s="1"/>
      <c r="N729" s="1"/>
    </row>
    <row r="730" spans="2:14" ht="15" customHeight="1" x14ac:dyDescent="0.25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</row>
    <row r="731" spans="2:14" ht="15" customHeight="1" x14ac:dyDescent="0.25">
      <c r="B731" s="1"/>
      <c r="C731" s="1"/>
      <c r="D731" s="1"/>
      <c r="E731" s="1"/>
      <c r="F731" s="1"/>
      <c r="G731" s="1"/>
      <c r="H731" s="1"/>
      <c r="L731" s="1"/>
      <c r="M731" s="1"/>
      <c r="N731" s="1"/>
    </row>
    <row r="732" spans="2:14" ht="15" customHeight="1" x14ac:dyDescent="0.25">
      <c r="B732" s="1"/>
      <c r="C732" s="1"/>
      <c r="D732" s="1"/>
      <c r="E732" s="1"/>
      <c r="F732" s="1"/>
      <c r="G732" s="1"/>
      <c r="H732" s="1"/>
      <c r="L732" s="1"/>
      <c r="M732" s="1"/>
      <c r="N732" s="1"/>
    </row>
    <row r="733" spans="2:14" ht="15" customHeight="1" x14ac:dyDescent="0.25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</row>
    <row r="734" spans="2:14" ht="22.5" customHeight="1" x14ac:dyDescent="0.25">
      <c r="B734" s="1"/>
      <c r="C734" s="1"/>
      <c r="D734" s="1"/>
      <c r="E734" s="1"/>
      <c r="F734" s="1"/>
      <c r="G734" s="1"/>
      <c r="H734" s="1"/>
      <c r="L734" s="1"/>
      <c r="M734" s="1"/>
      <c r="N734" s="1"/>
    </row>
    <row r="735" spans="2:14" ht="15" customHeight="1" x14ac:dyDescent="0.25">
      <c r="B735" s="1"/>
      <c r="C735" s="1"/>
      <c r="D735" s="1"/>
      <c r="E735" s="1"/>
      <c r="F735" s="1"/>
      <c r="G735" s="1"/>
      <c r="H735" s="1"/>
      <c r="L735" s="1"/>
      <c r="M735" s="1"/>
      <c r="N735" s="1"/>
    </row>
    <row r="736" spans="2:14" ht="24" customHeight="1" x14ac:dyDescent="0.25">
      <c r="B736" s="1"/>
      <c r="C736" s="1"/>
      <c r="D736" s="1"/>
      <c r="E736" s="1"/>
      <c r="F736" s="1"/>
      <c r="G736" s="1"/>
      <c r="H736" s="1"/>
      <c r="L736" s="1"/>
      <c r="M736" s="1"/>
      <c r="N736" s="1"/>
    </row>
    <row r="737" s="1" customFormat="1" ht="15" customHeight="1" x14ac:dyDescent="0.25"/>
    <row r="738" s="1" customFormat="1" ht="15" customHeight="1" x14ac:dyDescent="0.25"/>
    <row r="739" s="1" customFormat="1" ht="15" customHeight="1" x14ac:dyDescent="0.25"/>
    <row r="740" s="1" customFormat="1" ht="15" customHeight="1" x14ac:dyDescent="0.25"/>
    <row r="741" s="1" customFormat="1" ht="15" customHeight="1" x14ac:dyDescent="0.25"/>
    <row r="742" s="1" customFormat="1" ht="15" customHeight="1" x14ac:dyDescent="0.25"/>
    <row r="743" s="1" customFormat="1" ht="15" customHeight="1" x14ac:dyDescent="0.25"/>
    <row r="744" s="1" customFormat="1" ht="15" customHeight="1" x14ac:dyDescent="0.25"/>
    <row r="745" s="1" customFormat="1" ht="15" customHeight="1" x14ac:dyDescent="0.25"/>
    <row r="746" s="1" customFormat="1" ht="15" customHeight="1" x14ac:dyDescent="0.25"/>
    <row r="747" s="1" customFormat="1" x14ac:dyDescent="0.25"/>
    <row r="748" s="1" customFormat="1" ht="15" customHeight="1" x14ac:dyDescent="0.25"/>
    <row r="749" s="1" customFormat="1" ht="15" customHeight="1" x14ac:dyDescent="0.25"/>
    <row r="750" s="1" customFormat="1" x14ac:dyDescent="0.25"/>
    <row r="751" s="1" customFormat="1" ht="15" customHeight="1" x14ac:dyDescent="0.25"/>
    <row r="752" s="1" customFormat="1" ht="15" customHeight="1" x14ac:dyDescent="0.25"/>
    <row r="753" s="1" customFormat="1" ht="15" customHeight="1" x14ac:dyDescent="0.25"/>
    <row r="754" s="1" customFormat="1" ht="15" customHeight="1" x14ac:dyDescent="0.25"/>
    <row r="755" s="1" customFormat="1" ht="15" customHeight="1" x14ac:dyDescent="0.25"/>
    <row r="756" s="1" customFormat="1" ht="22.5" customHeight="1" x14ac:dyDescent="0.25"/>
    <row r="757" s="1" customFormat="1" ht="15" customHeight="1" x14ac:dyDescent="0.25"/>
    <row r="758" s="1" customFormat="1" ht="15" customHeight="1" x14ac:dyDescent="0.25"/>
    <row r="759" s="1" customFormat="1" ht="15" customHeight="1" x14ac:dyDescent="0.25"/>
    <row r="760" s="1" customFormat="1" x14ac:dyDescent="0.25"/>
    <row r="761" s="1" customFormat="1" ht="15" customHeight="1" x14ac:dyDescent="0.25"/>
    <row r="762" s="1" customFormat="1" ht="15" customHeight="1" x14ac:dyDescent="0.25"/>
    <row r="763" s="1" customFormat="1" ht="15" customHeight="1" x14ac:dyDescent="0.25"/>
    <row r="764" s="1" customFormat="1" ht="15" customHeight="1" x14ac:dyDescent="0.25"/>
    <row r="765" s="1" customFormat="1" ht="15" customHeight="1" x14ac:dyDescent="0.25"/>
    <row r="766" s="1" customFormat="1" ht="15" customHeight="1" x14ac:dyDescent="0.25"/>
    <row r="767" s="1" customFormat="1" x14ac:dyDescent="0.25"/>
    <row r="768" s="1" customFormat="1" ht="15" customHeight="1" x14ac:dyDescent="0.25"/>
    <row r="769" s="1" customFormat="1" ht="15" customHeight="1" x14ac:dyDescent="0.25"/>
    <row r="770" s="1" customFormat="1" ht="15" customHeight="1" x14ac:dyDescent="0.25"/>
    <row r="771" s="1" customFormat="1" ht="15" customHeight="1" x14ac:dyDescent="0.25"/>
    <row r="772" s="1" customFormat="1" ht="24" customHeight="1" x14ac:dyDescent="0.25"/>
    <row r="773" s="1" customFormat="1" ht="15" customHeight="1" x14ac:dyDescent="0.25"/>
    <row r="774" s="1" customFormat="1" ht="15" customHeight="1" x14ac:dyDescent="0.25"/>
    <row r="775" s="1" customFormat="1" ht="15" customHeight="1" x14ac:dyDescent="0.25"/>
    <row r="776" s="1" customFormat="1" ht="15" customHeight="1" x14ac:dyDescent="0.25"/>
    <row r="777" s="1" customFormat="1" ht="15" customHeight="1" x14ac:dyDescent="0.25"/>
    <row r="778" s="1" customFormat="1" ht="15" customHeight="1" x14ac:dyDescent="0.25"/>
    <row r="779" s="1" customFormat="1" ht="15" customHeight="1" x14ac:dyDescent="0.25"/>
    <row r="780" s="1" customFormat="1" ht="15" customHeight="1" x14ac:dyDescent="0.25"/>
    <row r="781" s="1" customFormat="1" ht="15" customHeight="1" x14ac:dyDescent="0.25"/>
    <row r="782" s="1" customFormat="1" ht="15" customHeight="1" x14ac:dyDescent="0.25"/>
    <row r="783" s="1" customFormat="1" ht="15" customHeight="1" x14ac:dyDescent="0.25"/>
    <row r="784" s="1" customFormat="1" ht="15" customHeight="1" x14ac:dyDescent="0.25"/>
    <row r="785" spans="2:14" ht="15" customHeight="1" x14ac:dyDescent="0.25">
      <c r="B785" s="1"/>
      <c r="C785" s="1"/>
      <c r="D785" s="1"/>
      <c r="E785" s="1"/>
      <c r="F785" s="1"/>
      <c r="G785" s="1"/>
      <c r="H785" s="1"/>
      <c r="L785" s="1"/>
      <c r="M785" s="1"/>
      <c r="N785" s="1"/>
    </row>
    <row r="786" spans="2:14" ht="15" customHeight="1" x14ac:dyDescent="0.25">
      <c r="B786" s="1"/>
      <c r="C786" s="1"/>
      <c r="D786" s="1"/>
      <c r="E786" s="1"/>
      <c r="F786" s="1"/>
      <c r="G786" s="1"/>
      <c r="H786" s="1"/>
      <c r="L786" s="1"/>
      <c r="M786" s="1"/>
      <c r="N786" s="1"/>
    </row>
    <row r="787" spans="2:14" ht="15" customHeight="1" x14ac:dyDescent="0.25">
      <c r="B787" s="1"/>
      <c r="C787" s="1"/>
      <c r="D787" s="1"/>
      <c r="E787" s="1"/>
      <c r="F787" s="1"/>
      <c r="G787" s="1"/>
      <c r="H787" s="1"/>
      <c r="L787" s="1"/>
      <c r="M787" s="1"/>
      <c r="N787" s="1"/>
    </row>
    <row r="788" spans="2:14" s="45" customFormat="1" ht="1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ht="15" customHeight="1" x14ac:dyDescent="0.25">
      <c r="B789" s="1"/>
      <c r="C789" s="1"/>
      <c r="D789" s="1"/>
      <c r="E789" s="1"/>
      <c r="F789" s="1"/>
      <c r="G789" s="1"/>
      <c r="H789" s="1"/>
      <c r="L789" s="1"/>
      <c r="M789" s="1"/>
      <c r="N789" s="1"/>
    </row>
    <row r="790" spans="2:14" ht="15" customHeight="1" x14ac:dyDescent="0.25">
      <c r="B790" s="1"/>
      <c r="C790" s="1"/>
      <c r="D790" s="1"/>
      <c r="E790" s="1"/>
      <c r="F790" s="1"/>
      <c r="G790" s="1"/>
      <c r="H790" s="1"/>
      <c r="L790" s="1"/>
      <c r="M790" s="1"/>
      <c r="N790" s="1"/>
    </row>
    <row r="791" spans="2:14" ht="15" customHeight="1" x14ac:dyDescent="0.25">
      <c r="B791" s="1"/>
      <c r="C791" s="1"/>
      <c r="D791" s="1"/>
      <c r="E791" s="1"/>
      <c r="F791" s="1"/>
      <c r="G791" s="1"/>
      <c r="H791" s="1"/>
      <c r="L791" s="1"/>
      <c r="M791" s="1"/>
      <c r="N791" s="1"/>
    </row>
    <row r="792" spans="2:14" ht="15" customHeight="1" x14ac:dyDescent="0.25">
      <c r="B792" s="1"/>
      <c r="C792" s="1"/>
      <c r="D792" s="1"/>
      <c r="E792" s="1"/>
      <c r="F792" s="1"/>
      <c r="G792" s="1"/>
      <c r="H792" s="1"/>
      <c r="L792" s="1"/>
      <c r="M792" s="1"/>
      <c r="N792" s="1"/>
    </row>
    <row r="793" spans="2:14" ht="24" customHeight="1" x14ac:dyDescent="0.25">
      <c r="B793" s="1"/>
      <c r="C793" s="1"/>
      <c r="D793" s="1"/>
      <c r="E793" s="1"/>
      <c r="F793" s="1"/>
      <c r="G793" s="1"/>
      <c r="H793" s="1"/>
      <c r="L793" s="1"/>
      <c r="M793" s="1"/>
      <c r="N793" s="1"/>
    </row>
    <row r="794" spans="2:14" ht="22.5" customHeight="1" x14ac:dyDescent="0.25">
      <c r="B794" s="1"/>
      <c r="C794" s="1"/>
      <c r="D794" s="1"/>
      <c r="E794" s="1"/>
      <c r="F794" s="1"/>
      <c r="G794" s="1"/>
      <c r="H794" s="1"/>
      <c r="L794" s="1"/>
      <c r="M794" s="1"/>
      <c r="N794" s="1"/>
    </row>
    <row r="795" spans="2:14" ht="15" customHeight="1" x14ac:dyDescent="0.25">
      <c r="B795" s="1"/>
      <c r="C795" s="1"/>
      <c r="D795" s="1"/>
      <c r="E795" s="1"/>
      <c r="F795" s="1"/>
      <c r="G795" s="1"/>
      <c r="H795" s="1"/>
      <c r="L795" s="1"/>
      <c r="M795" s="1"/>
      <c r="N795" s="1"/>
    </row>
    <row r="796" spans="2:14" ht="15" customHeight="1" x14ac:dyDescent="0.25">
      <c r="B796" s="1"/>
      <c r="C796" s="1"/>
      <c r="D796" s="1"/>
      <c r="E796" s="1"/>
      <c r="F796" s="1"/>
      <c r="G796" s="1"/>
      <c r="H796" s="1"/>
      <c r="L796" s="1"/>
      <c r="M796" s="1"/>
      <c r="N796" s="1"/>
    </row>
    <row r="797" spans="2:14" ht="15" customHeight="1" x14ac:dyDescent="0.25">
      <c r="B797" s="1"/>
      <c r="C797" s="1"/>
      <c r="D797" s="1"/>
      <c r="E797" s="1"/>
      <c r="F797" s="1"/>
      <c r="G797" s="1"/>
      <c r="H797" s="1"/>
      <c r="L797" s="1"/>
      <c r="M797" s="1"/>
      <c r="N797" s="1"/>
    </row>
    <row r="798" spans="2:14" ht="15" customHeight="1" x14ac:dyDescent="0.25">
      <c r="B798" s="1"/>
      <c r="C798" s="1"/>
      <c r="D798" s="1"/>
      <c r="E798" s="1"/>
      <c r="F798" s="1"/>
      <c r="G798" s="1"/>
      <c r="H798" s="1"/>
      <c r="L798" s="1"/>
      <c r="M798" s="1"/>
      <c r="N798" s="1"/>
    </row>
    <row r="799" spans="2:14" ht="15" customHeight="1" x14ac:dyDescent="0.25">
      <c r="B799" s="1"/>
      <c r="C799" s="1"/>
      <c r="D799" s="1"/>
      <c r="E799" s="1"/>
      <c r="F799" s="1"/>
      <c r="G799" s="1"/>
      <c r="H799" s="1"/>
      <c r="L799" s="1"/>
      <c r="M799" s="1"/>
      <c r="N799" s="1"/>
    </row>
    <row r="800" spans="2:14" ht="15" customHeight="1" x14ac:dyDescent="0.25">
      <c r="B800" s="1"/>
      <c r="C800" s="1"/>
      <c r="D800" s="1"/>
      <c r="E800" s="1"/>
      <c r="F800" s="1"/>
      <c r="G800" s="1"/>
      <c r="H800" s="1"/>
      <c r="L800" s="1"/>
      <c r="M800" s="1"/>
      <c r="N800" s="1"/>
    </row>
    <row r="801" s="1" customFormat="1" ht="15" customHeight="1" x14ac:dyDescent="0.25"/>
    <row r="802" s="1" customFormat="1" ht="24" customHeight="1" x14ac:dyDescent="0.25"/>
    <row r="803" s="1" customFormat="1" x14ac:dyDescent="0.25"/>
    <row r="804" s="1" customFormat="1" ht="15" customHeight="1" x14ac:dyDescent="0.25"/>
    <row r="805" s="1" customFormat="1" ht="22.5" customHeight="1" x14ac:dyDescent="0.25"/>
    <row r="806" s="1" customFormat="1" ht="15" customHeight="1" x14ac:dyDescent="0.25"/>
    <row r="807" s="1" customFormat="1" ht="15" customHeight="1" x14ac:dyDescent="0.25"/>
    <row r="808" s="1" customFormat="1" ht="15" customHeight="1" x14ac:dyDescent="0.25"/>
    <row r="809" s="1" customFormat="1" ht="15" customHeight="1" x14ac:dyDescent="0.25"/>
    <row r="810" s="1" customFormat="1" ht="15" customHeight="1" x14ac:dyDescent="0.25"/>
    <row r="811" s="1" customFormat="1" ht="15" customHeight="1" x14ac:dyDescent="0.25"/>
    <row r="812" s="1" customFormat="1" ht="15" customHeight="1" x14ac:dyDescent="0.25"/>
    <row r="813" s="1" customFormat="1" ht="15" customHeight="1" x14ac:dyDescent="0.25"/>
    <row r="814" s="1" customFormat="1" x14ac:dyDescent="0.25"/>
    <row r="815" s="1" customFormat="1" ht="15" customHeight="1" x14ac:dyDescent="0.25"/>
    <row r="816" s="1" customFormat="1" ht="24" customHeight="1" x14ac:dyDescent="0.25"/>
    <row r="817" spans="2:14" ht="22.5" customHeight="1" x14ac:dyDescent="0.25">
      <c r="B817" s="1"/>
      <c r="C817" s="1"/>
      <c r="D817" s="1"/>
      <c r="E817" s="1"/>
      <c r="F817" s="1"/>
      <c r="G817" s="1"/>
      <c r="H817" s="1"/>
      <c r="L817" s="1"/>
      <c r="M817" s="1"/>
      <c r="N817" s="1"/>
    </row>
    <row r="818" spans="2:14" x14ac:dyDescent="0.25">
      <c r="B818" s="1"/>
      <c r="C818" s="1"/>
      <c r="D818" s="1"/>
      <c r="E818" s="1"/>
      <c r="F818" s="1"/>
      <c r="G818" s="1"/>
      <c r="H818" s="1"/>
      <c r="L818" s="1"/>
      <c r="M818" s="1"/>
      <c r="N818" s="1"/>
    </row>
    <row r="819" spans="2:14" ht="15" customHeight="1" x14ac:dyDescent="0.25">
      <c r="B819" s="1"/>
      <c r="C819" s="1"/>
      <c r="D819" s="1"/>
      <c r="E819" s="1"/>
      <c r="F819" s="1"/>
      <c r="G819" s="1"/>
      <c r="H819" s="1"/>
      <c r="L819" s="1"/>
      <c r="M819" s="1"/>
      <c r="N819" s="1"/>
    </row>
    <row r="820" spans="2:14" x14ac:dyDescent="0.25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</row>
    <row r="821" spans="2:14" ht="15" customHeight="1" x14ac:dyDescent="0.25">
      <c r="B821" s="1"/>
      <c r="C821" s="1"/>
      <c r="D821" s="1"/>
      <c r="E821" s="1"/>
      <c r="F821" s="1"/>
      <c r="G821" s="1"/>
      <c r="H821" s="1"/>
      <c r="L821" s="1"/>
      <c r="M821" s="1"/>
      <c r="N821" s="1"/>
    </row>
    <row r="822" spans="2:14" ht="15" customHeight="1" x14ac:dyDescent="0.25">
      <c r="B822" s="1"/>
      <c r="C822" s="1"/>
      <c r="D822" s="1"/>
      <c r="E822" s="1"/>
      <c r="F822" s="1"/>
      <c r="G822" s="1"/>
      <c r="H822" s="1"/>
      <c r="L822" s="1"/>
      <c r="M822" s="1"/>
      <c r="N822" s="1"/>
    </row>
    <row r="823" spans="2:14" ht="22.5" customHeight="1" x14ac:dyDescent="0.25">
      <c r="B823" s="1"/>
      <c r="C823" s="1"/>
      <c r="D823" s="1"/>
      <c r="E823" s="1"/>
      <c r="F823" s="1"/>
      <c r="G823" s="1"/>
      <c r="H823" s="1"/>
      <c r="L823" s="1"/>
      <c r="M823" s="1"/>
      <c r="N823" s="1"/>
    </row>
    <row r="824" spans="2:14" ht="15" customHeight="1" x14ac:dyDescent="0.25">
      <c r="B824" s="1"/>
      <c r="C824" s="1"/>
      <c r="D824" s="1"/>
      <c r="E824" s="1"/>
      <c r="F824" s="1"/>
      <c r="G824" s="1"/>
      <c r="H824" s="1"/>
      <c r="L824" s="1"/>
      <c r="M824" s="1"/>
      <c r="N824" s="1"/>
    </row>
    <row r="825" spans="2:14" ht="15" customHeight="1" x14ac:dyDescent="0.25">
      <c r="B825" s="1"/>
      <c r="C825" s="1"/>
      <c r="D825" s="1"/>
      <c r="E825" s="1"/>
      <c r="F825" s="1"/>
      <c r="G825" s="1"/>
      <c r="H825" s="1"/>
      <c r="L825" s="1"/>
      <c r="M825" s="1"/>
      <c r="N825" s="1"/>
    </row>
    <row r="826" spans="2:14" ht="22.5" customHeight="1" x14ac:dyDescent="0.25">
      <c r="B826" s="1"/>
      <c r="C826" s="1"/>
      <c r="D826" s="1"/>
      <c r="E826" s="1"/>
      <c r="F826" s="1"/>
      <c r="G826" s="1"/>
      <c r="H826" s="1"/>
      <c r="L826" s="1"/>
      <c r="M826" s="1"/>
      <c r="N826" s="1"/>
    </row>
    <row r="827" spans="2:14" ht="15" customHeight="1" x14ac:dyDescent="0.25">
      <c r="B827" s="1"/>
      <c r="C827" s="1"/>
      <c r="D827" s="1"/>
      <c r="E827" s="1"/>
      <c r="F827" s="1"/>
      <c r="G827" s="1"/>
      <c r="H827" s="1"/>
      <c r="L827" s="1"/>
      <c r="M827" s="1"/>
      <c r="N827" s="1"/>
    </row>
    <row r="828" spans="2:14" ht="15" customHeight="1" x14ac:dyDescent="0.25">
      <c r="B828" s="1"/>
      <c r="C828" s="1"/>
      <c r="D828" s="1"/>
      <c r="E828" s="1"/>
      <c r="F828" s="1"/>
      <c r="G828" s="1"/>
      <c r="H828" s="1"/>
      <c r="L828" s="1"/>
      <c r="M828" s="1"/>
      <c r="N828" s="1"/>
    </row>
    <row r="829" spans="2:14" ht="15" customHeight="1" x14ac:dyDescent="0.25">
      <c r="B829" s="1"/>
      <c r="C829" s="1"/>
      <c r="D829" s="1"/>
      <c r="E829" s="1"/>
      <c r="F829" s="1"/>
      <c r="G829" s="1"/>
      <c r="H829" s="1"/>
      <c r="L829" s="1"/>
      <c r="M829" s="1"/>
      <c r="N829" s="1"/>
    </row>
    <row r="830" spans="2:14" ht="15" customHeight="1" x14ac:dyDescent="0.25">
      <c r="B830" s="1"/>
      <c r="C830" s="1"/>
      <c r="D830" s="1"/>
      <c r="E830" s="1"/>
      <c r="F830" s="1"/>
      <c r="G830" s="1"/>
      <c r="H830" s="1"/>
      <c r="L830" s="1"/>
      <c r="M830" s="1"/>
      <c r="N830" s="1"/>
    </row>
    <row r="831" spans="2:14" ht="15" customHeight="1" x14ac:dyDescent="0.25">
      <c r="B831" s="1"/>
      <c r="C831" s="1"/>
      <c r="D831" s="1"/>
      <c r="E831" s="1"/>
      <c r="F831" s="1"/>
      <c r="G831" s="1"/>
      <c r="H831" s="1"/>
      <c r="L831" s="1"/>
      <c r="M831" s="1"/>
      <c r="N831" s="1"/>
    </row>
    <row r="832" spans="2:14" ht="15" customHeight="1" x14ac:dyDescent="0.25">
      <c r="B832" s="1"/>
      <c r="C832" s="1"/>
      <c r="D832" s="1"/>
      <c r="E832" s="1"/>
      <c r="F832" s="1"/>
      <c r="G832" s="1"/>
      <c r="H832" s="1"/>
      <c r="L832" s="1"/>
      <c r="M832" s="1"/>
      <c r="N832" s="1"/>
    </row>
    <row r="833" s="1" customFormat="1" ht="24" customHeight="1" x14ac:dyDescent="0.25"/>
    <row r="834" s="1" customFormat="1" ht="15" customHeight="1" x14ac:dyDescent="0.25"/>
    <row r="835" s="1" customFormat="1" ht="15" customHeight="1" x14ac:dyDescent="0.25"/>
    <row r="836" s="1" customFormat="1" ht="15" customHeight="1" x14ac:dyDescent="0.25"/>
    <row r="837" s="1" customFormat="1" ht="15" customHeight="1" x14ac:dyDescent="0.25"/>
    <row r="838" s="1" customFormat="1" ht="15" customHeight="1" x14ac:dyDescent="0.25"/>
    <row r="839" s="1" customFormat="1" ht="15" customHeight="1" x14ac:dyDescent="0.25"/>
    <row r="840" s="1" customFormat="1" ht="15" customHeight="1" x14ac:dyDescent="0.25"/>
    <row r="841" s="1" customFormat="1" ht="15" customHeight="1" x14ac:dyDescent="0.25"/>
    <row r="842" s="1" customFormat="1" ht="15" customHeight="1" x14ac:dyDescent="0.25"/>
    <row r="843" s="1" customFormat="1" ht="15" customHeight="1" x14ac:dyDescent="0.25"/>
    <row r="844" s="1" customFormat="1" ht="15" customHeight="1" x14ac:dyDescent="0.25"/>
    <row r="845" s="1" customFormat="1" ht="15" customHeight="1" x14ac:dyDescent="0.25"/>
    <row r="846" s="1" customFormat="1" ht="15" customHeight="1" x14ac:dyDescent="0.25"/>
    <row r="847" s="1" customFormat="1" ht="15" customHeight="1" x14ac:dyDescent="0.25"/>
    <row r="848" s="1" customFormat="1" ht="15" customHeight="1" x14ac:dyDescent="0.25"/>
    <row r="849" s="1" customFormat="1" ht="15" customHeight="1" x14ac:dyDescent="0.25"/>
    <row r="850" s="1" customFormat="1" ht="15" customHeight="1" x14ac:dyDescent="0.25"/>
    <row r="851" s="1" customFormat="1" ht="22.5" customHeight="1" x14ac:dyDescent="0.25"/>
    <row r="852" s="1" customFormat="1" ht="15" customHeight="1" x14ac:dyDescent="0.25"/>
    <row r="853" s="1" customFormat="1" ht="15" customHeight="1" x14ac:dyDescent="0.25"/>
    <row r="854" s="1" customFormat="1" ht="15" customHeight="1" x14ac:dyDescent="0.25"/>
    <row r="855" s="1" customFormat="1" ht="15" customHeight="1" x14ac:dyDescent="0.25"/>
    <row r="856" s="1" customFormat="1" ht="15" customHeight="1" x14ac:dyDescent="0.25"/>
    <row r="857" s="1" customFormat="1" ht="15" customHeight="1" x14ac:dyDescent="0.25"/>
    <row r="858" s="1" customFormat="1" ht="15" customHeight="1" x14ac:dyDescent="0.25"/>
    <row r="859" s="1" customFormat="1" ht="15" customHeight="1" x14ac:dyDescent="0.25"/>
    <row r="860" s="1" customFormat="1" ht="15" customHeight="1" x14ac:dyDescent="0.25"/>
    <row r="861" s="1" customFormat="1" ht="15" customHeight="1" x14ac:dyDescent="0.25"/>
    <row r="862" s="1" customFormat="1" ht="15" customHeigh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pans="2:15" x14ac:dyDescent="0.25">
      <c r="B1025" s="1"/>
      <c r="C1025" s="1"/>
      <c r="D1025" s="1"/>
      <c r="E1025" s="1"/>
      <c r="F1025" s="1"/>
      <c r="G1025" s="1"/>
      <c r="H1025" s="1"/>
      <c r="L1025" s="1"/>
      <c r="M1025" s="1"/>
      <c r="N1025" s="1"/>
    </row>
    <row r="1026" spans="2:15" x14ac:dyDescent="0.25">
      <c r="B1026" s="1"/>
      <c r="C1026" s="1"/>
      <c r="D1026" s="1"/>
      <c r="E1026" s="1"/>
      <c r="F1026" s="1"/>
      <c r="G1026" s="1"/>
      <c r="H1026" s="1"/>
      <c r="L1026" s="1"/>
      <c r="M1026" s="1"/>
      <c r="N1026" s="1"/>
    </row>
    <row r="1027" spans="2:15" x14ac:dyDescent="0.25">
      <c r="B1027" s="1"/>
      <c r="C1027" s="1"/>
      <c r="D1027" s="1"/>
      <c r="E1027" s="1"/>
      <c r="F1027" s="1"/>
      <c r="G1027" s="1"/>
      <c r="H1027" s="1"/>
      <c r="L1027" s="1"/>
      <c r="M1027" s="1"/>
      <c r="N1027" s="1"/>
    </row>
    <row r="1028" spans="2:15" x14ac:dyDescent="0.25">
      <c r="B1028" s="1"/>
      <c r="C1028" s="1"/>
      <c r="D1028" s="1"/>
      <c r="E1028" s="1"/>
      <c r="F1028" s="1"/>
      <c r="G1028" s="1"/>
      <c r="H1028" s="1"/>
      <c r="L1028" s="1"/>
      <c r="M1028" s="1"/>
      <c r="N1028" s="1"/>
    </row>
    <row r="1029" spans="2:15" x14ac:dyDescent="0.25">
      <c r="B1029" s="1"/>
      <c r="C1029" s="1"/>
      <c r="D1029" s="1"/>
      <c r="E1029" s="1"/>
      <c r="F1029" s="1"/>
      <c r="G1029" s="1"/>
      <c r="H1029" s="1"/>
      <c r="L1029" s="1"/>
      <c r="M1029" s="1"/>
      <c r="N1029" s="1"/>
    </row>
    <row r="1030" spans="2:15" x14ac:dyDescent="0.25">
      <c r="B1030" s="1"/>
      <c r="C1030" s="1"/>
      <c r="D1030" s="1"/>
      <c r="E1030" s="1"/>
      <c r="F1030" s="1"/>
      <c r="G1030" s="1"/>
      <c r="H1030" s="1"/>
      <c r="L1030" s="1"/>
      <c r="M1030" s="1"/>
      <c r="N1030" s="1"/>
    </row>
    <row r="1031" spans="2:15" x14ac:dyDescent="0.25">
      <c r="B1031" s="1"/>
      <c r="C1031" s="1"/>
      <c r="D1031" s="1"/>
      <c r="E1031" s="1"/>
      <c r="F1031" s="1"/>
      <c r="G1031" s="1"/>
      <c r="H1031" s="1"/>
      <c r="L1031" s="1"/>
      <c r="M1031" s="1"/>
      <c r="N1031" s="1"/>
    </row>
    <row r="1032" spans="2:15" x14ac:dyDescent="0.25">
      <c r="O1032" s="7"/>
    </row>
  </sheetData>
  <autoFilter ref="B5:N1031" xr:uid="{00000000-0009-0000-0000-000001000000}"/>
  <mergeCells count="16">
    <mergeCell ref="K3:N3"/>
    <mergeCell ref="K4:N4"/>
    <mergeCell ref="B4:C4"/>
    <mergeCell ref="D4:E4"/>
    <mergeCell ref="F4:G4"/>
    <mergeCell ref="I4:J4"/>
    <mergeCell ref="B3:C3"/>
    <mergeCell ref="D3:E3"/>
    <mergeCell ref="F3:G3"/>
    <mergeCell ref="I3:J3"/>
    <mergeCell ref="B1:N1"/>
    <mergeCell ref="B2:C2"/>
    <mergeCell ref="F2:G2"/>
    <mergeCell ref="I2:J2"/>
    <mergeCell ref="D2:E2"/>
    <mergeCell ref="K2:N2"/>
  </mergeCells>
  <conditionalFormatting sqref="J1:J2 J1032:J1048576 J376:J379 J370:J374 J341:J349 J367:J368 J351:J365 J328:J339 J323:J326 J288:J321 J255:J283 J90:J253 J69:J87 J5:J67">
    <cfRule type="cellIs" dxfId="67" priority="1885" operator="equal">
      <formula>"Khulaai"</formula>
    </cfRule>
    <cfRule type="containsText" dxfId="66" priority="1888" operator="containsText" text="Serviceable Motors">
      <formula>NOT(ISERROR(SEARCH("Serviceable Motors",J1)))</formula>
    </cfRule>
    <cfRule type="cellIs" dxfId="65" priority="1889" operator="equal">
      <formula>"Cast Iron"</formula>
    </cfRule>
    <cfRule type="cellIs" dxfId="64" priority="1890" operator="equal">
      <formula>"Copper"</formula>
    </cfRule>
    <cfRule type="containsText" dxfId="63" priority="1892" operator="containsText" text="Iron Scrap">
      <formula>NOT(ISERROR(SEARCH("Iron Scrap",J1)))</formula>
    </cfRule>
  </conditionalFormatting>
  <conditionalFormatting sqref="J375">
    <cfRule type="cellIs" dxfId="62" priority="72" operator="equal">
      <formula>"Khulaai"</formula>
    </cfRule>
    <cfRule type="containsText" dxfId="61" priority="73" operator="containsText" text="Serviceable Motors">
      <formula>NOT(ISERROR(SEARCH("Serviceable Motors",J375)))</formula>
    </cfRule>
    <cfRule type="cellIs" dxfId="60" priority="74" operator="equal">
      <formula>"Cast Iron"</formula>
    </cfRule>
    <cfRule type="cellIs" dxfId="59" priority="75" operator="equal">
      <formula>"Copper"</formula>
    </cfRule>
    <cfRule type="containsText" dxfId="58" priority="76" operator="containsText" text="Iron Scrap">
      <formula>NOT(ISERROR(SEARCH("Iron Scrap",J375)))</formula>
    </cfRule>
  </conditionalFormatting>
  <conditionalFormatting sqref="J369">
    <cfRule type="cellIs" dxfId="57" priority="67" operator="equal">
      <formula>"Khulaai"</formula>
    </cfRule>
    <cfRule type="containsText" dxfId="56" priority="68" operator="containsText" text="Serviceable Motors">
      <formula>NOT(ISERROR(SEARCH("Serviceable Motors",J369)))</formula>
    </cfRule>
    <cfRule type="cellIs" dxfId="55" priority="69" operator="equal">
      <formula>"Cast Iron"</formula>
    </cfRule>
    <cfRule type="cellIs" dxfId="54" priority="70" operator="equal">
      <formula>"Copper"</formula>
    </cfRule>
    <cfRule type="containsText" dxfId="53" priority="71" operator="containsText" text="Iron Scrap">
      <formula>NOT(ISERROR(SEARCH("Iron Scrap",J369)))</formula>
    </cfRule>
  </conditionalFormatting>
  <conditionalFormatting sqref="J350">
    <cfRule type="cellIs" dxfId="52" priority="57" operator="equal">
      <formula>"Khulaai"</formula>
    </cfRule>
    <cfRule type="containsText" dxfId="51" priority="58" operator="containsText" text="Serviceable Motors">
      <formula>NOT(ISERROR(SEARCH("Serviceable Motors",J350)))</formula>
    </cfRule>
    <cfRule type="cellIs" dxfId="50" priority="59" operator="equal">
      <formula>"Cast Iron"</formula>
    </cfRule>
    <cfRule type="cellIs" dxfId="49" priority="60" operator="equal">
      <formula>"Copper"</formula>
    </cfRule>
    <cfRule type="containsText" dxfId="48" priority="61" operator="containsText" text="Iron Scrap">
      <formula>NOT(ISERROR(SEARCH("Iron Scrap",J350)))</formula>
    </cfRule>
  </conditionalFormatting>
  <conditionalFormatting sqref="J340">
    <cfRule type="cellIs" dxfId="47" priority="47" operator="equal">
      <formula>"Khulaai"</formula>
    </cfRule>
    <cfRule type="containsText" dxfId="46" priority="48" operator="containsText" text="Serviceable Motors">
      <formula>NOT(ISERROR(SEARCH("Serviceable Motors",J340)))</formula>
    </cfRule>
    <cfRule type="cellIs" dxfId="45" priority="49" operator="equal">
      <formula>"Cast Iron"</formula>
    </cfRule>
    <cfRule type="cellIs" dxfId="44" priority="50" operator="equal">
      <formula>"Copper"</formula>
    </cfRule>
    <cfRule type="containsText" dxfId="43" priority="51" operator="containsText" text="Iron Scrap">
      <formula>NOT(ISERROR(SEARCH("Iron Scrap",J340)))</formula>
    </cfRule>
  </conditionalFormatting>
  <conditionalFormatting sqref="J366">
    <cfRule type="cellIs" dxfId="42" priority="40" operator="equal">
      <formula>"Khulaai"</formula>
    </cfRule>
    <cfRule type="containsText" dxfId="41" priority="41" operator="containsText" text="Serviceable Motors">
      <formula>NOT(ISERROR(SEARCH("Serviceable Motors",J366)))</formula>
    </cfRule>
    <cfRule type="cellIs" dxfId="40" priority="42" operator="equal">
      <formula>"Cast Iron"</formula>
    </cfRule>
    <cfRule type="cellIs" dxfId="39" priority="43" operator="equal">
      <formula>"Copper"</formula>
    </cfRule>
    <cfRule type="containsText" dxfId="38" priority="44" operator="containsText" text="Iron Scrap">
      <formula>NOT(ISERROR(SEARCH("Iron Scrap",J366)))</formula>
    </cfRule>
  </conditionalFormatting>
  <conditionalFormatting sqref="J327">
    <cfRule type="cellIs" dxfId="37" priority="35" operator="equal">
      <formula>"Khulaai"</formula>
    </cfRule>
    <cfRule type="containsText" dxfId="36" priority="36" operator="containsText" text="Serviceable Motors">
      <formula>NOT(ISERROR(SEARCH("Serviceable Motors",J327)))</formula>
    </cfRule>
    <cfRule type="cellIs" dxfId="35" priority="37" operator="equal">
      <formula>"Cast Iron"</formula>
    </cfRule>
    <cfRule type="cellIs" dxfId="34" priority="38" operator="equal">
      <formula>"Copper"</formula>
    </cfRule>
    <cfRule type="containsText" dxfId="33" priority="39" operator="containsText" text="Iron Scrap">
      <formula>NOT(ISERROR(SEARCH("Iron Scrap",J327)))</formula>
    </cfRule>
  </conditionalFormatting>
  <conditionalFormatting sqref="J322">
    <cfRule type="cellIs" dxfId="32" priority="30" operator="equal">
      <formula>"Khulaai"</formula>
    </cfRule>
    <cfRule type="containsText" dxfId="31" priority="31" operator="containsText" text="Serviceable Motors">
      <formula>NOT(ISERROR(SEARCH("Serviceable Motors",J322)))</formula>
    </cfRule>
    <cfRule type="cellIs" dxfId="30" priority="32" operator="equal">
      <formula>"Cast Iron"</formula>
    </cfRule>
    <cfRule type="cellIs" dxfId="29" priority="33" operator="equal">
      <formula>"Copper"</formula>
    </cfRule>
    <cfRule type="containsText" dxfId="28" priority="34" operator="containsText" text="Iron Scrap">
      <formula>NOT(ISERROR(SEARCH("Iron Scrap",J322)))</formula>
    </cfRule>
  </conditionalFormatting>
  <conditionalFormatting sqref="J284:J287">
    <cfRule type="cellIs" dxfId="27" priority="25" operator="equal">
      <formula>"Khulaai"</formula>
    </cfRule>
    <cfRule type="containsText" dxfId="26" priority="26" operator="containsText" text="Serviceable Motors">
      <formula>NOT(ISERROR(SEARCH("Serviceable Motors",J284)))</formula>
    </cfRule>
    <cfRule type="cellIs" dxfId="25" priority="27" operator="equal">
      <formula>"Cast Iron"</formula>
    </cfRule>
    <cfRule type="cellIs" dxfId="24" priority="28" operator="equal">
      <formula>"Copper"</formula>
    </cfRule>
    <cfRule type="containsText" dxfId="23" priority="29" operator="containsText" text="Iron Scrap">
      <formula>NOT(ISERROR(SEARCH("Iron Scrap",J284)))</formula>
    </cfRule>
  </conditionalFormatting>
  <conditionalFormatting sqref="J254">
    <cfRule type="cellIs" dxfId="22" priority="20" operator="equal">
      <formula>"Khulaai"</formula>
    </cfRule>
    <cfRule type="containsText" dxfId="21" priority="21" operator="containsText" text="Serviceable Motors">
      <formula>NOT(ISERROR(SEARCH("Serviceable Motors",J254)))</formula>
    </cfRule>
    <cfRule type="cellIs" dxfId="20" priority="22" operator="equal">
      <formula>"Cast Iron"</formula>
    </cfRule>
    <cfRule type="cellIs" dxfId="19" priority="23" operator="equal">
      <formula>"Copper"</formula>
    </cfRule>
    <cfRule type="containsText" dxfId="18" priority="24" operator="containsText" text="Iron Scrap">
      <formula>NOT(ISERROR(SEARCH("Iron Scrap",J254)))</formula>
    </cfRule>
  </conditionalFormatting>
  <conditionalFormatting sqref="J88:J89">
    <cfRule type="cellIs" dxfId="17" priority="15" operator="equal">
      <formula>"Khulaai"</formula>
    </cfRule>
    <cfRule type="containsText" dxfId="16" priority="16" operator="containsText" text="Serviceable Motors">
      <formula>NOT(ISERROR(SEARCH("Serviceable Motors",J88)))</formula>
    </cfRule>
    <cfRule type="cellIs" dxfId="15" priority="17" operator="equal">
      <formula>"Cast Iron"</formula>
    </cfRule>
    <cfRule type="cellIs" dxfId="14" priority="18" operator="equal">
      <formula>"Copper"</formula>
    </cfRule>
    <cfRule type="containsText" dxfId="13" priority="19" operator="containsText" text="Iron Scrap">
      <formula>NOT(ISERROR(SEARCH("Iron Scrap",J88)))</formula>
    </cfRule>
  </conditionalFormatting>
  <conditionalFormatting sqref="J68">
    <cfRule type="cellIs" dxfId="12" priority="1" operator="equal">
      <formula>"Khulaai"</formula>
    </cfRule>
    <cfRule type="containsText" dxfId="11" priority="2" operator="containsText" text="Serviceable Motors">
      <formula>NOT(ISERROR(SEARCH("Serviceable Motors",J68)))</formula>
    </cfRule>
    <cfRule type="cellIs" dxfId="10" priority="3" operator="equal">
      <formula>"Cast Iron"</formula>
    </cfRule>
    <cfRule type="cellIs" dxfId="9" priority="4" operator="equal">
      <formula>"Copper"</formula>
    </cfRule>
    <cfRule type="containsText" dxfId="8" priority="5" operator="containsText" text="Iron Scrap">
      <formula>NOT(ISERROR(SEARCH("Iron Scrap",J68)))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10" orientation="landscape" verticalDpi="300" r:id="rId1"/>
  <rowBreaks count="2" manualBreakCount="2">
    <brk id="343" max="16383" man="1"/>
    <brk id="381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34" operator="containsText" id="{EE11D396-6053-40C7-9978-95C0C4013CD8}">
            <xm:f>NOT(ISERROR(SEARCH(index!$E$3,C6)))</xm:f>
            <xm:f>index!$E$3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35" operator="containsText" id="{9D4A85F0-BE51-4CA4-A79F-120E008FDDAD}">
            <xm:f>NOT(ISERROR(SEARCH(index!$E$2,C6)))</xm:f>
            <xm:f>index!$E$2</xm:f>
            <x14:dxf>
              <fill>
                <patternFill>
                  <bgColor rgb="FFFFC7CE"/>
                </patternFill>
              </fill>
            </x14:dxf>
          </x14:cfRule>
          <xm:sqref>C376:C379 C367:C374 C69:C365 C6:C67</xm:sqref>
        </x14:conditionalFormatting>
        <x14:conditionalFormatting xmlns:xm="http://schemas.microsoft.com/office/excel/2006/main">
          <x14:cfRule type="containsText" priority="77" operator="containsText" id="{4F9E37C2-8A47-4DDD-A9D9-D82E09BA4649}">
            <xm:f>NOT(ISERROR(SEARCH(index!$E$3,C375)))</xm:f>
            <xm:f>index!$E$3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8" operator="containsText" id="{704FDD7B-0A97-4B64-AC9C-FCE701B59FDE}">
            <xm:f>NOT(ISERROR(SEARCH(index!$E$2,C375)))</xm:f>
            <xm:f>index!$E$2</xm:f>
            <x14:dxf>
              <fill>
                <patternFill>
                  <bgColor rgb="FFFFC7CE"/>
                </patternFill>
              </fill>
            </x14:dxf>
          </x14:cfRule>
          <xm:sqref>C375</xm:sqref>
        </x14:conditionalFormatting>
        <x14:conditionalFormatting xmlns:xm="http://schemas.microsoft.com/office/excel/2006/main">
          <x14:cfRule type="containsText" priority="45" operator="containsText" id="{959FB2E9-A3E0-483C-9720-86A29BDD33E8}">
            <xm:f>NOT(ISERROR(SEARCH(index!$E$3,C366)))</xm:f>
            <xm:f>index!$E$3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6" operator="containsText" id="{02C8F0B6-476D-43AE-A7E6-BFB89C477B4E}">
            <xm:f>NOT(ISERROR(SEARCH(index!$E$2,C366)))</xm:f>
            <xm:f>index!$E$2</xm:f>
            <x14:dxf>
              <fill>
                <patternFill>
                  <bgColor rgb="FFFFC7CE"/>
                </patternFill>
              </fill>
            </x14:dxf>
          </x14:cfRule>
          <xm:sqref>C366</xm:sqref>
        </x14:conditionalFormatting>
        <x14:conditionalFormatting xmlns:xm="http://schemas.microsoft.com/office/excel/2006/main">
          <x14:cfRule type="containsText" priority="6" operator="containsText" id="{61449244-9029-4A0A-BB31-3260E88C8078}">
            <xm:f>NOT(ISERROR(SEARCH(index!$E$3,C68)))</xm:f>
            <xm:f>index!$E$3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08F49CD7-370B-4925-AF15-5F62AF4FFFEF}">
            <xm:f>NOT(ISERROR(SEARCH(index!$E$2,C68)))</xm:f>
            <xm:f>index!$E$2</xm:f>
            <x14:dxf>
              <fill>
                <patternFill>
                  <bgColor rgb="FFFFC7CE"/>
                </patternFill>
              </fill>
            </x14:dxf>
          </x14:cfRule>
          <xm:sqref>C68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index!$A$2:$A$21</xm:f>
          </x14:formula1>
          <xm:sqref>J6:J379</xm:sqref>
        </x14:dataValidation>
        <x14:dataValidation type="list" allowBlank="1" showInputMessage="1" showErrorMessage="1" xr:uid="{00000000-0002-0000-0100-000001000000}">
          <x14:formula1>
            <xm:f>index!$E$2:$E$5</xm:f>
          </x14:formula1>
          <xm:sqref>C6:C379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activeCell="K10" sqref="K10"/>
    </sheetView>
  </sheetViews>
  <sheetFormatPr defaultRowHeight="15" x14ac:dyDescent="0.25"/>
  <cols>
    <col min="4" max="4" width="11" bestFit="1" customWidth="1"/>
    <col min="6" max="7" width="11.7109375" customWidth="1"/>
    <col min="8" max="8" width="9" customWidth="1"/>
  </cols>
  <sheetData>
    <row r="1" spans="1:9" ht="15.75" thickBot="1" x14ac:dyDescent="0.3">
      <c r="A1" t="s">
        <v>170</v>
      </c>
      <c r="B1" s="67"/>
      <c r="C1" s="66" t="s">
        <v>175</v>
      </c>
      <c r="D1" s="68"/>
      <c r="E1" s="66" t="s">
        <v>176</v>
      </c>
      <c r="F1" s="67"/>
      <c r="G1" t="s">
        <v>64</v>
      </c>
      <c r="H1" s="67"/>
      <c r="I1" s="66"/>
    </row>
    <row r="2" spans="1:9" ht="16.5" thickTop="1" thickBot="1" x14ac:dyDescent="0.3">
      <c r="B2" s="56"/>
      <c r="C2" s="56"/>
      <c r="E2" s="56"/>
      <c r="F2" s="56" t="s">
        <v>177</v>
      </c>
      <c r="G2" s="109"/>
      <c r="H2" s="109"/>
      <c r="I2" s="56"/>
    </row>
    <row r="3" spans="1:9" ht="16.5" thickTop="1" thickBot="1" x14ac:dyDescent="0.3">
      <c r="B3" s="56"/>
      <c r="C3" s="56"/>
      <c r="E3" s="56"/>
      <c r="F3" s="56"/>
      <c r="G3" s="69"/>
      <c r="H3" s="69"/>
      <c r="I3" s="56"/>
    </row>
    <row r="4" spans="1:9" ht="18.75" x14ac:dyDescent="0.4">
      <c r="A4" s="103" t="s">
        <v>168</v>
      </c>
      <c r="B4" s="104"/>
      <c r="C4" s="104"/>
      <c r="D4" s="105"/>
      <c r="E4" s="106" t="s">
        <v>169</v>
      </c>
      <c r="F4" s="107"/>
      <c r="G4" s="107"/>
      <c r="H4" s="108"/>
    </row>
    <row r="5" spans="1:9" x14ac:dyDescent="0.25">
      <c r="A5" s="62" t="s">
        <v>61</v>
      </c>
      <c r="B5" s="63" t="s">
        <v>171</v>
      </c>
      <c r="C5" s="63" t="s">
        <v>172</v>
      </c>
      <c r="D5" s="70" t="s">
        <v>3</v>
      </c>
      <c r="E5" s="57" t="s">
        <v>61</v>
      </c>
      <c r="F5" s="4" t="s">
        <v>173</v>
      </c>
      <c r="G5" s="4" t="s">
        <v>174</v>
      </c>
      <c r="H5" s="58" t="s">
        <v>3</v>
      </c>
    </row>
    <row r="6" spans="1:9" x14ac:dyDescent="0.25">
      <c r="A6" s="62"/>
      <c r="B6" s="63"/>
      <c r="C6" s="63"/>
      <c r="D6" s="70"/>
      <c r="E6" s="57"/>
      <c r="F6" s="4"/>
      <c r="G6" s="4"/>
      <c r="H6" s="58"/>
    </row>
    <row r="7" spans="1:9" x14ac:dyDescent="0.25">
      <c r="A7" s="62"/>
      <c r="B7" s="63"/>
      <c r="C7" s="63"/>
      <c r="D7" s="70"/>
      <c r="E7" s="57"/>
      <c r="F7" s="4"/>
      <c r="G7" s="4"/>
      <c r="H7" s="58"/>
    </row>
    <row r="8" spans="1:9" x14ac:dyDescent="0.25">
      <c r="A8" s="62"/>
      <c r="B8" s="63"/>
      <c r="C8" s="63"/>
      <c r="D8" s="70"/>
      <c r="E8" s="57"/>
      <c r="F8" s="4"/>
      <c r="G8" s="4"/>
      <c r="H8" s="58"/>
    </row>
    <row r="9" spans="1:9" x14ac:dyDescent="0.25">
      <c r="A9" s="62"/>
      <c r="B9" s="63"/>
      <c r="C9" s="63"/>
      <c r="D9" s="70"/>
      <c r="E9" s="57"/>
      <c r="F9" s="4"/>
      <c r="G9" s="4"/>
      <c r="H9" s="58"/>
    </row>
    <row r="10" spans="1:9" x14ac:dyDescent="0.25">
      <c r="A10" s="62"/>
      <c r="B10" s="63"/>
      <c r="C10" s="63"/>
      <c r="D10" s="70"/>
      <c r="E10" s="57"/>
      <c r="F10" s="4"/>
      <c r="G10" s="4"/>
      <c r="H10" s="58"/>
    </row>
    <row r="11" spans="1:9" x14ac:dyDescent="0.25">
      <c r="A11" s="62"/>
      <c r="B11" s="63"/>
      <c r="C11" s="63"/>
      <c r="D11" s="70"/>
      <c r="E11" s="57"/>
      <c r="F11" s="4"/>
      <c r="G11" s="4"/>
      <c r="H11" s="58"/>
    </row>
    <row r="12" spans="1:9" x14ac:dyDescent="0.25">
      <c r="A12" s="62"/>
      <c r="B12" s="63"/>
      <c r="C12" s="63"/>
      <c r="D12" s="70"/>
      <c r="E12" s="57"/>
      <c r="F12" s="4"/>
      <c r="G12" s="4"/>
      <c r="H12" s="58"/>
    </row>
    <row r="13" spans="1:9" x14ac:dyDescent="0.25">
      <c r="A13" s="62"/>
      <c r="B13" s="63"/>
      <c r="C13" s="63"/>
      <c r="D13" s="70"/>
      <c r="E13" s="57"/>
      <c r="F13" s="4"/>
      <c r="G13" s="4"/>
      <c r="H13" s="58"/>
    </row>
    <row r="14" spans="1:9" x14ac:dyDescent="0.25">
      <c r="A14" s="62"/>
      <c r="B14" s="63"/>
      <c r="C14" s="63"/>
      <c r="D14" s="70"/>
      <c r="E14" s="57"/>
      <c r="F14" s="4"/>
      <c r="G14" s="4"/>
      <c r="H14" s="58"/>
    </row>
    <row r="15" spans="1:9" x14ac:dyDescent="0.25">
      <c r="A15" s="62"/>
      <c r="B15" s="63"/>
      <c r="C15" s="63"/>
      <c r="D15" s="70"/>
      <c r="E15" s="57"/>
      <c r="F15" s="4"/>
      <c r="G15" s="4"/>
      <c r="H15" s="58"/>
    </row>
    <row r="16" spans="1:9" x14ac:dyDescent="0.25">
      <c r="A16" s="62"/>
      <c r="B16" s="63"/>
      <c r="C16" s="63"/>
      <c r="D16" s="70"/>
      <c r="E16" s="57"/>
      <c r="F16" s="4"/>
      <c r="G16" s="4"/>
      <c r="H16" s="58"/>
    </row>
    <row r="17" spans="1:8" x14ac:dyDescent="0.25">
      <c r="A17" s="62"/>
      <c r="B17" s="63"/>
      <c r="C17" s="63"/>
      <c r="D17" s="70"/>
      <c r="E17" s="57"/>
      <c r="F17" s="4"/>
      <c r="G17" s="4"/>
      <c r="H17" s="58"/>
    </row>
    <row r="18" spans="1:8" x14ac:dyDescent="0.25">
      <c r="A18" s="62"/>
      <c r="B18" s="63"/>
      <c r="C18" s="63"/>
      <c r="D18" s="70"/>
      <c r="E18" s="57"/>
      <c r="F18" s="4"/>
      <c r="G18" s="4"/>
      <c r="H18" s="58"/>
    </row>
    <row r="19" spans="1:8" x14ac:dyDescent="0.25">
      <c r="A19" s="62"/>
      <c r="B19" s="63"/>
      <c r="C19" s="63"/>
      <c r="D19" s="70"/>
      <c r="E19" s="57"/>
      <c r="F19" s="4"/>
      <c r="G19" s="4"/>
      <c r="H19" s="58"/>
    </row>
    <row r="20" spans="1:8" x14ac:dyDescent="0.25">
      <c r="A20" s="62"/>
      <c r="B20" s="63"/>
      <c r="C20" s="63"/>
      <c r="D20" s="70"/>
      <c r="E20" s="57"/>
      <c r="F20" s="4"/>
      <c r="G20" s="4"/>
      <c r="H20" s="58"/>
    </row>
    <row r="21" spans="1:8" x14ac:dyDescent="0.25">
      <c r="A21" s="62"/>
      <c r="B21" s="63"/>
      <c r="C21" s="63"/>
      <c r="D21" s="70"/>
      <c r="E21" s="57"/>
      <c r="F21" s="4"/>
      <c r="G21" s="4"/>
      <c r="H21" s="58"/>
    </row>
    <row r="22" spans="1:8" x14ac:dyDescent="0.25">
      <c r="A22" s="62"/>
      <c r="B22" s="63"/>
      <c r="C22" s="63"/>
      <c r="D22" s="70"/>
      <c r="E22" s="57"/>
      <c r="F22" s="4"/>
      <c r="G22" s="4"/>
      <c r="H22" s="58"/>
    </row>
    <row r="23" spans="1:8" x14ac:dyDescent="0.25">
      <c r="A23" s="62"/>
      <c r="B23" s="63"/>
      <c r="C23" s="63"/>
      <c r="D23" s="70"/>
      <c r="E23" s="57"/>
      <c r="F23" s="4"/>
      <c r="G23" s="4"/>
      <c r="H23" s="58"/>
    </row>
    <row r="24" spans="1:8" x14ac:dyDescent="0.25">
      <c r="A24" s="62"/>
      <c r="B24" s="63"/>
      <c r="C24" s="63"/>
      <c r="D24" s="70"/>
      <c r="E24" s="57"/>
      <c r="F24" s="4"/>
      <c r="G24" s="4"/>
      <c r="H24" s="58"/>
    </row>
    <row r="25" spans="1:8" x14ac:dyDescent="0.25">
      <c r="A25" s="62"/>
      <c r="B25" s="63"/>
      <c r="C25" s="63"/>
      <c r="D25" s="70"/>
      <c r="E25" s="57"/>
      <c r="F25" s="4"/>
      <c r="G25" s="4"/>
      <c r="H25" s="58"/>
    </row>
    <row r="26" spans="1:8" x14ac:dyDescent="0.25">
      <c r="A26" s="62"/>
      <c r="B26" s="63"/>
      <c r="C26" s="63"/>
      <c r="D26" s="70"/>
      <c r="E26" s="57"/>
      <c r="F26" s="4"/>
      <c r="G26" s="4"/>
      <c r="H26" s="58"/>
    </row>
    <row r="27" spans="1:8" x14ac:dyDescent="0.25">
      <c r="A27" s="62"/>
      <c r="B27" s="63"/>
      <c r="C27" s="63"/>
      <c r="D27" s="70"/>
      <c r="E27" s="57"/>
      <c r="F27" s="4"/>
      <c r="G27" s="4"/>
      <c r="H27" s="58"/>
    </row>
    <row r="28" spans="1:8" x14ac:dyDescent="0.25">
      <c r="A28" s="62"/>
      <c r="B28" s="63"/>
      <c r="C28" s="63"/>
      <c r="D28" s="70"/>
      <c r="E28" s="57"/>
      <c r="F28" s="4"/>
      <c r="G28" s="4"/>
      <c r="H28" s="58"/>
    </row>
    <row r="29" spans="1:8" x14ac:dyDescent="0.25">
      <c r="A29" s="62"/>
      <c r="B29" s="63"/>
      <c r="C29" s="63"/>
      <c r="D29" s="70"/>
      <c r="E29" s="57"/>
      <c r="F29" s="4"/>
      <c r="G29" s="4"/>
      <c r="H29" s="58"/>
    </row>
    <row r="30" spans="1:8" x14ac:dyDescent="0.25">
      <c r="A30" s="62"/>
      <c r="B30" s="63"/>
      <c r="C30" s="63"/>
      <c r="D30" s="70"/>
      <c r="E30" s="57"/>
      <c r="F30" s="4"/>
      <c r="G30" s="4"/>
      <c r="H30" s="58"/>
    </row>
    <row r="31" spans="1:8" x14ac:dyDescent="0.25">
      <c r="A31" s="62"/>
      <c r="B31" s="63"/>
      <c r="C31" s="63"/>
      <c r="D31" s="70"/>
      <c r="E31" s="57"/>
      <c r="F31" s="4"/>
      <c r="G31" s="4"/>
      <c r="H31" s="58"/>
    </row>
    <row r="32" spans="1:8" x14ac:dyDescent="0.25">
      <c r="A32" s="62"/>
      <c r="B32" s="63"/>
      <c r="C32" s="63"/>
      <c r="D32" s="70"/>
      <c r="E32" s="57"/>
      <c r="F32" s="4"/>
      <c r="G32" s="4"/>
      <c r="H32" s="58"/>
    </row>
    <row r="33" spans="1:8" x14ac:dyDescent="0.25">
      <c r="A33" s="62"/>
      <c r="B33" s="63"/>
      <c r="C33" s="63"/>
      <c r="D33" s="70"/>
      <c r="E33" s="57"/>
      <c r="F33" s="4"/>
      <c r="G33" s="4"/>
      <c r="H33" s="58"/>
    </row>
    <row r="34" spans="1:8" x14ac:dyDescent="0.25">
      <c r="A34" s="62"/>
      <c r="B34" s="63"/>
      <c r="C34" s="63"/>
      <c r="D34" s="70"/>
      <c r="E34" s="57"/>
      <c r="F34" s="4"/>
      <c r="G34" s="4"/>
      <c r="H34" s="58"/>
    </row>
    <row r="35" spans="1:8" x14ac:dyDescent="0.25">
      <c r="A35" s="62"/>
      <c r="B35" s="63"/>
      <c r="C35" s="63"/>
      <c r="D35" s="70"/>
      <c r="E35" s="57"/>
      <c r="F35" s="4"/>
      <c r="G35" s="4"/>
      <c r="H35" s="58"/>
    </row>
    <row r="36" spans="1:8" x14ac:dyDescent="0.25">
      <c r="A36" s="62"/>
      <c r="B36" s="63"/>
      <c r="C36" s="63"/>
      <c r="D36" s="70"/>
      <c r="E36" s="57"/>
      <c r="F36" s="4"/>
      <c r="G36" s="4"/>
      <c r="H36" s="58"/>
    </row>
    <row r="37" spans="1:8" ht="15.75" thickBot="1" x14ac:dyDescent="0.3">
      <c r="A37" s="64"/>
      <c r="B37" s="65"/>
      <c r="C37" s="65"/>
      <c r="D37" s="71"/>
      <c r="E37" s="59"/>
      <c r="F37" s="60"/>
      <c r="G37" s="60"/>
      <c r="H37" s="61"/>
    </row>
  </sheetData>
  <mergeCells count="3">
    <mergeCell ref="A4:D4"/>
    <mergeCell ref="E4:H4"/>
    <mergeCell ref="G2:H2"/>
  </mergeCells>
  <pageMargins left="0.43307086614173229" right="3.937007874015748E-2" top="0.55118110236220474" bottom="0.55118110236220474" header="0.11811023622047245" footer="0.11811023622047245"/>
  <pageSetup scale="12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32"/>
  <sheetViews>
    <sheetView workbookViewId="0">
      <selection activeCell="B42" sqref="B42"/>
    </sheetView>
  </sheetViews>
  <sheetFormatPr defaultRowHeight="15" x14ac:dyDescent="0.25"/>
  <cols>
    <col min="2" max="2" width="18.7109375" customWidth="1"/>
    <col min="3" max="3" width="15" customWidth="1"/>
    <col min="4" max="4" width="15.28515625" bestFit="1" customWidth="1"/>
    <col min="5" max="5" width="3.5703125" customWidth="1"/>
    <col min="6" max="6" width="18.7109375" customWidth="1"/>
    <col min="7" max="7" width="15" customWidth="1"/>
    <col min="8" max="8" width="15.28515625" bestFit="1" customWidth="1"/>
  </cols>
  <sheetData>
    <row r="1" spans="2:8" ht="18.75" customHeight="1" x14ac:dyDescent="0.25">
      <c r="B1" s="113" t="s">
        <v>56</v>
      </c>
      <c r="C1" s="113"/>
      <c r="D1" s="113"/>
      <c r="F1" s="113" t="s">
        <v>56</v>
      </c>
      <c r="G1" s="113"/>
      <c r="H1" s="113"/>
    </row>
    <row r="2" spans="2:8" ht="15" customHeight="1" x14ac:dyDescent="0.25">
      <c r="B2" s="113"/>
      <c r="C2" s="113"/>
      <c r="D2" s="113"/>
      <c r="F2" s="113"/>
      <c r="G2" s="113"/>
      <c r="H2" s="113"/>
    </row>
    <row r="3" spans="2:8" ht="15" customHeight="1" x14ac:dyDescent="0.25">
      <c r="B3" s="113" t="s">
        <v>60</v>
      </c>
      <c r="C3" s="113"/>
      <c r="D3" s="113"/>
      <c r="F3" s="113" t="s">
        <v>60</v>
      </c>
      <c r="G3" s="113"/>
      <c r="H3" s="113"/>
    </row>
    <row r="4" spans="2:8" x14ac:dyDescent="0.25">
      <c r="B4" s="4" t="s">
        <v>61</v>
      </c>
      <c r="C4" s="4"/>
      <c r="D4" s="4" t="s">
        <v>40</v>
      </c>
      <c r="F4" s="4" t="s">
        <v>61</v>
      </c>
      <c r="G4" s="4"/>
      <c r="H4" s="4" t="s">
        <v>40</v>
      </c>
    </row>
    <row r="5" spans="2:8" x14ac:dyDescent="0.25">
      <c r="B5" s="4" t="s">
        <v>62</v>
      </c>
      <c r="C5" s="4"/>
      <c r="D5" s="4" t="s">
        <v>41</v>
      </c>
      <c r="F5" s="4" t="s">
        <v>62</v>
      </c>
      <c r="G5" s="4"/>
      <c r="H5" s="4" t="s">
        <v>41</v>
      </c>
    </row>
    <row r="6" spans="2:8" x14ac:dyDescent="0.25">
      <c r="B6" s="4" t="s">
        <v>63</v>
      </c>
      <c r="C6" s="4"/>
      <c r="D6" s="4" t="s">
        <v>44</v>
      </c>
      <c r="F6" s="4" t="s">
        <v>63</v>
      </c>
      <c r="G6" s="4"/>
      <c r="H6" s="4" t="s">
        <v>44</v>
      </c>
    </row>
    <row r="7" spans="2:8" x14ac:dyDescent="0.25">
      <c r="B7" s="4" t="s">
        <v>64</v>
      </c>
      <c r="C7" s="4"/>
      <c r="D7" s="4" t="s">
        <v>42</v>
      </c>
      <c r="F7" s="4" t="s">
        <v>64</v>
      </c>
      <c r="G7" s="4"/>
      <c r="H7" s="4" t="s">
        <v>42</v>
      </c>
    </row>
    <row r="8" spans="2:8" x14ac:dyDescent="0.25">
      <c r="B8" s="4" t="s">
        <v>65</v>
      </c>
      <c r="C8" s="4"/>
      <c r="D8" s="4" t="s">
        <v>43</v>
      </c>
      <c r="F8" s="4" t="s">
        <v>65</v>
      </c>
      <c r="G8" s="4"/>
      <c r="H8" s="4" t="s">
        <v>43</v>
      </c>
    </row>
    <row r="9" spans="2:8" x14ac:dyDescent="0.25">
      <c r="B9" s="4" t="s">
        <v>66</v>
      </c>
      <c r="C9" s="4"/>
      <c r="D9" s="4" t="s">
        <v>45</v>
      </c>
      <c r="F9" s="4" t="s">
        <v>66</v>
      </c>
      <c r="G9" s="4"/>
      <c r="H9" s="4" t="s">
        <v>45</v>
      </c>
    </row>
    <row r="10" spans="2:8" x14ac:dyDescent="0.25">
      <c r="B10" s="4" t="s">
        <v>67</v>
      </c>
      <c r="C10" s="4"/>
      <c r="D10" s="4" t="s">
        <v>46</v>
      </c>
      <c r="F10" s="4" t="s">
        <v>67</v>
      </c>
      <c r="G10" s="4"/>
      <c r="H10" s="4" t="s">
        <v>46</v>
      </c>
    </row>
    <row r="11" spans="2:8" x14ac:dyDescent="0.25">
      <c r="B11" s="4" t="s">
        <v>68</v>
      </c>
      <c r="C11" s="4"/>
      <c r="D11" s="4" t="s">
        <v>47</v>
      </c>
      <c r="F11" s="4" t="s">
        <v>68</v>
      </c>
      <c r="G11" s="4"/>
      <c r="H11" s="4" t="s">
        <v>47</v>
      </c>
    </row>
    <row r="12" spans="2:8" x14ac:dyDescent="0.25">
      <c r="B12" s="4" t="s">
        <v>69</v>
      </c>
      <c r="C12" s="4"/>
      <c r="D12" s="4" t="s">
        <v>48</v>
      </c>
      <c r="F12" s="4" t="s">
        <v>69</v>
      </c>
      <c r="G12" s="4"/>
      <c r="H12" s="4" t="s">
        <v>48</v>
      </c>
    </row>
    <row r="13" spans="2:8" x14ac:dyDescent="0.25">
      <c r="B13" s="4" t="s">
        <v>70</v>
      </c>
      <c r="C13" s="4"/>
      <c r="D13" s="4" t="s">
        <v>49</v>
      </c>
      <c r="F13" s="4" t="s">
        <v>70</v>
      </c>
      <c r="G13" s="4"/>
      <c r="H13" s="4" t="s">
        <v>49</v>
      </c>
    </row>
    <row r="14" spans="2:8" x14ac:dyDescent="0.25">
      <c r="B14" s="4" t="s">
        <v>71</v>
      </c>
      <c r="C14" s="4"/>
      <c r="D14" s="4" t="s">
        <v>58</v>
      </c>
      <c r="F14" s="4" t="s">
        <v>71</v>
      </c>
      <c r="G14" s="4"/>
      <c r="H14" s="4" t="s">
        <v>58</v>
      </c>
    </row>
    <row r="15" spans="2:8" x14ac:dyDescent="0.25">
      <c r="B15" s="4" t="s">
        <v>72</v>
      </c>
      <c r="C15" s="4"/>
      <c r="D15" s="4" t="s">
        <v>57</v>
      </c>
      <c r="F15" s="4" t="s">
        <v>72</v>
      </c>
      <c r="G15" s="4"/>
      <c r="H15" s="4" t="s">
        <v>57</v>
      </c>
    </row>
    <row r="16" spans="2:8" x14ac:dyDescent="0.25">
      <c r="B16" s="110"/>
      <c r="C16" s="111"/>
      <c r="D16" s="112"/>
      <c r="F16" s="110"/>
      <c r="G16" s="111"/>
      <c r="H16" s="112"/>
    </row>
    <row r="17" spans="2:8" x14ac:dyDescent="0.25">
      <c r="B17" s="4" t="s">
        <v>73</v>
      </c>
      <c r="C17" s="4"/>
      <c r="D17" s="4" t="s">
        <v>50</v>
      </c>
      <c r="F17" s="4" t="s">
        <v>73</v>
      </c>
      <c r="G17" s="4"/>
      <c r="H17" s="4" t="s">
        <v>50</v>
      </c>
    </row>
    <row r="18" spans="2:8" x14ac:dyDescent="0.25">
      <c r="B18" s="114"/>
      <c r="C18" s="115"/>
      <c r="D18" s="116"/>
      <c r="F18" s="114"/>
      <c r="G18" s="115"/>
      <c r="H18" s="116"/>
    </row>
    <row r="19" spans="2:8" x14ac:dyDescent="0.25">
      <c r="B19" s="9" t="s">
        <v>74</v>
      </c>
      <c r="C19" s="117" t="s">
        <v>51</v>
      </c>
      <c r="D19" s="118"/>
      <c r="F19" s="9" t="s">
        <v>74</v>
      </c>
      <c r="G19" s="117" t="s">
        <v>51</v>
      </c>
      <c r="H19" s="118"/>
    </row>
    <row r="20" spans="2:8" x14ac:dyDescent="0.25">
      <c r="B20" s="119"/>
      <c r="C20" s="120"/>
      <c r="D20" s="121"/>
      <c r="F20" s="119"/>
      <c r="G20" s="120"/>
      <c r="H20" s="121"/>
    </row>
    <row r="21" spans="2:8" x14ac:dyDescent="0.25">
      <c r="B21" s="110"/>
      <c r="C21" s="111"/>
      <c r="D21" s="112"/>
      <c r="F21" s="110"/>
      <c r="G21" s="111"/>
      <c r="H21" s="112"/>
    </row>
    <row r="22" spans="2:8" x14ac:dyDescent="0.25">
      <c r="B22" s="110"/>
      <c r="C22" s="111"/>
      <c r="D22" s="112"/>
      <c r="F22" s="110"/>
      <c r="G22" s="111"/>
      <c r="H22" s="112"/>
    </row>
    <row r="23" spans="2:8" x14ac:dyDescent="0.25">
      <c r="B23" s="4" t="s">
        <v>75</v>
      </c>
      <c r="C23" s="4"/>
      <c r="D23" s="4" t="s">
        <v>52</v>
      </c>
      <c r="F23" s="4" t="s">
        <v>75</v>
      </c>
      <c r="G23" s="4"/>
      <c r="H23" s="4" t="s">
        <v>52</v>
      </c>
    </row>
    <row r="24" spans="2:8" x14ac:dyDescent="0.25">
      <c r="B24" s="4" t="s">
        <v>76</v>
      </c>
      <c r="C24" s="4"/>
      <c r="D24" s="4" t="s">
        <v>53</v>
      </c>
      <c r="F24" s="4" t="s">
        <v>76</v>
      </c>
      <c r="G24" s="4"/>
      <c r="H24" s="4" t="s">
        <v>53</v>
      </c>
    </row>
    <row r="25" spans="2:8" x14ac:dyDescent="0.25">
      <c r="B25" s="4" t="s">
        <v>77</v>
      </c>
      <c r="C25" s="4"/>
      <c r="D25" s="4" t="s">
        <v>54</v>
      </c>
      <c r="F25" s="4" t="s">
        <v>77</v>
      </c>
      <c r="G25" s="4"/>
      <c r="H25" s="4" t="s">
        <v>54</v>
      </c>
    </row>
    <row r="26" spans="2:8" x14ac:dyDescent="0.25">
      <c r="B26" s="110"/>
      <c r="C26" s="111"/>
      <c r="D26" s="112"/>
      <c r="F26" s="110"/>
      <c r="G26" s="111"/>
      <c r="H26" s="112"/>
    </row>
    <row r="27" spans="2:8" x14ac:dyDescent="0.25">
      <c r="B27" s="9" t="s">
        <v>126</v>
      </c>
      <c r="C27" s="117" t="s">
        <v>127</v>
      </c>
      <c r="D27" s="118"/>
      <c r="F27" s="9" t="s">
        <v>126</v>
      </c>
      <c r="G27" s="117" t="s">
        <v>128</v>
      </c>
      <c r="H27" s="118"/>
    </row>
    <row r="28" spans="2:8" x14ac:dyDescent="0.25">
      <c r="B28" s="119"/>
      <c r="C28" s="120"/>
      <c r="D28" s="121"/>
      <c r="F28" s="119"/>
      <c r="G28" s="120"/>
      <c r="H28" s="121"/>
    </row>
    <row r="29" spans="2:8" x14ac:dyDescent="0.25">
      <c r="B29" s="110"/>
      <c r="C29" s="111"/>
      <c r="D29" s="112"/>
      <c r="F29" s="110"/>
      <c r="G29" s="111"/>
      <c r="H29" s="112"/>
    </row>
    <row r="30" spans="2:8" x14ac:dyDescent="0.25">
      <c r="B30" s="110"/>
      <c r="C30" s="111"/>
      <c r="D30" s="112"/>
      <c r="F30" s="110"/>
      <c r="G30" s="111"/>
      <c r="H30" s="112"/>
    </row>
    <row r="31" spans="2:8" x14ac:dyDescent="0.25">
      <c r="B31" s="4" t="s">
        <v>78</v>
      </c>
      <c r="C31" s="4"/>
      <c r="D31" s="4" t="s">
        <v>55</v>
      </c>
      <c r="F31" s="4" t="s">
        <v>78</v>
      </c>
      <c r="G31" s="4"/>
      <c r="H31" s="4" t="s">
        <v>55</v>
      </c>
    </row>
    <row r="32" spans="2:8" x14ac:dyDescent="0.25">
      <c r="B32" s="110"/>
      <c r="C32" s="111"/>
      <c r="D32" s="112"/>
      <c r="F32" s="110"/>
      <c r="G32" s="111"/>
      <c r="H32" s="112"/>
    </row>
  </sheetData>
  <mergeCells count="28">
    <mergeCell ref="C19:D19"/>
    <mergeCell ref="B3:D3"/>
    <mergeCell ref="B1:D2"/>
    <mergeCell ref="B16:D16"/>
    <mergeCell ref="B18:D18"/>
    <mergeCell ref="B20:D20"/>
    <mergeCell ref="B21:D21"/>
    <mergeCell ref="B22:D22"/>
    <mergeCell ref="B32:D32"/>
    <mergeCell ref="B26:D26"/>
    <mergeCell ref="C27:D27"/>
    <mergeCell ref="B28:D28"/>
    <mergeCell ref="B29:D29"/>
    <mergeCell ref="B30:D30"/>
    <mergeCell ref="F32:H32"/>
    <mergeCell ref="F1:H2"/>
    <mergeCell ref="F3:H3"/>
    <mergeCell ref="F16:H16"/>
    <mergeCell ref="F18:H18"/>
    <mergeCell ref="G19:H19"/>
    <mergeCell ref="F20:H20"/>
    <mergeCell ref="F21:H21"/>
    <mergeCell ref="F22:H22"/>
    <mergeCell ref="F26:H26"/>
    <mergeCell ref="G27:H27"/>
    <mergeCell ref="F28:H28"/>
    <mergeCell ref="F29:H29"/>
    <mergeCell ref="F30:H30"/>
  </mergeCells>
  <printOptions horizontalCentered="1" verticalCentered="1"/>
  <pageMargins left="3.937007874015748E-2" right="3.937007874015748E-2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zoomScale="130" zoomScaleNormal="130" zoomScaleSheetLayoutView="150" workbookViewId="0">
      <selection activeCell="A4" sqref="A4"/>
    </sheetView>
  </sheetViews>
  <sheetFormatPr defaultRowHeight="15" x14ac:dyDescent="0.25"/>
  <cols>
    <col min="1" max="1" width="17.140625" style="28" customWidth="1"/>
    <col min="2" max="2" width="10.5703125" style="28" bestFit="1" customWidth="1"/>
    <col min="3" max="3" width="9.140625" style="28"/>
    <col min="4" max="4" width="14.28515625" style="33" bestFit="1" customWidth="1"/>
    <col min="5" max="5" width="9.140625" style="28"/>
    <col min="6" max="6" width="35.28515625" style="28" bestFit="1" customWidth="1"/>
    <col min="7" max="7" width="9.140625" style="28"/>
    <col min="8" max="8" width="18.5703125" style="28" customWidth="1"/>
    <col min="9" max="16384" width="9.140625" style="28"/>
  </cols>
  <sheetData>
    <row r="1" spans="1:6" x14ac:dyDescent="0.25">
      <c r="A1" s="122" t="s">
        <v>32</v>
      </c>
      <c r="B1" s="122"/>
      <c r="C1" s="122" t="s">
        <v>109</v>
      </c>
      <c r="D1" s="122"/>
      <c r="E1" s="125" t="s">
        <v>111</v>
      </c>
      <c r="F1" s="123" t="s">
        <v>107</v>
      </c>
    </row>
    <row r="2" spans="1:6" x14ac:dyDescent="0.25">
      <c r="A2" s="29" t="s">
        <v>110</v>
      </c>
      <c r="B2" s="29" t="s">
        <v>108</v>
      </c>
      <c r="C2" s="29" t="s">
        <v>110</v>
      </c>
      <c r="D2" s="32" t="s">
        <v>108</v>
      </c>
      <c r="E2" s="126"/>
      <c r="F2" s="124"/>
    </row>
    <row r="3" spans="1:6" ht="15.75" thickBot="1" x14ac:dyDescent="0.3">
      <c r="A3" s="29">
        <v>11.5</v>
      </c>
      <c r="B3" s="29">
        <f>53500/37.324</f>
        <v>1433.3940628014147</v>
      </c>
      <c r="C3" s="29">
        <f>100-A3-1-3+3</f>
        <v>87.5</v>
      </c>
      <c r="D3" s="43">
        <v>95.5</v>
      </c>
      <c r="E3" s="30">
        <v>10</v>
      </c>
      <c r="F3" s="31">
        <f>((B3*A3%)+(D3*C3%)+E3)</f>
        <v>258.4028172221627</v>
      </c>
    </row>
    <row r="5" spans="1:6" ht="226.5" customHeight="1" x14ac:dyDescent="0.25"/>
    <row r="6" spans="1:6" x14ac:dyDescent="0.25">
      <c r="A6" s="29"/>
      <c r="B6" s="35" t="s">
        <v>112</v>
      </c>
      <c r="C6" s="35" t="s">
        <v>113</v>
      </c>
      <c r="D6" s="36" t="s">
        <v>114</v>
      </c>
    </row>
    <row r="7" spans="1:6" x14ac:dyDescent="0.25">
      <c r="A7" s="23" t="s">
        <v>82</v>
      </c>
      <c r="B7" s="29">
        <f>82325-2710+2000</f>
        <v>81615</v>
      </c>
      <c r="C7" s="29">
        <v>72</v>
      </c>
      <c r="D7" s="32">
        <f>B7*C7</f>
        <v>5876280</v>
      </c>
    </row>
    <row r="8" spans="1:6" x14ac:dyDescent="0.25">
      <c r="A8" s="23" t="s">
        <v>83</v>
      </c>
      <c r="B8" s="29">
        <v>16305</v>
      </c>
      <c r="C8" s="29">
        <v>74</v>
      </c>
      <c r="D8" s="32">
        <f t="shared" ref="D8:D35" si="0">B8*C8</f>
        <v>1206570</v>
      </c>
      <c r="F8" s="28" t="s">
        <v>118</v>
      </c>
    </row>
    <row r="9" spans="1:6" x14ac:dyDescent="0.25">
      <c r="A9" s="23" t="s">
        <v>84</v>
      </c>
      <c r="B9" s="29">
        <f>11557.9-400</f>
        <v>11157.9</v>
      </c>
      <c r="C9" s="29">
        <v>900</v>
      </c>
      <c r="D9" s="32">
        <f t="shared" si="0"/>
        <v>10042110</v>
      </c>
      <c r="F9" s="28" t="s">
        <v>119</v>
      </c>
    </row>
    <row r="10" spans="1:6" x14ac:dyDescent="0.25">
      <c r="A10" s="23" t="s">
        <v>85</v>
      </c>
      <c r="B10" s="29">
        <v>250</v>
      </c>
      <c r="C10" s="29">
        <v>800</v>
      </c>
      <c r="D10" s="32">
        <f t="shared" si="0"/>
        <v>200000</v>
      </c>
      <c r="F10" s="28" t="s">
        <v>120</v>
      </c>
    </row>
    <row r="11" spans="1:6" x14ac:dyDescent="0.25">
      <c r="A11" s="23" t="s">
        <v>86</v>
      </c>
      <c r="B11" s="29">
        <v>600</v>
      </c>
      <c r="C11" s="29">
        <v>150</v>
      </c>
      <c r="D11" s="32">
        <f t="shared" si="0"/>
        <v>90000</v>
      </c>
      <c r="F11" s="28" t="s">
        <v>121</v>
      </c>
    </row>
    <row r="12" spans="1:6" x14ac:dyDescent="0.25">
      <c r="A12" s="23" t="s">
        <v>87</v>
      </c>
      <c r="B12" s="29"/>
      <c r="C12" s="29"/>
      <c r="D12" s="32">
        <f t="shared" si="0"/>
        <v>0</v>
      </c>
    </row>
    <row r="13" spans="1:6" x14ac:dyDescent="0.25">
      <c r="A13" s="23" t="s">
        <v>88</v>
      </c>
      <c r="B13" s="29">
        <v>500</v>
      </c>
      <c r="C13" s="29">
        <v>260</v>
      </c>
      <c r="D13" s="32">
        <f t="shared" si="0"/>
        <v>130000</v>
      </c>
      <c r="F13" s="28" t="s">
        <v>125</v>
      </c>
    </row>
    <row r="14" spans="1:6" x14ac:dyDescent="0.25">
      <c r="A14" s="23" t="s">
        <v>89</v>
      </c>
      <c r="B14" s="29">
        <v>400</v>
      </c>
      <c r="C14" s="29">
        <v>605</v>
      </c>
      <c r="D14" s="32">
        <f t="shared" si="0"/>
        <v>242000</v>
      </c>
    </row>
    <row r="15" spans="1:6" x14ac:dyDescent="0.25">
      <c r="A15" s="23" t="s">
        <v>90</v>
      </c>
      <c r="B15" s="29">
        <v>1000</v>
      </c>
      <c r="C15" s="29">
        <v>210</v>
      </c>
      <c r="D15" s="32">
        <f t="shared" si="0"/>
        <v>210000</v>
      </c>
    </row>
    <row r="16" spans="1:6" x14ac:dyDescent="0.25">
      <c r="A16" s="23" t="s">
        <v>91</v>
      </c>
      <c r="B16" s="29">
        <f>8424-380</f>
        <v>8044</v>
      </c>
      <c r="C16" s="29">
        <v>173</v>
      </c>
      <c r="D16" s="32">
        <f t="shared" si="0"/>
        <v>1391612</v>
      </c>
    </row>
    <row r="17" spans="1:6" x14ac:dyDescent="0.25">
      <c r="A17" s="23" t="s">
        <v>92</v>
      </c>
      <c r="B17" s="29">
        <v>940</v>
      </c>
      <c r="C17" s="29">
        <v>165</v>
      </c>
      <c r="D17" s="32">
        <f t="shared" si="0"/>
        <v>155100</v>
      </c>
    </row>
    <row r="18" spans="1:6" x14ac:dyDescent="0.25">
      <c r="A18" s="23" t="s">
        <v>93</v>
      </c>
      <c r="B18" s="29">
        <v>600</v>
      </c>
      <c r="C18" s="29">
        <v>230</v>
      </c>
      <c r="D18" s="32">
        <f t="shared" si="0"/>
        <v>138000</v>
      </c>
    </row>
    <row r="19" spans="1:6" x14ac:dyDescent="0.25">
      <c r="A19" s="23" t="s">
        <v>94</v>
      </c>
      <c r="B19" s="29">
        <v>550</v>
      </c>
      <c r="C19" s="29">
        <v>170</v>
      </c>
      <c r="D19" s="32">
        <f t="shared" si="0"/>
        <v>93500</v>
      </c>
    </row>
    <row r="20" spans="1:6" x14ac:dyDescent="0.25">
      <c r="A20" s="23" t="s">
        <v>95</v>
      </c>
      <c r="B20" s="29">
        <v>1000</v>
      </c>
      <c r="C20" s="29">
        <v>170</v>
      </c>
      <c r="D20" s="32">
        <f t="shared" si="0"/>
        <v>170000</v>
      </c>
      <c r="F20" s="28" t="s">
        <v>124</v>
      </c>
    </row>
    <row r="21" spans="1:6" x14ac:dyDescent="0.25">
      <c r="A21" s="23" t="s">
        <v>96</v>
      </c>
      <c r="B21" s="29">
        <v>200</v>
      </c>
      <c r="C21" s="29">
        <v>300</v>
      </c>
      <c r="D21" s="32">
        <f t="shared" si="0"/>
        <v>60000</v>
      </c>
    </row>
    <row r="22" spans="1:6" x14ac:dyDescent="0.25">
      <c r="A22" s="23" t="s">
        <v>97</v>
      </c>
      <c r="B22" s="29"/>
      <c r="C22" s="29"/>
      <c r="D22" s="32">
        <f t="shared" si="0"/>
        <v>0</v>
      </c>
    </row>
    <row r="23" spans="1:6" x14ac:dyDescent="0.25">
      <c r="A23" s="23" t="s">
        <v>98</v>
      </c>
      <c r="B23" s="29">
        <v>4280</v>
      </c>
      <c r="C23" s="29">
        <v>180</v>
      </c>
      <c r="D23" s="32">
        <f t="shared" si="0"/>
        <v>770400</v>
      </c>
    </row>
    <row r="24" spans="1:6" x14ac:dyDescent="0.25">
      <c r="A24" s="23" t="s">
        <v>99</v>
      </c>
      <c r="B24" s="29"/>
      <c r="C24" s="29"/>
      <c r="D24" s="32">
        <f t="shared" si="0"/>
        <v>0</v>
      </c>
    </row>
    <row r="25" spans="1:6" x14ac:dyDescent="0.25">
      <c r="A25" s="23" t="s">
        <v>100</v>
      </c>
      <c r="B25" s="29"/>
      <c r="C25" s="29"/>
      <c r="D25" s="32">
        <f t="shared" si="0"/>
        <v>0</v>
      </c>
    </row>
    <row r="26" spans="1:6" x14ac:dyDescent="0.25">
      <c r="A26" s="23" t="s">
        <v>101</v>
      </c>
      <c r="B26" s="29"/>
      <c r="C26" s="29"/>
      <c r="D26" s="32">
        <f t="shared" si="0"/>
        <v>0</v>
      </c>
    </row>
    <row r="27" spans="1:6" x14ac:dyDescent="0.25">
      <c r="A27" s="23" t="s">
        <v>102</v>
      </c>
      <c r="B27" s="29"/>
      <c r="C27" s="29"/>
      <c r="D27" s="32">
        <f t="shared" si="0"/>
        <v>0</v>
      </c>
    </row>
    <row r="28" spans="1:6" x14ac:dyDescent="0.25">
      <c r="A28" s="23" t="s">
        <v>103</v>
      </c>
      <c r="B28" s="29"/>
      <c r="C28" s="29"/>
      <c r="D28" s="32">
        <f t="shared" si="0"/>
        <v>0</v>
      </c>
    </row>
    <row r="29" spans="1:6" x14ac:dyDescent="0.25">
      <c r="A29" s="23" t="s">
        <v>104</v>
      </c>
      <c r="B29" s="29">
        <v>2000</v>
      </c>
      <c r="C29" s="29">
        <v>100</v>
      </c>
      <c r="D29" s="32">
        <f t="shared" si="0"/>
        <v>200000</v>
      </c>
    </row>
    <row r="30" spans="1:6" x14ac:dyDescent="0.25">
      <c r="A30" s="23" t="s">
        <v>105</v>
      </c>
      <c r="B30" s="29"/>
      <c r="C30" s="29"/>
      <c r="D30" s="32">
        <f t="shared" si="0"/>
        <v>0</v>
      </c>
    </row>
    <row r="31" spans="1:6" x14ac:dyDescent="0.25">
      <c r="A31" s="23" t="s">
        <v>106</v>
      </c>
      <c r="B31" s="29"/>
      <c r="C31" s="29"/>
      <c r="D31" s="32">
        <f t="shared" si="0"/>
        <v>0</v>
      </c>
    </row>
    <row r="32" spans="1:6" x14ac:dyDescent="0.25">
      <c r="A32" s="23" t="s">
        <v>115</v>
      </c>
      <c r="B32" s="29">
        <v>700</v>
      </c>
      <c r="C32" s="29">
        <v>900</v>
      </c>
      <c r="D32" s="32">
        <f t="shared" si="0"/>
        <v>630000</v>
      </c>
    </row>
    <row r="33" spans="1:4" x14ac:dyDescent="0.25">
      <c r="A33" s="23" t="s">
        <v>116</v>
      </c>
      <c r="B33" s="29">
        <f>3540+367</f>
        <v>3907</v>
      </c>
      <c r="C33" s="29">
        <v>72</v>
      </c>
      <c r="D33" s="32">
        <f t="shared" si="0"/>
        <v>281304</v>
      </c>
    </row>
    <row r="34" spans="1:4" x14ac:dyDescent="0.25">
      <c r="A34" s="23" t="s">
        <v>122</v>
      </c>
      <c r="B34" s="29">
        <v>6000</v>
      </c>
      <c r="C34" s="29">
        <v>0</v>
      </c>
      <c r="D34" s="32">
        <f>B34*C34</f>
        <v>0</v>
      </c>
    </row>
    <row r="35" spans="1:4" x14ac:dyDescent="0.25">
      <c r="A35" s="23" t="s">
        <v>117</v>
      </c>
      <c r="B35" s="29"/>
      <c r="C35" s="29"/>
      <c r="D35" s="32">
        <f t="shared" si="0"/>
        <v>0</v>
      </c>
    </row>
    <row r="36" spans="1:4" ht="18.75" x14ac:dyDescent="0.25">
      <c r="A36" s="29"/>
      <c r="B36" s="34">
        <f>SUM(B7:B35)</f>
        <v>140048.9</v>
      </c>
      <c r="C36" s="34">
        <f>SUM(C7:C35)</f>
        <v>5531</v>
      </c>
      <c r="D36" s="34">
        <f>SUM(D7:D35)</f>
        <v>21886876</v>
      </c>
    </row>
    <row r="37" spans="1:4" x14ac:dyDescent="0.25">
      <c r="B37" s="28" t="s">
        <v>123</v>
      </c>
      <c r="D37" s="33" t="e">
        <f>D36-#REF!</f>
        <v>#REF!</v>
      </c>
    </row>
    <row r="38" spans="1:4" x14ac:dyDescent="0.25">
      <c r="B38" s="33" t="e">
        <f>#REF!-B36</f>
        <v>#REF!</v>
      </c>
    </row>
    <row r="39" spans="1:4" x14ac:dyDescent="0.25">
      <c r="B39" s="28" t="s">
        <v>28</v>
      </c>
    </row>
  </sheetData>
  <mergeCells count="4">
    <mergeCell ref="C1:D1"/>
    <mergeCell ref="A1:B1"/>
    <mergeCell ref="F1:F2"/>
    <mergeCell ref="E1:E2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index</vt:lpstr>
      <vt:lpstr>cash register</vt:lpstr>
      <vt:lpstr>Sheet1</vt:lpstr>
      <vt:lpstr>Material Slip</vt:lpstr>
      <vt:lpstr>parta</vt:lpstr>
      <vt:lpstr>'cash register'!Print_Area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Haseeb Ahmed</cp:lastModifiedBy>
  <cp:lastPrinted>2021-07-13T13:58:45Z</cp:lastPrinted>
  <dcterms:created xsi:type="dcterms:W3CDTF">2019-11-02T03:54:59Z</dcterms:created>
  <dcterms:modified xsi:type="dcterms:W3CDTF">2021-07-28T10:16:02Z</dcterms:modified>
</cp:coreProperties>
</file>