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6"/>
  <workbookPr showObjects="placeholders" codeName="ThisWorkbook" hidePivotFieldList="1"/>
  <mc:AlternateContent xmlns:mc="http://schemas.openxmlformats.org/markup-compatibility/2006">
    <mc:Choice Requires="x15">
      <x15ac:absPath xmlns:x15ac="http://schemas.microsoft.com/office/spreadsheetml/2010/11/ac" url="D:\Quatations Branch Underwriters\Extended 2024 - 02-20\UW\Alliance Finance\"/>
    </mc:Choice>
  </mc:AlternateContent>
  <xr:revisionPtr revIDLastSave="0" documentId="13_ncr:1_{59B79B22-2CF6-4A38-9994-DFA2C601DE7A}" xr6:coauthVersionLast="36" xr6:coauthVersionMax="36" xr10:uidLastSave="{00000000-0000-0000-0000-000000000000}"/>
  <workbookProtection workbookPassword="F6CE" lockStructure="1"/>
  <bookViews>
    <workbookView xWindow="0" yWindow="0" windowWidth="19200" windowHeight="6930" firstSheet="3" activeTab="4" xr2:uid="{00000000-000D-0000-FFFF-FFFF00000000}"/>
  </bookViews>
  <sheets>
    <sheet name="Administration" sheetId="14" state="hidden" r:id="rId1"/>
    <sheet name="Rates" sheetId="10" state="hidden" r:id="rId2"/>
    <sheet name="Calculation" sheetId="16" state="hidden" r:id="rId3"/>
    <sheet name="TW Working" sheetId="17" r:id="rId4"/>
    <sheet name="TW Quote" sheetId="13" r:id="rId5"/>
    <sheet name="Working" sheetId="4" state="hidden" r:id="rId6"/>
    <sheet name="Administration (2)" sheetId="18" state="hidden" r:id="rId7"/>
    <sheet name="Rates (2)" sheetId="19" state="hidden" r:id="rId8"/>
    <sheet name="Calculation (2)" sheetId="20" state="hidden" r:id="rId9"/>
    <sheet name="MC" sheetId="21" state="hidden" r:id="rId10"/>
    <sheet name="MC Working" sheetId="22" state="hidden" r:id="rId11"/>
  </sheets>
  <externalReferences>
    <externalReference r:id="rId12"/>
    <externalReference r:id="rId13"/>
  </externalReferences>
  <definedNames>
    <definedName name="_xlnm._FilterDatabase" localSheetId="0" hidden="1">Administration!$I$7:$I$18</definedName>
    <definedName name="_xlnm._FilterDatabase" localSheetId="6" hidden="1">'Administration (2)'!$I$7:$I$18</definedName>
    <definedName name="_xlnm._FilterDatabase" localSheetId="9" hidden="1">MC!$C$12:$Y$58</definedName>
    <definedName name="_xlnm._FilterDatabase" localSheetId="10" hidden="1">'MC Working'!$M$69:$M$69</definedName>
    <definedName name="_xlnm._FilterDatabase" localSheetId="4" hidden="1">'TW Quote'!$C$12:$Y$58</definedName>
    <definedName name="_xlnm._FilterDatabase" localSheetId="5" hidden="1">Working!$M$69:$M$69</definedName>
    <definedName name="Birthyear">'[1]Data Entry'!$AI$5:$AI$84</definedName>
    <definedName name="Branch">Administration!$O$4:$O$31</definedName>
    <definedName name="Branch2">'[2]Administration (2)'!$O$4:$O$31</definedName>
    <definedName name="BRANCHES">Working!$AK$42:$AK$43</definedName>
    <definedName name="Date">Administration!$Q$4:$Q$34</definedName>
    <definedName name="Date2">'[2]Administration (2)'!$Q$4:$Q$34</definedName>
    <definedName name="Month">Administration!$Q$4:$Q$34</definedName>
    <definedName name="Month1">'[1]Data Entry'!$AK$4:$AK$34</definedName>
    <definedName name="PAB">Working!$AJ$24:$AJ$45</definedName>
    <definedName name="_xlnm.Print_Area" localSheetId="0">Administration!$N$3:$O$31</definedName>
    <definedName name="_xlnm.Print_Area" localSheetId="6">'Administration (2)'!$N$3:$O$31</definedName>
    <definedName name="_xlnm.Print_Area" localSheetId="2">Calculation!$A$1:$M$43</definedName>
    <definedName name="_xlnm.Print_Area" localSheetId="8">'Calculation (2)'!$A$1:$M$43</definedName>
    <definedName name="_xlnm.Print_Area" localSheetId="9">MC!$A$1:$S$60</definedName>
    <definedName name="_xlnm.Print_Area" localSheetId="10">'MC Working'!$D$1:$M$71</definedName>
    <definedName name="_xlnm.Print_Area" localSheetId="1">Rates!$A$1:$P$55</definedName>
    <definedName name="_xlnm.Print_Area" localSheetId="7">'Rates (2)'!$A$1:$P$55</definedName>
    <definedName name="_xlnm.Print_Area" localSheetId="4">'TW Quote'!$A$1:$S$60</definedName>
    <definedName name="_xlnm.Print_Area" localSheetId="5">Working!$D$1:$M$71</definedName>
    <definedName name="usage">Administration!$G$20:$G$24</definedName>
    <definedName name="usages">Working!$AP$6:$AP$10</definedName>
    <definedName name="VEHICLE">Working!$AM$6:$AM$13</definedName>
    <definedName name="vehicles">Administration!$G$7:$G$19</definedName>
    <definedName name="vehicless">'Administration (2)'!$G$7:$G$19</definedName>
    <definedName name="YOM">Working!$AU$8:$AU$84</definedName>
    <definedName name="YOMM">'MC Working'!$AU$8:$AU$84</definedName>
  </definedNames>
  <calcPr calcId="191029"/>
</workbook>
</file>

<file path=xl/calcChain.xml><?xml version="1.0" encoding="utf-8"?>
<calcChain xmlns="http://schemas.openxmlformats.org/spreadsheetml/2006/main">
  <c r="A16" i="17" l="1"/>
  <c r="R7" i="17"/>
  <c r="R8" i="17"/>
  <c r="R10" i="17"/>
  <c r="R11" i="17" s="1"/>
  <c r="R12" i="17" s="1"/>
  <c r="R13" i="17" s="1"/>
  <c r="R14" i="17" s="1"/>
  <c r="R15" i="17" s="1"/>
  <c r="R16" i="17" s="1"/>
  <c r="R17" i="17" s="1"/>
  <c r="R18" i="17" s="1"/>
  <c r="R19" i="17" s="1"/>
  <c r="R20" i="17" s="1"/>
  <c r="F151" i="22"/>
  <c r="F150" i="22"/>
  <c r="F149" i="22"/>
  <c r="F148" i="22"/>
  <c r="F147" i="22"/>
  <c r="F146" i="22"/>
  <c r="F145" i="22"/>
  <c r="F144" i="22"/>
  <c r="F143" i="22"/>
  <c r="F142" i="22"/>
  <c r="F141" i="22"/>
  <c r="F140" i="22"/>
  <c r="F139" i="22"/>
  <c r="F138" i="22"/>
  <c r="F137" i="22"/>
  <c r="F136" i="22"/>
  <c r="F135" i="22"/>
  <c r="F134" i="22"/>
  <c r="F133" i="22"/>
  <c r="F132" i="22"/>
  <c r="F131" i="22"/>
  <c r="F130" i="22"/>
  <c r="F129" i="22"/>
  <c r="F128" i="22"/>
  <c r="F127" i="22"/>
  <c r="F126" i="22"/>
  <c r="F125" i="22"/>
  <c r="F124" i="22"/>
  <c r="F123" i="22"/>
  <c r="F122" i="22"/>
  <c r="F121" i="22"/>
  <c r="F120" i="22"/>
  <c r="F119" i="22"/>
  <c r="F118" i="22"/>
  <c r="F117" i="22"/>
  <c r="F116" i="22"/>
  <c r="F115" i="22"/>
  <c r="F114" i="22"/>
  <c r="F113" i="22"/>
  <c r="F112" i="22"/>
  <c r="D88" i="19" s="1"/>
  <c r="F111" i="22"/>
  <c r="F110" i="22"/>
  <c r="F109" i="22"/>
  <c r="F108" i="22"/>
  <c r="F107" i="22"/>
  <c r="F106" i="22"/>
  <c r="F105" i="22"/>
  <c r="F104" i="22"/>
  <c r="F103" i="22"/>
  <c r="F102" i="22"/>
  <c r="F101" i="22"/>
  <c r="F100" i="22"/>
  <c r="F99" i="22"/>
  <c r="F98" i="22"/>
  <c r="F97" i="22"/>
  <c r="F96" i="22"/>
  <c r="F95" i="22"/>
  <c r="F94" i="22"/>
  <c r="R79" i="22"/>
  <c r="R78" i="22"/>
  <c r="F69" i="22"/>
  <c r="K65" i="22"/>
  <c r="K62" i="22"/>
  <c r="Q61" i="22"/>
  <c r="O59" i="22"/>
  <c r="U40" i="21" s="1"/>
  <c r="M40" i="21" s="1"/>
  <c r="M59" i="22"/>
  <c r="H59" i="22"/>
  <c r="O58" i="22"/>
  <c r="T40" i="21" s="1"/>
  <c r="D40" i="21" s="1"/>
  <c r="M58" i="22"/>
  <c r="H58" i="22"/>
  <c r="B56" i="22"/>
  <c r="I56" i="22" s="1"/>
  <c r="B55" i="22"/>
  <c r="Q55" i="22"/>
  <c r="O54" i="22"/>
  <c r="U41" i="21" s="1"/>
  <c r="P53" i="22"/>
  <c r="O53" i="22"/>
  <c r="Q52" i="22"/>
  <c r="P52" i="22"/>
  <c r="B52" i="22"/>
  <c r="Q51" i="22"/>
  <c r="O51" i="22"/>
  <c r="U39" i="21" s="1"/>
  <c r="O50" i="22"/>
  <c r="H49" i="22"/>
  <c r="O49" i="22" s="1"/>
  <c r="H48" i="22"/>
  <c r="O48" i="22" s="1"/>
  <c r="O47" i="22"/>
  <c r="B46" i="22"/>
  <c r="O46" i="22" s="1"/>
  <c r="R45" i="22"/>
  <c r="O45" i="22"/>
  <c r="Y42" i="21" s="1"/>
  <c r="B45" i="22"/>
  <c r="R44" i="22"/>
  <c r="W43" i="22"/>
  <c r="T43" i="22"/>
  <c r="Q43" i="22"/>
  <c r="W42" i="22"/>
  <c r="T42" i="22"/>
  <c r="Q42" i="22"/>
  <c r="C42" i="22"/>
  <c r="B41" i="22" s="1"/>
  <c r="U36" i="21" s="1"/>
  <c r="K41" i="22"/>
  <c r="H41" i="22"/>
  <c r="B40" i="22"/>
  <c r="Q38" i="22" s="1"/>
  <c r="B39" i="22"/>
  <c r="U33" i="21" s="1"/>
  <c r="H36" i="22"/>
  <c r="C36" i="22"/>
  <c r="E34" i="22"/>
  <c r="W43" i="21" s="1"/>
  <c r="E33" i="22"/>
  <c r="W32" i="22"/>
  <c r="E32" i="22"/>
  <c r="Q31" i="22"/>
  <c r="O31" i="22"/>
  <c r="T30" i="22"/>
  <c r="O30" i="22"/>
  <c r="U43" i="21"/>
  <c r="L26" i="22"/>
  <c r="G26" i="22"/>
  <c r="E26" i="22"/>
  <c r="Y25" i="22"/>
  <c r="H25" i="22"/>
  <c r="C24" i="22"/>
  <c r="Q23" i="22"/>
  <c r="I22" i="22"/>
  <c r="R95" i="22" s="1"/>
  <c r="AM17" i="22"/>
  <c r="Z15" i="22"/>
  <c r="H15" i="22"/>
  <c r="K14" i="22"/>
  <c r="H14" i="22"/>
  <c r="C21" i="22" s="1"/>
  <c r="B21" i="22" s="1"/>
  <c r="H13" i="22"/>
  <c r="V2" i="22" s="1"/>
  <c r="M12" i="22"/>
  <c r="J12" i="22"/>
  <c r="C12" i="22"/>
  <c r="M11" i="22"/>
  <c r="H11" i="22"/>
  <c r="L10" i="22"/>
  <c r="H10" i="22"/>
  <c r="AU9" i="22"/>
  <c r="AU10" i="22" s="1"/>
  <c r="AU11" i="22" s="1"/>
  <c r="AU12" i="22" s="1"/>
  <c r="AU13" i="22" s="1"/>
  <c r="AU14" i="22" s="1"/>
  <c r="AU15" i="22" s="1"/>
  <c r="AU16" i="22" s="1"/>
  <c r="AU17" i="22" s="1"/>
  <c r="AU18" i="22" s="1"/>
  <c r="AU19" i="22" s="1"/>
  <c r="AU20" i="22" s="1"/>
  <c r="AU21" i="22" s="1"/>
  <c r="AU22" i="22" s="1"/>
  <c r="AU23" i="22" s="1"/>
  <c r="AU24" i="22" s="1"/>
  <c r="AU25" i="22" s="1"/>
  <c r="AU26" i="22" s="1"/>
  <c r="AU27" i="22" s="1"/>
  <c r="AU28" i="22" s="1"/>
  <c r="AU29" i="22" s="1"/>
  <c r="AU30" i="22" s="1"/>
  <c r="AU31" i="22" s="1"/>
  <c r="AU32" i="22" s="1"/>
  <c r="AU33" i="22" s="1"/>
  <c r="AU34" i="22" s="1"/>
  <c r="AU35" i="22" s="1"/>
  <c r="AU36" i="22" s="1"/>
  <c r="AU37" i="22" s="1"/>
  <c r="AU38" i="22" s="1"/>
  <c r="AU39" i="22" s="1"/>
  <c r="AU40" i="22" s="1"/>
  <c r="AU41" i="22" s="1"/>
  <c r="AU42" i="22" s="1"/>
  <c r="O8" i="22"/>
  <c r="M8" i="22"/>
  <c r="W2" i="22" s="1"/>
  <c r="L8" i="22"/>
  <c r="W7" i="22"/>
  <c r="U7" i="22"/>
  <c r="T7" i="22"/>
  <c r="H7" i="22"/>
  <c r="P6" i="22"/>
  <c r="L6" i="22"/>
  <c r="N5" i="22"/>
  <c r="N4" i="22"/>
  <c r="O3" i="22"/>
  <c r="N3" i="22"/>
  <c r="D3" i="22"/>
  <c r="L3" i="22" s="1"/>
  <c r="AA2" i="22"/>
  <c r="X2" i="22"/>
  <c r="S2" i="22"/>
  <c r="R2" i="22"/>
  <c r="N2" i="22"/>
  <c r="I100" i="21"/>
  <c r="V55" i="21"/>
  <c r="C47" i="21"/>
  <c r="B45" i="21"/>
  <c r="U42" i="21"/>
  <c r="M39" i="21"/>
  <c r="U38" i="21"/>
  <c r="I37" i="21"/>
  <c r="M36" i="21"/>
  <c r="I36" i="21"/>
  <c r="U34" i="21"/>
  <c r="D30" i="21"/>
  <c r="Q24" i="21"/>
  <c r="L24" i="21"/>
  <c r="L23" i="21"/>
  <c r="L22" i="21"/>
  <c r="C17" i="21"/>
  <c r="I16" i="21"/>
  <c r="F16" i="21"/>
  <c r="T13" i="21"/>
  <c r="D3" i="19" s="1"/>
  <c r="B13" i="21"/>
  <c r="M15" i="22"/>
  <c r="V12" i="21"/>
  <c r="AB4" i="21"/>
  <c r="AA4" i="21"/>
  <c r="P4" i="21"/>
  <c r="L19" i="20"/>
  <c r="X11" i="20"/>
  <c r="Q6" i="20"/>
  <c r="P6" i="20"/>
  <c r="O6" i="20" s="1"/>
  <c r="V5" i="20"/>
  <c r="U5" i="20"/>
  <c r="I5" i="20"/>
  <c r="V4" i="20"/>
  <c r="U4" i="20"/>
  <c r="Q3" i="20"/>
  <c r="P3" i="20"/>
  <c r="O3" i="20" s="1"/>
  <c r="W2" i="20"/>
  <c r="I3" i="20"/>
  <c r="O4" i="20" s="1"/>
  <c r="V2" i="20"/>
  <c r="J3" i="20" s="1"/>
  <c r="U2" i="20"/>
  <c r="K3" i="20"/>
  <c r="T2" i="20" s="1"/>
  <c r="S2" i="20"/>
  <c r="S3" i="20" s="1"/>
  <c r="K4" i="22" s="1"/>
  <c r="F92" i="19"/>
  <c r="D92" i="19"/>
  <c r="B52" i="19"/>
  <c r="E29" i="19"/>
  <c r="I21" i="19"/>
  <c r="I22" i="19" s="1"/>
  <c r="G20" i="19"/>
  <c r="K64" i="22" s="1"/>
  <c r="M18" i="19"/>
  <c r="M17" i="19"/>
  <c r="I12" i="19"/>
  <c r="I13" i="19" s="1"/>
  <c r="I14" i="19" s="1"/>
  <c r="I15" i="19" s="1"/>
  <c r="I16" i="19" s="1"/>
  <c r="D10" i="19"/>
  <c r="I5" i="19"/>
  <c r="I7" i="19" s="1"/>
  <c r="A4" i="19"/>
  <c r="A5" i="19" s="1"/>
  <c r="A6" i="19" s="1"/>
  <c r="A7" i="19" s="1"/>
  <c r="A8" i="19"/>
  <c r="A9" i="19" s="1"/>
  <c r="A10" i="19" s="1"/>
  <c r="A11" i="19" s="1"/>
  <c r="A12" i="19" s="1"/>
  <c r="A13" i="19" s="1"/>
  <c r="A14" i="19" s="1"/>
  <c r="A15" i="19" s="1"/>
  <c r="A16" i="19"/>
  <c r="B1" i="19"/>
  <c r="A1" i="19" s="1"/>
  <c r="A32" i="18"/>
  <c r="G24" i="18"/>
  <c r="G23" i="18"/>
  <c r="G22" i="18"/>
  <c r="G21" i="18"/>
  <c r="G20" i="18"/>
  <c r="I20" i="18" s="1"/>
  <c r="H17" i="18"/>
  <c r="G17" i="18"/>
  <c r="AM16" i="22" s="1"/>
  <c r="H16" i="18"/>
  <c r="G16" i="18"/>
  <c r="AM15" i="22" s="1"/>
  <c r="H15" i="18"/>
  <c r="G15" i="18"/>
  <c r="AM13" i="22" s="1"/>
  <c r="H14" i="18"/>
  <c r="G14" i="18"/>
  <c r="AM12" i="22"/>
  <c r="H13" i="18"/>
  <c r="G13" i="18"/>
  <c r="AM14" i="22" s="1"/>
  <c r="H12" i="18"/>
  <c r="G12" i="18"/>
  <c r="AM11" i="22" s="1"/>
  <c r="H11" i="18"/>
  <c r="G11" i="18"/>
  <c r="AM10" i="22"/>
  <c r="H10" i="18"/>
  <c r="G10" i="18"/>
  <c r="AM9" i="22"/>
  <c r="H9" i="18"/>
  <c r="G9" i="18"/>
  <c r="AM8" i="22" s="1"/>
  <c r="H8" i="18"/>
  <c r="G8" i="18"/>
  <c r="AM7" i="22" s="1"/>
  <c r="H7" i="18"/>
  <c r="I7" i="18" s="1"/>
  <c r="G7" i="18"/>
  <c r="AM6" i="22" s="1"/>
  <c r="Q5" i="18"/>
  <c r="Q6" i="18"/>
  <c r="Q7" i="18" s="1"/>
  <c r="Q8" i="18" s="1"/>
  <c r="Q9" i="18" s="1"/>
  <c r="Q10" i="18" s="1"/>
  <c r="Q11" i="18" s="1"/>
  <c r="Q12" i="18" s="1"/>
  <c r="Q13" i="18" s="1"/>
  <c r="Q14" i="18" s="1"/>
  <c r="Q15" i="18" s="1"/>
  <c r="Q16" i="18" s="1"/>
  <c r="Q17" i="18" s="1"/>
  <c r="Q18" i="18" s="1"/>
  <c r="Q19" i="18" s="1"/>
  <c r="Q20" i="18" s="1"/>
  <c r="Q21" i="18" s="1"/>
  <c r="Q22" i="18" s="1"/>
  <c r="Q23" i="18" s="1"/>
  <c r="Q24" i="18" s="1"/>
  <c r="Q25" i="18" s="1"/>
  <c r="Q26" i="18" s="1"/>
  <c r="Q27" i="18" s="1"/>
  <c r="Q28" i="18" s="1"/>
  <c r="Q29" i="18" s="1"/>
  <c r="Q30" i="18" s="1"/>
  <c r="Q31" i="18" s="1"/>
  <c r="K5" i="18"/>
  <c r="J5" i="18" s="1"/>
  <c r="I5" i="18" s="1"/>
  <c r="H5" i="18"/>
  <c r="C5" i="18" s="1"/>
  <c r="H3" i="18"/>
  <c r="G3" i="18"/>
  <c r="L25" i="21"/>
  <c r="O16" i="22"/>
  <c r="I14" i="22"/>
  <c r="U30" i="22"/>
  <c r="O39" i="22"/>
  <c r="H12" i="17"/>
  <c r="IR8" i="14"/>
  <c r="C4" i="17"/>
  <c r="T21" i="13"/>
  <c r="T22" i="13"/>
  <c r="H15" i="17"/>
  <c r="L45" i="13"/>
  <c r="H25" i="4"/>
  <c r="M25" i="4" s="1"/>
  <c r="H6" i="17" s="1"/>
  <c r="K26" i="4"/>
  <c r="H29" i="4"/>
  <c r="H48" i="4"/>
  <c r="O48" i="4" s="1"/>
  <c r="M12" i="4"/>
  <c r="I36" i="13"/>
  <c r="I37" i="13"/>
  <c r="T13" i="13"/>
  <c r="B13" i="13"/>
  <c r="D3" i="10" s="1"/>
  <c r="M15" i="4"/>
  <c r="I100" i="13"/>
  <c r="H49" i="4"/>
  <c r="L6" i="4"/>
  <c r="H7" i="4"/>
  <c r="L10" i="4"/>
  <c r="H10" i="4"/>
  <c r="H13" i="4"/>
  <c r="V2" i="4"/>
  <c r="H11" i="4"/>
  <c r="O16" i="4" s="1"/>
  <c r="K14" i="4"/>
  <c r="H14" i="4"/>
  <c r="C9" i="13"/>
  <c r="H36" i="4"/>
  <c r="G36" i="4" s="1"/>
  <c r="U1" i="4" s="1"/>
  <c r="C42" i="4"/>
  <c r="H15" i="4"/>
  <c r="L7" i="4" s="1"/>
  <c r="J12" i="4"/>
  <c r="E34" i="4"/>
  <c r="W43" i="13" s="1"/>
  <c r="O45" i="4"/>
  <c r="Y42" i="13" s="1"/>
  <c r="B45" i="4"/>
  <c r="B46" i="4"/>
  <c r="C1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D87" i="10" s="1"/>
  <c r="F113" i="4"/>
  <c r="F112" i="4"/>
  <c r="F111" i="4"/>
  <c r="F110" i="4"/>
  <c r="F109" i="4"/>
  <c r="F108" i="4"/>
  <c r="F107" i="4"/>
  <c r="F106" i="4"/>
  <c r="F105" i="4"/>
  <c r="F104" i="4"/>
  <c r="F103" i="4"/>
  <c r="F102" i="4"/>
  <c r="F101" i="4"/>
  <c r="F100" i="4"/>
  <c r="F99" i="4"/>
  <c r="F87" i="10"/>
  <c r="F98" i="4"/>
  <c r="F97" i="4"/>
  <c r="F96" i="4"/>
  <c r="F95" i="4"/>
  <c r="F94" i="4"/>
  <c r="F92" i="10"/>
  <c r="D92" i="10"/>
  <c r="P6" i="4"/>
  <c r="N5" i="4"/>
  <c r="AB4" i="13"/>
  <c r="P4" i="13"/>
  <c r="AA4" i="13"/>
  <c r="V12" i="13"/>
  <c r="I16" i="13"/>
  <c r="C17" i="13"/>
  <c r="L22" i="13"/>
  <c r="L23" i="13"/>
  <c r="B45" i="13"/>
  <c r="V55" i="13"/>
  <c r="N2" i="4"/>
  <c r="R2" i="4"/>
  <c r="X2" i="4"/>
  <c r="AA2" i="4"/>
  <c r="D3" i="4"/>
  <c r="F4" i="4" s="1"/>
  <c r="O3" i="4"/>
  <c r="N4" i="4"/>
  <c r="T7" i="4"/>
  <c r="U7" i="4"/>
  <c r="W7" i="4"/>
  <c r="L8" i="4"/>
  <c r="O8" i="4"/>
  <c r="AU9" i="4"/>
  <c r="AU10" i="4" s="1"/>
  <c r="AU11" i="4" s="1"/>
  <c r="AU12" i="4" s="1"/>
  <c r="AU13" i="4" s="1"/>
  <c r="AU14" i="4" s="1"/>
  <c r="AU15" i="4" s="1"/>
  <c r="AU16" i="4" s="1"/>
  <c r="AU17" i="4" s="1"/>
  <c r="AU18" i="4" s="1"/>
  <c r="AU19" i="4" s="1"/>
  <c r="AU20" i="4" s="1"/>
  <c r="AU21" i="4" s="1"/>
  <c r="AU22" i="4" s="1"/>
  <c r="AU23" i="4" s="1"/>
  <c r="AU24" i="4" s="1"/>
  <c r="AU25" i="4" s="1"/>
  <c r="AU26" i="4" s="1"/>
  <c r="AU27" i="4" s="1"/>
  <c r="AU28" i="4" s="1"/>
  <c r="AU29" i="4" s="1"/>
  <c r="AU30" i="4" s="1"/>
  <c r="AU31" i="4" s="1"/>
  <c r="AU32" i="4" s="1"/>
  <c r="AU33" i="4" s="1"/>
  <c r="AU34" i="4" s="1"/>
  <c r="AU35" i="4" s="1"/>
  <c r="AU36" i="4" s="1"/>
  <c r="AU37" i="4" s="1"/>
  <c r="AU38" i="4" s="1"/>
  <c r="AU39" i="4" s="1"/>
  <c r="AU40" i="4" s="1"/>
  <c r="AU41" i="4" s="1"/>
  <c r="AU42" i="4" s="1"/>
  <c r="M11" i="4"/>
  <c r="Z15" i="4"/>
  <c r="AM17" i="4"/>
  <c r="I22" i="4"/>
  <c r="C24" i="4"/>
  <c r="Y25" i="4"/>
  <c r="E26" i="4"/>
  <c r="G26" i="4"/>
  <c r="L26" i="4"/>
  <c r="O30" i="4"/>
  <c r="I33" i="4" s="1"/>
  <c r="U43" i="13"/>
  <c r="T30" i="4"/>
  <c r="O31" i="4"/>
  <c r="H33" i="4" s="1"/>
  <c r="Q31" i="4"/>
  <c r="E32" i="4"/>
  <c r="U32" i="4" s="1"/>
  <c r="W32" i="4"/>
  <c r="E33" i="4"/>
  <c r="C36" i="4"/>
  <c r="B39" i="4"/>
  <c r="U33" i="13" s="1"/>
  <c r="B40" i="4"/>
  <c r="O39" i="4" s="1"/>
  <c r="K41" i="4"/>
  <c r="Q42" i="4"/>
  <c r="T42" i="4"/>
  <c r="W42" i="4"/>
  <c r="Q43" i="4"/>
  <c r="T43" i="4"/>
  <c r="W43" i="4"/>
  <c r="R44" i="4"/>
  <c r="R45" i="4"/>
  <c r="O47" i="4"/>
  <c r="O50" i="4"/>
  <c r="Q50" i="4" s="1"/>
  <c r="O51" i="4"/>
  <c r="U39" i="13" s="1"/>
  <c r="Q51" i="4"/>
  <c r="B52" i="4"/>
  <c r="P52" i="4"/>
  <c r="Q52" i="4"/>
  <c r="O53" i="4"/>
  <c r="P53" i="4"/>
  <c r="O54" i="4"/>
  <c r="U41" i="13" s="1"/>
  <c r="B55" i="4"/>
  <c r="B56" i="4"/>
  <c r="I56" i="4" s="1"/>
  <c r="H58" i="4"/>
  <c r="M58" i="4"/>
  <c r="O58" i="4"/>
  <c r="T40" i="13" s="1"/>
  <c r="D40" i="13" s="1"/>
  <c r="H59" i="4"/>
  <c r="M59" i="4"/>
  <c r="O59" i="4"/>
  <c r="U40" i="13"/>
  <c r="M40" i="13"/>
  <c r="Q61" i="4"/>
  <c r="K62" i="4"/>
  <c r="K65" i="4"/>
  <c r="F69" i="4"/>
  <c r="AW46" i="4" s="1"/>
  <c r="R78" i="4"/>
  <c r="R79" i="4"/>
  <c r="S2" i="16"/>
  <c r="Q13" i="16" s="1"/>
  <c r="U2" i="16"/>
  <c r="K3" i="16" s="1"/>
  <c r="V2" i="16"/>
  <c r="J3" i="16" s="1"/>
  <c r="W2" i="16"/>
  <c r="I3" i="16"/>
  <c r="P3" i="16"/>
  <c r="O3" i="16" s="1"/>
  <c r="U14" i="16" s="1"/>
  <c r="Q3" i="16"/>
  <c r="U4" i="16"/>
  <c r="V4" i="16"/>
  <c r="I5" i="16"/>
  <c r="U5" i="16"/>
  <c r="V5" i="16"/>
  <c r="Q6" i="16"/>
  <c r="P6" i="16" s="1"/>
  <c r="X11" i="16"/>
  <c r="L19" i="16"/>
  <c r="B1" i="10"/>
  <c r="A1" i="10" s="1"/>
  <c r="A4" i="10"/>
  <c r="A5" i="10" s="1"/>
  <c r="A6" i="10" s="1"/>
  <c r="A7" i="10" s="1"/>
  <c r="A8" i="10" s="1"/>
  <c r="A9" i="10" s="1"/>
  <c r="A10" i="10" s="1"/>
  <c r="A11" i="10" s="1"/>
  <c r="A12" i="10" s="1"/>
  <c r="A13" i="10" s="1"/>
  <c r="A14" i="10" s="1"/>
  <c r="A15" i="10" s="1"/>
  <c r="A16" i="10" s="1"/>
  <c r="I5" i="10"/>
  <c r="I7" i="10" s="1"/>
  <c r="D10" i="10"/>
  <c r="I12" i="10"/>
  <c r="I13" i="10" s="1"/>
  <c r="I14" i="10" s="1"/>
  <c r="I15" i="10" s="1"/>
  <c r="I16" i="10" s="1"/>
  <c r="G20" i="10"/>
  <c r="K64" i="4" s="1"/>
  <c r="I21" i="10"/>
  <c r="I22" i="10" s="1"/>
  <c r="Q23" i="4"/>
  <c r="E29" i="10"/>
  <c r="B52" i="10"/>
  <c r="H3" i="14"/>
  <c r="G3" i="14"/>
  <c r="Q34" i="14" s="1"/>
  <c r="K5" i="14"/>
  <c r="J5" i="14" s="1"/>
  <c r="I5" i="14" s="1"/>
  <c r="H5" i="14"/>
  <c r="C5" i="14" s="1"/>
  <c r="Q5" i="14"/>
  <c r="Q6" i="14" s="1"/>
  <c r="Q7" i="14" s="1"/>
  <c r="Q8" i="14" s="1"/>
  <c r="Q9" i="14" s="1"/>
  <c r="Q10" i="14" s="1"/>
  <c r="Q11" i="14" s="1"/>
  <c r="Q12" i="14" s="1"/>
  <c r="Q13" i="14" s="1"/>
  <c r="Q14" i="14" s="1"/>
  <c r="Q15" i="14" s="1"/>
  <c r="Q16" i="14" s="1"/>
  <c r="Q17" i="14" s="1"/>
  <c r="Q18" i="14" s="1"/>
  <c r="Q19" i="14" s="1"/>
  <c r="Q20" i="14" s="1"/>
  <c r="Q21" i="14" s="1"/>
  <c r="Q22" i="14" s="1"/>
  <c r="Q23" i="14" s="1"/>
  <c r="Q24" i="14" s="1"/>
  <c r="Q25" i="14" s="1"/>
  <c r="Q26" i="14" s="1"/>
  <c r="Q27" i="14" s="1"/>
  <c r="Q28" i="14" s="1"/>
  <c r="Q29" i="14" s="1"/>
  <c r="Q30" i="14" s="1"/>
  <c r="Q31" i="14" s="1"/>
  <c r="G7" i="14"/>
  <c r="AM6" i="4" s="1"/>
  <c r="H7" i="14"/>
  <c r="I7" i="14"/>
  <c r="G8" i="14"/>
  <c r="AM7" i="4" s="1"/>
  <c r="H8" i="14"/>
  <c r="G9" i="14"/>
  <c r="AM8" i="4" s="1"/>
  <c r="H9" i="14"/>
  <c r="G10" i="14"/>
  <c r="AM9" i="4" s="1"/>
  <c r="H10" i="14"/>
  <c r="G11" i="14"/>
  <c r="AM10" i="4"/>
  <c r="H11" i="14"/>
  <c r="G12" i="14"/>
  <c r="AM11" i="4" s="1"/>
  <c r="H12" i="14"/>
  <c r="G13" i="14"/>
  <c r="AM14" i="4" s="1"/>
  <c r="H13" i="14"/>
  <c r="G14" i="14"/>
  <c r="AM12" i="4"/>
  <c r="H14" i="14"/>
  <c r="G15" i="14"/>
  <c r="AM13" i="4" s="1"/>
  <c r="H15" i="14"/>
  <c r="G16" i="14"/>
  <c r="AM15" i="4" s="1"/>
  <c r="H16" i="14"/>
  <c r="G17" i="14"/>
  <c r="AM16" i="4" s="1"/>
  <c r="H17" i="14"/>
  <c r="G20" i="14"/>
  <c r="I20" i="14" s="1"/>
  <c r="G21" i="14"/>
  <c r="G22" i="14"/>
  <c r="G23" i="14"/>
  <c r="G24" i="14"/>
  <c r="A32" i="14"/>
  <c r="F16" i="13"/>
  <c r="N3" i="4"/>
  <c r="H41" i="4"/>
  <c r="D30" i="13"/>
  <c r="O44" i="4"/>
  <c r="P38" i="4" s="1"/>
  <c r="P39" i="4"/>
  <c r="M2" i="13"/>
  <c r="I34" i="4"/>
  <c r="F26" i="4"/>
  <c r="F34" i="4"/>
  <c r="U30" i="4"/>
  <c r="U34" i="13"/>
  <c r="O49" i="4"/>
  <c r="K43" i="4"/>
  <c r="P25" i="4"/>
  <c r="M60" i="4"/>
  <c r="N8" i="4"/>
  <c r="I18" i="4"/>
  <c r="H10" i="17"/>
  <c r="E15" i="4"/>
  <c r="O5" i="4"/>
  <c r="Z2" i="22"/>
  <c r="V29" i="22"/>
  <c r="AD42" i="22"/>
  <c r="R12" i="22"/>
  <c r="F87" i="19"/>
  <c r="W5" i="20"/>
  <c r="W4" i="20"/>
  <c r="N8" i="22"/>
  <c r="P25" i="22"/>
  <c r="Q33" i="18"/>
  <c r="I3" i="18"/>
  <c r="IR7" i="18" s="1"/>
  <c r="Q34" i="18"/>
  <c r="H2" i="17"/>
  <c r="H13" i="17" s="1"/>
  <c r="N17" i="17"/>
  <c r="O17" i="17" s="1"/>
  <c r="O18" i="17" s="1"/>
  <c r="O19" i="17" s="1"/>
  <c r="U15" i="16"/>
  <c r="U10" i="16"/>
  <c r="U16" i="16"/>
  <c r="W11" i="16"/>
  <c r="U12" i="16"/>
  <c r="U11" i="16"/>
  <c r="S1" i="20"/>
  <c r="T1" i="20" s="1"/>
  <c r="U38" i="13"/>
  <c r="S3" i="16"/>
  <c r="H43" i="4"/>
  <c r="B41" i="4"/>
  <c r="E15" i="22"/>
  <c r="M25" i="22"/>
  <c r="F26" i="22"/>
  <c r="K26" i="22"/>
  <c r="H26" i="22"/>
  <c r="K29" i="22"/>
  <c r="P29" i="22" s="1"/>
  <c r="Q38" i="4"/>
  <c r="S52" i="22"/>
  <c r="R52" i="22" s="1"/>
  <c r="Q57" i="22"/>
  <c r="T31" i="22"/>
  <c r="I31" i="22" s="1"/>
  <c r="P8" i="20"/>
  <c r="H9" i="20" s="1"/>
  <c r="Q4" i="20"/>
  <c r="P4" i="20"/>
  <c r="S4" i="20"/>
  <c r="H37" i="22"/>
  <c r="N7" i="22"/>
  <c r="H23" i="22"/>
  <c r="H43" i="22"/>
  <c r="K43" i="22"/>
  <c r="H34" i="22"/>
  <c r="E31" i="22"/>
  <c r="K4" i="4"/>
  <c r="O5" i="22"/>
  <c r="U36" i="13"/>
  <c r="Q39" i="4"/>
  <c r="F88" i="10"/>
  <c r="G37" i="4"/>
  <c r="I37" i="4" s="1"/>
  <c r="H35" i="4"/>
  <c r="T56" i="4" s="1"/>
  <c r="S2" i="4"/>
  <c r="M8" i="4"/>
  <c r="W57" i="4" s="1"/>
  <c r="L3" i="4"/>
  <c r="Q33" i="4"/>
  <c r="Q32" i="4" s="1"/>
  <c r="T32" i="4"/>
  <c r="U14" i="20"/>
  <c r="U13" i="20"/>
  <c r="W11" i="20"/>
  <c r="U16" i="20"/>
  <c r="U11" i="20"/>
  <c r="M60" i="22"/>
  <c r="Q50" i="22"/>
  <c r="R90" i="22"/>
  <c r="R86" i="4"/>
  <c r="R87" i="4"/>
  <c r="AD42" i="4"/>
  <c r="AA48" i="4"/>
  <c r="Q65" i="4"/>
  <c r="Q57" i="4"/>
  <c r="R88" i="4"/>
  <c r="X7" i="4"/>
  <c r="I32" i="4"/>
  <c r="R31" i="4"/>
  <c r="H11" i="17"/>
  <c r="U18" i="20" l="1"/>
  <c r="S6" i="16"/>
  <c r="K5" i="4" s="1"/>
  <c r="O6" i="16"/>
  <c r="P8" i="16" s="1"/>
  <c r="AP6" i="22"/>
  <c r="I21" i="18"/>
  <c r="H21" i="22"/>
  <c r="Q21" i="22"/>
  <c r="L45" i="21"/>
  <c r="Q45" i="21"/>
  <c r="S6" i="20"/>
  <c r="K5" i="22" s="1"/>
  <c r="Q56" i="22"/>
  <c r="T57" i="22"/>
  <c r="R89" i="22"/>
  <c r="I18" i="22"/>
  <c r="Y43" i="21"/>
  <c r="AA48" i="22"/>
  <c r="O2" i="22"/>
  <c r="I13" i="4"/>
  <c r="F5" i="22"/>
  <c r="V29" i="4"/>
  <c r="R90" i="4"/>
  <c r="R89" i="4"/>
  <c r="O2" i="4"/>
  <c r="AI6" i="22"/>
  <c r="AH6" i="22" s="1"/>
  <c r="AG6" i="22" s="1"/>
  <c r="AF6" i="22" s="1"/>
  <c r="AE6" i="22" s="1"/>
  <c r="AD6" i="22" s="1"/>
  <c r="AC6" i="22" s="1"/>
  <c r="AB6" i="22" s="1"/>
  <c r="I13" i="22"/>
  <c r="F5" i="4"/>
  <c r="U31" i="22"/>
  <c r="Q13" i="20"/>
  <c r="R61" i="22"/>
  <c r="AB43" i="21"/>
  <c r="O57" i="22"/>
  <c r="U13" i="16"/>
  <c r="D87" i="19"/>
  <c r="R84" i="22"/>
  <c r="R83" i="22"/>
  <c r="Q65" i="22"/>
  <c r="Q2" i="22"/>
  <c r="H26" i="4"/>
  <c r="K29" i="4"/>
  <c r="P29" i="4" s="1"/>
  <c r="F88" i="19"/>
  <c r="M22" i="22"/>
  <c r="U32" i="22"/>
  <c r="Y2" i="22"/>
  <c r="T31" i="4"/>
  <c r="O14" i="17"/>
  <c r="J14" i="17" s="1"/>
  <c r="W57" i="22"/>
  <c r="Q44" i="22"/>
  <c r="W2" i="4"/>
  <c r="S52" i="4"/>
  <c r="R52" i="4" s="1"/>
  <c r="X7" i="22"/>
  <c r="T47" i="22"/>
  <c r="O14" i="20"/>
  <c r="R85" i="22"/>
  <c r="R82" i="22"/>
  <c r="Y43" i="4"/>
  <c r="U37" i="13" s="1"/>
  <c r="I6" i="16"/>
  <c r="O12" i="16" s="1"/>
  <c r="R88" i="22"/>
  <c r="R87" i="22"/>
  <c r="Q12" i="22"/>
  <c r="O22" i="22"/>
  <c r="W39" i="21" s="1"/>
  <c r="C66" i="22"/>
  <c r="K3" i="18"/>
  <c r="X15" i="4"/>
  <c r="Y15" i="4" s="1"/>
  <c r="R77" i="4" s="1"/>
  <c r="R80" i="4" s="1"/>
  <c r="Z56" i="4"/>
  <c r="Y56" i="4" s="1"/>
  <c r="X56" i="4" s="1"/>
  <c r="W56" i="4" s="1"/>
  <c r="U56" i="4" s="1"/>
  <c r="AC56" i="4"/>
  <c r="AB56" i="4" s="1"/>
  <c r="AA56" i="4" s="1"/>
  <c r="R56" i="4"/>
  <c r="R57" i="22"/>
  <c r="O56" i="22" s="1"/>
  <c r="W49" i="21" s="1"/>
  <c r="P4" i="16"/>
  <c r="Q4" i="16"/>
  <c r="R82" i="4"/>
  <c r="Y6" i="4"/>
  <c r="X6" i="4" s="1"/>
  <c r="W6" i="4" s="1"/>
  <c r="U6" i="4" s="1"/>
  <c r="T6" i="4" s="1"/>
  <c r="R6" i="4" s="1"/>
  <c r="Q6" i="4" s="1"/>
  <c r="Y2" i="4"/>
  <c r="Q2" i="4"/>
  <c r="T2" i="4" s="1"/>
  <c r="Z2" i="4"/>
  <c r="AI6" i="4"/>
  <c r="AB43" i="13"/>
  <c r="U49" i="13"/>
  <c r="AJ25" i="4"/>
  <c r="AJ26" i="4" s="1"/>
  <c r="AJ27" i="4" s="1"/>
  <c r="AJ28" i="4" s="1"/>
  <c r="AJ29" i="4" s="1"/>
  <c r="AJ30" i="4" s="1"/>
  <c r="AJ31" i="4" s="1"/>
  <c r="AJ32" i="4" s="1"/>
  <c r="AJ33" i="4" s="1"/>
  <c r="AJ34" i="4" s="1"/>
  <c r="AJ35" i="4" s="1"/>
  <c r="AJ36" i="4" s="1"/>
  <c r="AJ38" i="4" s="1"/>
  <c r="AJ39" i="4" s="1"/>
  <c r="AJ40" i="4" s="1"/>
  <c r="AJ41" i="4" s="1"/>
  <c r="AJ42" i="4" s="1"/>
  <c r="AJ43" i="4" s="1"/>
  <c r="AJ44" i="4" s="1"/>
  <c r="AJ45" i="4" s="1"/>
  <c r="R83" i="4"/>
  <c r="R12" i="4"/>
  <c r="Q44" i="4"/>
  <c r="O70" i="4" s="1"/>
  <c r="F70" i="4" s="1"/>
  <c r="R84" i="4"/>
  <c r="R85" i="4"/>
  <c r="T57" i="4"/>
  <c r="AH6" i="4"/>
  <c r="AG6" i="4" s="1"/>
  <c r="AF6" i="4" s="1"/>
  <c r="AE6" i="4" s="1"/>
  <c r="AD6" i="4" s="1"/>
  <c r="AC6" i="4" s="1"/>
  <c r="AB6" i="4" s="1"/>
  <c r="AA6" i="4" s="1"/>
  <c r="Z6" i="4" s="1"/>
  <c r="T47" i="4"/>
  <c r="Q12" i="4"/>
  <c r="O57" i="4"/>
  <c r="O8" i="20"/>
  <c r="O9" i="20" s="1"/>
  <c r="L3" i="18"/>
  <c r="M3" i="18" s="1"/>
  <c r="Y43" i="13"/>
  <c r="O46" i="4"/>
  <c r="G37" i="22"/>
  <c r="I37" i="22" s="1"/>
  <c r="H35" i="22"/>
  <c r="G36" i="22"/>
  <c r="U1" i="22" s="1"/>
  <c r="AC25" i="22"/>
  <c r="O6" i="22"/>
  <c r="U62" i="22"/>
  <c r="Q48" i="22"/>
  <c r="R50" i="22"/>
  <c r="Q54" i="22"/>
  <c r="I3" i="22"/>
  <c r="V13" i="21"/>
  <c r="H32" i="21"/>
  <c r="AP6" i="4"/>
  <c r="I21" i="14"/>
  <c r="W4" i="16"/>
  <c r="W5" i="16"/>
  <c r="D88" i="10"/>
  <c r="Q39" i="22"/>
  <c r="Y43" i="22"/>
  <c r="U37" i="21" s="1"/>
  <c r="Y4" i="21"/>
  <c r="U32" i="21"/>
  <c r="T2" i="16"/>
  <c r="S1" i="16"/>
  <c r="T1" i="16" s="1"/>
  <c r="H8" i="16" s="1"/>
  <c r="C46" i="13"/>
  <c r="H46" i="13"/>
  <c r="H32" i="22"/>
  <c r="F34" i="22"/>
  <c r="F30" i="22"/>
  <c r="H31" i="22"/>
  <c r="I34" i="22"/>
  <c r="H33" i="22"/>
  <c r="I33" i="22"/>
  <c r="Q33" i="22"/>
  <c r="Q32" i="22" s="1"/>
  <c r="T32" i="22"/>
  <c r="H8" i="20"/>
  <c r="Q55" i="4"/>
  <c r="U42" i="13"/>
  <c r="M39" i="13" s="1"/>
  <c r="U15" i="20"/>
  <c r="U12" i="20"/>
  <c r="U10" i="20"/>
  <c r="I6" i="20" s="1"/>
  <c r="O12" i="20" s="1"/>
  <c r="T12" i="22"/>
  <c r="F4" i="22"/>
  <c r="D76" i="19"/>
  <c r="C9" i="21"/>
  <c r="L27" i="22"/>
  <c r="F30" i="4"/>
  <c r="H31" i="4"/>
  <c r="H34" i="4"/>
  <c r="E31" i="4"/>
  <c r="H32" i="4"/>
  <c r="U49" i="21"/>
  <c r="AJ25" i="22"/>
  <c r="AJ26" i="22" s="1"/>
  <c r="AJ27" i="22" s="1"/>
  <c r="AJ28" i="22" s="1"/>
  <c r="AJ29" i="22" s="1"/>
  <c r="AJ30" i="22" s="1"/>
  <c r="AJ31" i="22" s="1"/>
  <c r="AJ32" i="22" s="1"/>
  <c r="AJ33" i="22" s="1"/>
  <c r="AJ34" i="22" s="1"/>
  <c r="AJ35" i="22" s="1"/>
  <c r="AJ36" i="22" s="1"/>
  <c r="AJ38" i="22" s="1"/>
  <c r="AJ39" i="22" s="1"/>
  <c r="AJ40" i="22" s="1"/>
  <c r="AJ41" i="22" s="1"/>
  <c r="AJ42" i="22" s="1"/>
  <c r="AJ43" i="22" s="1"/>
  <c r="AJ44" i="22" s="1"/>
  <c r="AJ45" i="22" s="1"/>
  <c r="R86" i="22"/>
  <c r="C69" i="22"/>
  <c r="E16" i="22" s="1"/>
  <c r="AU43" i="4"/>
  <c r="AU44" i="4" s="1"/>
  <c r="AU45" i="4" s="1"/>
  <c r="AU46" i="4" s="1"/>
  <c r="AU47" i="4" s="1"/>
  <c r="AU48" i="4" s="1"/>
  <c r="AU49" i="4" s="1"/>
  <c r="AU50" i="4" s="1"/>
  <c r="AU51" i="4" s="1"/>
  <c r="AU52" i="4" s="1"/>
  <c r="AU53" i="4" s="1"/>
  <c r="AU54" i="4" s="1"/>
  <c r="AU55" i="4" s="1"/>
  <c r="AU56" i="4" s="1"/>
  <c r="AU57" i="4" s="1"/>
  <c r="AU58" i="4" s="1"/>
  <c r="AU59" i="4" s="1"/>
  <c r="AU60" i="4" s="1"/>
  <c r="AU61" i="4" s="1"/>
  <c r="AU62" i="4" s="1"/>
  <c r="AU63" i="4" s="1"/>
  <c r="AU64" i="4" s="1"/>
  <c r="AU65" i="4" s="1"/>
  <c r="AU66" i="4" s="1"/>
  <c r="AU67" i="4" s="1"/>
  <c r="AU68" i="4" s="1"/>
  <c r="AU69" i="4" s="1"/>
  <c r="AU70" i="4" s="1"/>
  <c r="AU71" i="4" s="1"/>
  <c r="AU72" i="4" s="1"/>
  <c r="AU73" i="4" s="1"/>
  <c r="AU74" i="4" s="1"/>
  <c r="AU75" i="4" s="1"/>
  <c r="AU76" i="4" s="1"/>
  <c r="AU77" i="4" s="1"/>
  <c r="AU78" i="4" s="1"/>
  <c r="AU79" i="4" s="1"/>
  <c r="AU80" i="4" s="1"/>
  <c r="AU81" i="4" s="1"/>
  <c r="AU82" i="4" s="1"/>
  <c r="AU83" i="4" s="1"/>
  <c r="AU84" i="4" s="1"/>
  <c r="AU85" i="4" s="1"/>
  <c r="AU86" i="4" s="1"/>
  <c r="AU87" i="4" s="1"/>
  <c r="AU88" i="4" s="1"/>
  <c r="AU89" i="4" s="1"/>
  <c r="AU90" i="4" s="1"/>
  <c r="AU91" i="4" s="1"/>
  <c r="AU92" i="4" s="1"/>
  <c r="AU93" i="4" s="1"/>
  <c r="AU94" i="4" s="1"/>
  <c r="AU95" i="4" s="1"/>
  <c r="AU96" i="4" s="1"/>
  <c r="AU97" i="4" s="1"/>
  <c r="AU98" i="4" s="1"/>
  <c r="AU99" i="4" s="1"/>
  <c r="AU100" i="4" s="1"/>
  <c r="AU101" i="4" s="1"/>
  <c r="AU102" i="4" s="1"/>
  <c r="AU103" i="4" s="1"/>
  <c r="AU104" i="4" s="1"/>
  <c r="AU105" i="4" s="1"/>
  <c r="AU107" i="4" s="1"/>
  <c r="AU108" i="4" s="1"/>
  <c r="AU109" i="4" s="1"/>
  <c r="AU110" i="4" s="1"/>
  <c r="AU111" i="4" s="1"/>
  <c r="AU112" i="4" s="1"/>
  <c r="AU113" i="4" s="1"/>
  <c r="AU114" i="4" s="1"/>
  <c r="AU115" i="4" s="1"/>
  <c r="AU116" i="4" s="1"/>
  <c r="AU117" i="4" s="1"/>
  <c r="AU118" i="4" s="1"/>
  <c r="AU119" i="4" s="1"/>
  <c r="AU120" i="4" s="1"/>
  <c r="AU121" i="4" s="1"/>
  <c r="AU122" i="4" s="1"/>
  <c r="AU123" i="4" s="1"/>
  <c r="AU124" i="4" s="1"/>
  <c r="AU125" i="4" s="1"/>
  <c r="AU126" i="4" s="1"/>
  <c r="AU127" i="4" s="1"/>
  <c r="AU128" i="4" s="1"/>
  <c r="AU129" i="4" s="1"/>
  <c r="AU130" i="4" s="1"/>
  <c r="AU131" i="4" s="1"/>
  <c r="AU132" i="4" s="1"/>
  <c r="AU133" i="4" s="1"/>
  <c r="AU134" i="4" s="1"/>
  <c r="AU135" i="4" s="1"/>
  <c r="AU136" i="4" s="1"/>
  <c r="AU137" i="4" s="1"/>
  <c r="AU138" i="4" s="1"/>
  <c r="AU139" i="4" s="1"/>
  <c r="AU140" i="4" s="1"/>
  <c r="AU141" i="4" s="1"/>
  <c r="AU142" i="4" s="1"/>
  <c r="AU143" i="4" s="1"/>
  <c r="AU144" i="4" s="1"/>
  <c r="AU145" i="4" s="1"/>
  <c r="AU146" i="4" s="1"/>
  <c r="AU147" i="4" s="1"/>
  <c r="AU148" i="4" s="1"/>
  <c r="AU149" i="4" s="1"/>
  <c r="AU150" i="4" s="1"/>
  <c r="AU151" i="4" s="1"/>
  <c r="AU152" i="4" s="1"/>
  <c r="Q56" i="4"/>
  <c r="R57" i="4" s="1"/>
  <c r="O56" i="4" s="1"/>
  <c r="W49" i="13" s="1"/>
  <c r="R61" i="4"/>
  <c r="L27" i="4"/>
  <c r="O22" i="4"/>
  <c r="W39" i="13" s="1"/>
  <c r="R95" i="4"/>
  <c r="M22" i="4"/>
  <c r="C21" i="4"/>
  <c r="B21" i="4" s="1"/>
  <c r="I14" i="4"/>
  <c r="D76" i="10"/>
  <c r="D4" i="10"/>
  <c r="D4" i="19"/>
  <c r="AA6" i="22" s="1"/>
  <c r="Z6" i="22" s="1"/>
  <c r="Y6" i="22" s="1"/>
  <c r="X6" i="22" s="1"/>
  <c r="W6" i="22" s="1"/>
  <c r="U6" i="22" s="1"/>
  <c r="T6" i="22" s="1"/>
  <c r="R6" i="22" s="1"/>
  <c r="Q6" i="22" s="1"/>
  <c r="L7" i="22"/>
  <c r="B16" i="17"/>
  <c r="I3" i="14"/>
  <c r="Q33" i="14"/>
  <c r="AW46" i="22"/>
  <c r="AU43" i="22" s="1"/>
  <c r="AU44" i="22" s="1"/>
  <c r="AU45" i="22" s="1"/>
  <c r="AU46" i="22" s="1"/>
  <c r="AU47" i="22" s="1"/>
  <c r="AU48" i="22" s="1"/>
  <c r="AU49" i="22" s="1"/>
  <c r="AU50" i="22" s="1"/>
  <c r="AU51" i="22" s="1"/>
  <c r="AU52" i="22" s="1"/>
  <c r="AU53" i="22" s="1"/>
  <c r="AU54" i="22" s="1"/>
  <c r="AU55" i="22" s="1"/>
  <c r="AU56" i="22" s="1"/>
  <c r="AU57" i="22" s="1"/>
  <c r="AU58" i="22" s="1"/>
  <c r="AU59" i="22" s="1"/>
  <c r="AU60" i="22" s="1"/>
  <c r="AU61" i="22" s="1"/>
  <c r="AU62" i="22" s="1"/>
  <c r="AU63" i="22" s="1"/>
  <c r="AU64" i="22" s="1"/>
  <c r="AU65" i="22" s="1"/>
  <c r="AU66" i="22" s="1"/>
  <c r="AU67" i="22" s="1"/>
  <c r="AU68" i="22" s="1"/>
  <c r="AU69" i="22" s="1"/>
  <c r="AU70" i="22" s="1"/>
  <c r="AU71" i="22" s="1"/>
  <c r="AU72" i="22" s="1"/>
  <c r="AU73" i="22" s="1"/>
  <c r="AU74" i="22" s="1"/>
  <c r="AU75" i="22" s="1"/>
  <c r="AU76" i="22" s="1"/>
  <c r="AU77" i="22" s="1"/>
  <c r="AU78" i="22" s="1"/>
  <c r="AU79" i="22" s="1"/>
  <c r="AU80" i="22" s="1"/>
  <c r="AU81" i="22" s="1"/>
  <c r="AU82" i="22" s="1"/>
  <c r="AU83" i="22" s="1"/>
  <c r="AU84" i="22" s="1"/>
  <c r="AU85" i="22" s="1"/>
  <c r="AU86" i="22" s="1"/>
  <c r="AU87" i="22" s="1"/>
  <c r="AU88" i="22" s="1"/>
  <c r="AU89" i="22" s="1"/>
  <c r="AU90" i="22" s="1"/>
  <c r="AU91" i="22" s="1"/>
  <c r="AU92" i="22" s="1"/>
  <c r="AU93" i="22" s="1"/>
  <c r="AU94" i="22" s="1"/>
  <c r="AU95" i="22" s="1"/>
  <c r="AU96" i="22" s="1"/>
  <c r="AU97" i="22" s="1"/>
  <c r="AU98" i="22" s="1"/>
  <c r="AU99" i="22" s="1"/>
  <c r="AU100" i="22" s="1"/>
  <c r="AU101" i="22" s="1"/>
  <c r="AU102" i="22" s="1"/>
  <c r="AU103" i="22" s="1"/>
  <c r="AU104" i="22" s="1"/>
  <c r="AU105" i="22" s="1"/>
  <c r="AU107" i="22" s="1"/>
  <c r="AU108" i="22" s="1"/>
  <c r="AU109" i="22" s="1"/>
  <c r="AU110" i="22" s="1"/>
  <c r="AU111" i="22" s="1"/>
  <c r="AU112" i="22" s="1"/>
  <c r="AU113" i="22" s="1"/>
  <c r="AU114" i="22" s="1"/>
  <c r="AU115" i="22" s="1"/>
  <c r="AU116" i="22" s="1"/>
  <c r="AU117" i="22" s="1"/>
  <c r="AU118" i="22" s="1"/>
  <c r="AU119" i="22" s="1"/>
  <c r="AU120" i="22" s="1"/>
  <c r="AU121" i="22" s="1"/>
  <c r="AU122" i="22" s="1"/>
  <c r="AU123" i="22" s="1"/>
  <c r="AU124" i="22" s="1"/>
  <c r="AU125" i="22" s="1"/>
  <c r="AU126" i="22" s="1"/>
  <c r="AU127" i="22" s="1"/>
  <c r="AU128" i="22" s="1"/>
  <c r="AU129" i="22" s="1"/>
  <c r="AU130" i="22" s="1"/>
  <c r="AU131" i="22" s="1"/>
  <c r="AU132" i="22" s="1"/>
  <c r="AU133" i="22" s="1"/>
  <c r="AU134" i="22" s="1"/>
  <c r="AU135" i="22" s="1"/>
  <c r="AU136" i="22" s="1"/>
  <c r="AU137" i="22" s="1"/>
  <c r="AU138" i="22" s="1"/>
  <c r="AU139" i="22" s="1"/>
  <c r="AU140" i="22" s="1"/>
  <c r="AU141" i="22" s="1"/>
  <c r="AU142" i="22" s="1"/>
  <c r="AU143" i="22" s="1"/>
  <c r="AU144" i="22" s="1"/>
  <c r="AU145" i="22" s="1"/>
  <c r="AU146" i="22" s="1"/>
  <c r="AU147" i="22" s="1"/>
  <c r="AU148" i="22" s="1"/>
  <c r="AU149" i="22" s="1"/>
  <c r="AU150" i="22" s="1"/>
  <c r="AU151" i="22" s="1"/>
  <c r="AU152" i="22" s="1"/>
  <c r="X15" i="22"/>
  <c r="Y15" i="22" s="1"/>
  <c r="R77" i="22" s="1"/>
  <c r="R80" i="22" s="1"/>
  <c r="R91" i="22" s="1"/>
  <c r="R92" i="22" s="1"/>
  <c r="O70" i="22" l="1"/>
  <c r="F70" i="22" s="1"/>
  <c r="O44" i="22"/>
  <c r="I22" i="18"/>
  <c r="AP7" i="22"/>
  <c r="U31" i="4"/>
  <c r="I31" i="4"/>
  <c r="T2" i="22"/>
  <c r="U57" i="22"/>
  <c r="X48" i="22"/>
  <c r="Y48" i="22" s="1"/>
  <c r="M13" i="22"/>
  <c r="I29" i="22"/>
  <c r="R36" i="22"/>
  <c r="AB37" i="21"/>
  <c r="K47" i="22"/>
  <c r="I53" i="22"/>
  <c r="Z48" i="22"/>
  <c r="R23" i="22"/>
  <c r="T23" i="22" s="1"/>
  <c r="U23" i="22" s="1"/>
  <c r="G24" i="22" s="1"/>
  <c r="AA35" i="21"/>
  <c r="O15" i="22"/>
  <c r="Q15" i="22" s="1"/>
  <c r="K15" i="22" s="1"/>
  <c r="U25" i="22"/>
  <c r="Q49" i="22"/>
  <c r="I52" i="22"/>
  <c r="O14" i="16"/>
  <c r="H9" i="16"/>
  <c r="N11" i="20"/>
  <c r="J9" i="20" s="1"/>
  <c r="R91" i="4"/>
  <c r="R92" i="4" s="1"/>
  <c r="K9" i="4"/>
  <c r="X48" i="4"/>
  <c r="AC25" i="4"/>
  <c r="U62" i="4"/>
  <c r="Q54" i="4"/>
  <c r="O6" i="4"/>
  <c r="U57" i="4"/>
  <c r="R50" i="4"/>
  <c r="Q48" i="4"/>
  <c r="N16" i="22"/>
  <c r="I16" i="22" s="1"/>
  <c r="T56" i="22"/>
  <c r="R56" i="22"/>
  <c r="AC56" i="22"/>
  <c r="AB56" i="22" s="1"/>
  <c r="AA56" i="22" s="1"/>
  <c r="Z56" i="22" s="1"/>
  <c r="Y56" i="22" s="1"/>
  <c r="X56" i="22" s="1"/>
  <c r="W56" i="22" s="1"/>
  <c r="U56" i="22" s="1"/>
  <c r="H21" i="4"/>
  <c r="Q21" i="4"/>
  <c r="U32" i="13"/>
  <c r="Y4" i="13"/>
  <c r="H32" i="13"/>
  <c r="V13" i="13"/>
  <c r="Q25" i="4"/>
  <c r="R25" i="4" s="1"/>
  <c r="AE25" i="4"/>
  <c r="R31" i="22"/>
  <c r="I32" i="22"/>
  <c r="I22" i="14"/>
  <c r="AP7" i="4"/>
  <c r="T48" i="22"/>
  <c r="W34" i="21" s="1"/>
  <c r="K48" i="22"/>
  <c r="R48" i="22"/>
  <c r="U46" i="22"/>
  <c r="Q46" i="22" s="1"/>
  <c r="R46" i="22" s="1"/>
  <c r="T46" i="22" s="1"/>
  <c r="AA43" i="21" s="1"/>
  <c r="Q32" i="18"/>
  <c r="J3" i="18"/>
  <c r="M13" i="4"/>
  <c r="T12" i="4"/>
  <c r="R13" i="13" s="1"/>
  <c r="I29" i="4"/>
  <c r="S4" i="16"/>
  <c r="O4" i="16"/>
  <c r="AB37" i="13"/>
  <c r="Q49" i="4"/>
  <c r="O15" i="4"/>
  <c r="Q15" i="4" s="1"/>
  <c r="K15" i="4" s="1"/>
  <c r="AA35" i="13"/>
  <c r="R23" i="4"/>
  <c r="T23" i="4" s="1"/>
  <c r="U23" i="4" s="1"/>
  <c r="G24" i="4" s="1"/>
  <c r="I53" i="4"/>
  <c r="Z48" i="4"/>
  <c r="K47" i="4"/>
  <c r="I52" i="4"/>
  <c r="AB42" i="22"/>
  <c r="Y49" i="22"/>
  <c r="N33" i="22"/>
  <c r="U3" i="21"/>
  <c r="N66" i="22"/>
  <c r="Z49" i="22"/>
  <c r="N17" i="22"/>
  <c r="AC42" i="22"/>
  <c r="Q25" i="22"/>
  <c r="R25" i="22" s="1"/>
  <c r="AE25" i="22"/>
  <c r="W25" i="22"/>
  <c r="AA25" i="22"/>
  <c r="IR7" i="14"/>
  <c r="IR9" i="14" s="1"/>
  <c r="L24" i="13" s="1"/>
  <c r="C66" i="4"/>
  <c r="C69" i="4" s="1"/>
  <c r="K3" i="14"/>
  <c r="AA37" i="21" l="1"/>
  <c r="I49" i="22"/>
  <c r="R49" i="22"/>
  <c r="U2" i="22"/>
  <c r="K9" i="22"/>
  <c r="AP8" i="22"/>
  <c r="I23" i="18"/>
  <c r="AP9" i="22" s="1"/>
  <c r="I24" i="18"/>
  <c r="AP10" i="22" s="1"/>
  <c r="I36" i="22"/>
  <c r="R37" i="22"/>
  <c r="P39" i="22"/>
  <c r="P38" i="22"/>
  <c r="M40" i="22" s="1"/>
  <c r="T29" i="22"/>
  <c r="Q29" i="22"/>
  <c r="R29" i="22" s="1"/>
  <c r="W33" i="21" s="1"/>
  <c r="W32" i="21"/>
  <c r="D41" i="22"/>
  <c r="F27" i="22"/>
  <c r="R20" i="13"/>
  <c r="Z32" i="21"/>
  <c r="AB25" i="22"/>
  <c r="Z25" i="22"/>
  <c r="I26" i="22" s="1"/>
  <c r="AE43" i="22" s="1"/>
  <c r="AD25" i="22"/>
  <c r="L25" i="22" s="1"/>
  <c r="AE42" i="22"/>
  <c r="Y42" i="22" s="1"/>
  <c r="U35" i="21" s="1"/>
  <c r="R24" i="21"/>
  <c r="R19" i="21"/>
  <c r="C46" i="21"/>
  <c r="M2" i="21"/>
  <c r="R13" i="21"/>
  <c r="Q29" i="4"/>
  <c r="R29" i="4" s="1"/>
  <c r="W33" i="13" s="1"/>
  <c r="T29" i="4"/>
  <c r="O11" i="22"/>
  <c r="N16" i="4"/>
  <c r="I16" i="4" s="1"/>
  <c r="O11" i="4"/>
  <c r="Y48" i="4"/>
  <c r="R36" i="4"/>
  <c r="AA37" i="13"/>
  <c r="I49" i="4"/>
  <c r="R49" i="4"/>
  <c r="R48" i="4"/>
  <c r="T48" i="4"/>
  <c r="W34" i="13" s="1"/>
  <c r="AA43" i="13"/>
  <c r="K48" i="4"/>
  <c r="U46" i="4"/>
  <c r="Q46" i="4" s="1"/>
  <c r="R46" i="4" s="1"/>
  <c r="T46" i="4" s="1"/>
  <c r="U2" i="4"/>
  <c r="X43" i="22"/>
  <c r="X42" i="22"/>
  <c r="U25" i="4"/>
  <c r="O8" i="16"/>
  <c r="O9" i="16" s="1"/>
  <c r="I3" i="4"/>
  <c r="U18" i="16"/>
  <c r="N11" i="16"/>
  <c r="J9" i="16" s="1"/>
  <c r="AP8" i="4"/>
  <c r="I23" i="14"/>
  <c r="AA25" i="4"/>
  <c r="W32" i="13" s="1"/>
  <c r="W25" i="4"/>
  <c r="I45" i="21"/>
  <c r="H46" i="22"/>
  <c r="L3" i="14"/>
  <c r="M3" i="14" s="1"/>
  <c r="E16" i="4"/>
  <c r="R19" i="13"/>
  <c r="M42" i="22" l="1"/>
  <c r="P12" i="21"/>
  <c r="Q7" i="22"/>
  <c r="P7" i="21"/>
  <c r="P5" i="22"/>
  <c r="D41" i="4"/>
  <c r="F41" i="4" s="1"/>
  <c r="F43" i="4"/>
  <c r="W8" i="4"/>
  <c r="R15" i="4"/>
  <c r="M53" i="4" s="1"/>
  <c r="P12" i="13"/>
  <c r="P7" i="13"/>
  <c r="M42" i="4"/>
  <c r="M40" i="4"/>
  <c r="Q7" i="4"/>
  <c r="AD25" i="4"/>
  <c r="L25" i="4" s="1"/>
  <c r="Z25" i="4"/>
  <c r="I26" i="4" s="1"/>
  <c r="AB25" i="4"/>
  <c r="Z32" i="13"/>
  <c r="F27" i="4"/>
  <c r="Y35" i="21"/>
  <c r="H42" i="22"/>
  <c r="I36" i="4"/>
  <c r="R37" i="4"/>
  <c r="W8" i="22"/>
  <c r="R15" i="22"/>
  <c r="O26" i="22"/>
  <c r="Z28" i="22"/>
  <c r="X25" i="22"/>
  <c r="I28" i="22"/>
  <c r="F43" i="22"/>
  <c r="F41" i="22"/>
  <c r="AP9" i="4"/>
  <c r="I24" i="14"/>
  <c r="AP10" i="4" s="1"/>
  <c r="R94" i="22"/>
  <c r="H44" i="22"/>
  <c r="Y37" i="21"/>
  <c r="M49" i="4"/>
  <c r="Z49" i="4"/>
  <c r="N33" i="4"/>
  <c r="AB42" i="4"/>
  <c r="N66" i="4"/>
  <c r="AC42" i="4"/>
  <c r="Y49" i="4"/>
  <c r="N17" i="4"/>
  <c r="H46" i="4"/>
  <c r="Q32" i="14"/>
  <c r="J3" i="14"/>
  <c r="M50" i="4" l="1"/>
  <c r="P5" i="4"/>
  <c r="M48" i="4"/>
  <c r="M57" i="4"/>
  <c r="AG43" i="22"/>
  <c r="AG42" i="22"/>
  <c r="I28" i="4"/>
  <c r="Z28" i="4"/>
  <c r="O26" i="4"/>
  <c r="O52" i="4"/>
  <c r="W36" i="13" s="1"/>
  <c r="Q53" i="4"/>
  <c r="R53" i="4" s="1"/>
  <c r="X43" i="4"/>
  <c r="X42" i="4"/>
  <c r="M29" i="4"/>
  <c r="H5" i="17" s="1"/>
  <c r="H18" i="17" s="1"/>
  <c r="AH42" i="22"/>
  <c r="F57" i="22"/>
  <c r="M19" i="22"/>
  <c r="C1" i="22"/>
  <c r="M51" i="22"/>
  <c r="M29" i="22"/>
  <c r="M50" i="22"/>
  <c r="M53" i="22"/>
  <c r="M57" i="22"/>
  <c r="M49" i="22"/>
  <c r="M48" i="22"/>
  <c r="M54" i="22"/>
  <c r="R97" i="22" s="1"/>
  <c r="X25" i="4"/>
  <c r="AH43" i="22"/>
  <c r="M51" i="4"/>
  <c r="Z43" i="4" s="1"/>
  <c r="F57" i="4"/>
  <c r="C1" i="4"/>
  <c r="M19" i="4"/>
  <c r="M54" i="4"/>
  <c r="R97" i="4" s="1"/>
  <c r="K44" i="4" l="1"/>
  <c r="W37" i="13"/>
  <c r="H8" i="17"/>
  <c r="C6" i="17"/>
  <c r="C7" i="17" s="1"/>
  <c r="AG42" i="4"/>
  <c r="AG43" i="4"/>
  <c r="Z42" i="22"/>
  <c r="Z43" i="22"/>
  <c r="M44" i="22"/>
  <c r="M39" i="22"/>
  <c r="R96" i="22" s="1"/>
  <c r="M56" i="22"/>
  <c r="M46" i="22"/>
  <c r="R98" i="22" s="1"/>
  <c r="M21" i="22"/>
  <c r="M23" i="22" s="1"/>
  <c r="M20" i="22"/>
  <c r="Z42" i="4"/>
  <c r="AH43" i="4"/>
  <c r="Y37" i="13"/>
  <c r="H44" i="4"/>
  <c r="R94" i="4"/>
  <c r="M43" i="4"/>
  <c r="AF42" i="22"/>
  <c r="O52" i="22"/>
  <c r="W36" i="21" s="1"/>
  <c r="Q53" i="22"/>
  <c r="R53" i="22" s="1"/>
  <c r="M39" i="4"/>
  <c r="R96" i="4" s="1"/>
  <c r="M21" i="4"/>
  <c r="M23" i="4" s="1"/>
  <c r="M46" i="4"/>
  <c r="R98" i="4" s="1"/>
  <c r="M56" i="4"/>
  <c r="M20" i="4"/>
  <c r="M44" i="4"/>
  <c r="Y35" i="13"/>
  <c r="H42" i="4"/>
  <c r="AH42" i="4"/>
  <c r="AF43" i="22"/>
  <c r="M24" i="4" l="1"/>
  <c r="M35" i="4" s="1"/>
  <c r="R18" i="13"/>
  <c r="D8" i="17"/>
  <c r="C8" i="17" s="1"/>
  <c r="C9" i="17" s="1"/>
  <c r="C10" i="17" s="1"/>
  <c r="R22" i="13" s="1"/>
  <c r="K42" i="4"/>
  <c r="W35" i="13"/>
  <c r="W35" i="21"/>
  <c r="K42" i="22"/>
  <c r="H7" i="17"/>
  <c r="H4" i="17" s="1"/>
  <c r="H3" i="17" s="1"/>
  <c r="F3" i="17" s="1"/>
  <c r="K44" i="22"/>
  <c r="W37" i="21"/>
  <c r="M43" i="22"/>
  <c r="R20" i="21" s="1"/>
  <c r="M24" i="22"/>
  <c r="AF43" i="4"/>
  <c r="AE43" i="4" s="1"/>
  <c r="Z4" i="13"/>
  <c r="P23" i="4"/>
  <c r="W38" i="13" s="1"/>
  <c r="I23" i="4"/>
  <c r="P23" i="22"/>
  <c r="W38" i="21" s="1"/>
  <c r="I23" i="22"/>
  <c r="Z4" i="21"/>
  <c r="AF42" i="4"/>
  <c r="AE42" i="4" s="1"/>
  <c r="Y42" i="4" s="1"/>
  <c r="U35" i="13" s="1"/>
  <c r="O24" i="4" l="1"/>
  <c r="R21" i="13"/>
  <c r="R23" i="13" s="1"/>
  <c r="C11" i="17"/>
  <c r="H19" i="17" s="1"/>
  <c r="O24" i="22"/>
  <c r="M35" i="22"/>
  <c r="F7" i="17"/>
  <c r="C60" i="13" s="1"/>
  <c r="M37" i="4"/>
  <c r="M36" i="4"/>
  <c r="Z22" i="4" l="1"/>
  <c r="Z23" i="4" s="1"/>
  <c r="O36" i="4"/>
  <c r="W41" i="13" s="1"/>
  <c r="M38" i="4"/>
  <c r="M61" i="4" s="1"/>
  <c r="O38" i="4"/>
  <c r="X49" i="13"/>
  <c r="X4" i="13"/>
  <c r="M37" i="22"/>
  <c r="M36" i="22"/>
  <c r="O38" i="22" s="1"/>
  <c r="W4" i="13"/>
  <c r="K38" i="13"/>
  <c r="D36" i="13" s="1"/>
  <c r="K38" i="21" l="1"/>
  <c r="D36" i="21" s="1"/>
  <c r="W4" i="21"/>
  <c r="O61" i="4"/>
  <c r="M62" i="4"/>
  <c r="M64" i="4"/>
  <c r="X49" i="21"/>
  <c r="C49" i="21" s="1"/>
  <c r="X4" i="21"/>
  <c r="O36" i="22"/>
  <c r="W41" i="21" s="1"/>
  <c r="M38" i="22"/>
  <c r="M61" i="22" s="1"/>
  <c r="Z22" i="22"/>
  <c r="Z23" i="22" s="1"/>
  <c r="M1" i="21" l="1"/>
  <c r="M65" i="4"/>
  <c r="M66" i="4" s="1"/>
  <c r="M64" i="22"/>
  <c r="O61" i="22"/>
  <c r="R18" i="21" s="1"/>
  <c r="M62" i="22"/>
  <c r="R21" i="21" s="1"/>
  <c r="M65" i="22" l="1"/>
  <c r="R22" i="21" s="1"/>
  <c r="M66" i="22" l="1"/>
  <c r="R23" i="2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 Mumtaz</author>
  </authors>
  <commentList>
    <comment ref="H25" authorId="0" shapeId="0" xr:uid="{00000000-0006-0000-0500-000001000000}">
      <text>
        <r>
          <rPr>
            <b/>
            <sz val="8"/>
            <color indexed="18"/>
            <rFont val="Tahoma"/>
            <family val="2"/>
          </rPr>
          <t>Free Cover of Rs.50,000/- is provided for Private Cars, Vans and Jeeps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 Mumtaz</author>
  </authors>
  <commentList>
    <comment ref="H25" authorId="0" shapeId="0" xr:uid="{00000000-0006-0000-0A00-000001000000}">
      <text>
        <r>
          <rPr>
            <b/>
            <sz val="8"/>
            <color indexed="18"/>
            <rFont val="Tahoma"/>
            <family val="2"/>
          </rPr>
          <t>Free Cover of Rs.50,000/- is provided for Private Cars, Vans and Jeeps</t>
        </r>
      </text>
    </comment>
  </commentList>
</comments>
</file>

<file path=xl/sharedStrings.xml><?xml version="1.0" encoding="utf-8"?>
<sst xmlns="http://schemas.openxmlformats.org/spreadsheetml/2006/main" count="1785" uniqueCount="578">
  <si>
    <t>NCB</t>
  </si>
  <si>
    <t>VAT</t>
  </si>
  <si>
    <t>Voluntary Excess</t>
  </si>
  <si>
    <t>Multiple Rebate</t>
  </si>
  <si>
    <t>Non Hazardous</t>
  </si>
  <si>
    <t>Hazardous</t>
  </si>
  <si>
    <t>3rd Party Property Damage</t>
  </si>
  <si>
    <t>Rent A Vehicle</t>
  </si>
  <si>
    <t>Learner Driver Cover</t>
  </si>
  <si>
    <t>ü</t>
  </si>
  <si>
    <t>Net Contribution</t>
  </si>
  <si>
    <t>Hire Purchase / Lease</t>
  </si>
  <si>
    <t>Towing Charges</t>
  </si>
  <si>
    <t>Basic Contribution</t>
  </si>
  <si>
    <t xml:space="preserve">S R C C     </t>
  </si>
  <si>
    <t>Designed by Mumtaz Mulaffar</t>
  </si>
  <si>
    <t>Goods</t>
  </si>
  <si>
    <t>PAB</t>
  </si>
  <si>
    <t>WCT</t>
  </si>
  <si>
    <t>GOODS</t>
  </si>
  <si>
    <t>WCT  to labourers</t>
  </si>
  <si>
    <t>No. workers</t>
  </si>
  <si>
    <t>No. Labourers</t>
  </si>
  <si>
    <t>SRCC Contribution</t>
  </si>
  <si>
    <t>Terrorism Contribution</t>
  </si>
  <si>
    <t>TYPE OF VEHICLE</t>
  </si>
  <si>
    <t>Rs.</t>
  </si>
  <si>
    <t>L/D</t>
  </si>
  <si>
    <t>NCBP</t>
  </si>
  <si>
    <t>V/E</t>
  </si>
  <si>
    <t>M/R</t>
  </si>
  <si>
    <t>Tow/C</t>
  </si>
  <si>
    <t>A/B</t>
  </si>
  <si>
    <t>W/C</t>
  </si>
  <si>
    <t xml:space="preserve">VEHICLE NO./CHA. NO.                 </t>
  </si>
  <si>
    <t>USAGE</t>
  </si>
  <si>
    <t>Third Party Property Damage</t>
  </si>
  <si>
    <t>TPPD</t>
  </si>
  <si>
    <t>LLP</t>
  </si>
  <si>
    <t>Extra Hazardous</t>
  </si>
  <si>
    <t>Goods Cover</t>
  </si>
  <si>
    <t>Hiring</t>
  </si>
  <si>
    <t>Rent</t>
  </si>
  <si>
    <t>Duty free</t>
  </si>
  <si>
    <t>Fire</t>
  </si>
  <si>
    <t>Private</t>
  </si>
  <si>
    <t>Hiring Exclusion</t>
  </si>
  <si>
    <t>Legal Liability to Passengers</t>
  </si>
  <si>
    <t>TOP</t>
  </si>
  <si>
    <t>Basic Rate</t>
  </si>
  <si>
    <t>MOTOR CYCLE - chinese made</t>
  </si>
  <si>
    <t>-</t>
  </si>
  <si>
    <t>MOTOR CYCLE - others</t>
  </si>
  <si>
    <t>THREE WHEELERS (Private)</t>
  </si>
  <si>
    <t>THREE WHEELERS (Hiring)</t>
  </si>
  <si>
    <t>Basic Rates</t>
  </si>
  <si>
    <t>%</t>
  </si>
  <si>
    <t>Additional Cover Rates</t>
  </si>
  <si>
    <t>Terrorism</t>
  </si>
  <si>
    <t>Personal Accident Benefit</t>
  </si>
  <si>
    <t>Motor Cycles</t>
  </si>
  <si>
    <t>/- per person (Rs.25,000/-)</t>
  </si>
  <si>
    <t>Private Cars                     Rs.</t>
  </si>
  <si>
    <t>Flood &amp; Natural Disaster</t>
  </si>
  <si>
    <t>Special Windscreen</t>
  </si>
  <si>
    <t>Rent A Car</t>
  </si>
  <si>
    <t>* Motor Cycles                 Rs.</t>
  </si>
  <si>
    <t>* Commercial Vehicles     Rs.</t>
  </si>
  <si>
    <t>* Private Cars                  Rs.</t>
  </si>
  <si>
    <t>% of Basic Contribution</t>
  </si>
  <si>
    <t>% of Windscreen Value</t>
  </si>
  <si>
    <t>100,000/- Cover -              Rs.</t>
  </si>
  <si>
    <t>% of Sum Covered</t>
  </si>
  <si>
    <t>Air Bag Cover</t>
  </si>
  <si>
    <t>Workmens' Compensation</t>
  </si>
  <si>
    <t>% of Airbag Value</t>
  </si>
  <si>
    <t>Laborers                          Rs.</t>
  </si>
  <si>
    <t>/-</t>
  </si>
  <si>
    <t>Yes</t>
  </si>
  <si>
    <t>Administration charges (CESS)</t>
  </si>
  <si>
    <t>Value Added Taxes (VAT)</t>
  </si>
  <si>
    <t>500,000/- Cover -</t>
  </si>
  <si>
    <t>1,000,000/- Cover -</t>
  </si>
  <si>
    <r>
      <t>Legal Liability to Passengers</t>
    </r>
    <r>
      <rPr>
        <b/>
        <sz val="10"/>
        <rFont val="Arial"/>
        <family val="2"/>
      </rPr>
      <t xml:space="preserve"> (rates given per passenger)</t>
    </r>
  </si>
  <si>
    <r>
      <t xml:space="preserve">for a </t>
    </r>
    <r>
      <rPr>
        <b/>
        <sz val="9"/>
        <rFont val="Arial"/>
        <family val="2"/>
      </rPr>
      <t>2,000/</t>
    </r>
    <r>
      <rPr>
        <sz val="9"/>
        <rFont val="Arial"/>
        <family val="2"/>
      </rPr>
      <t>- cover</t>
    </r>
  </si>
  <si>
    <r>
      <t xml:space="preserve">for a </t>
    </r>
    <r>
      <rPr>
        <b/>
        <sz val="9"/>
        <rFont val="Arial"/>
        <family val="2"/>
      </rPr>
      <t>500,000/-</t>
    </r>
    <r>
      <rPr>
        <sz val="9"/>
        <rFont val="Arial"/>
        <family val="2"/>
      </rPr>
      <t xml:space="preserve"> cover</t>
    </r>
  </si>
  <si>
    <r>
      <t xml:space="preserve">for a </t>
    </r>
    <r>
      <rPr>
        <b/>
        <sz val="9"/>
        <rFont val="Arial"/>
        <family val="2"/>
      </rPr>
      <t>100,000/-</t>
    </r>
    <r>
      <rPr>
        <sz val="9"/>
        <rFont val="Arial"/>
        <family val="2"/>
      </rPr>
      <t xml:space="preserve"> cover</t>
    </r>
  </si>
  <si>
    <r>
      <t xml:space="preserve">for a </t>
    </r>
    <r>
      <rPr>
        <b/>
        <sz val="9"/>
        <rFont val="Arial"/>
        <family val="2"/>
      </rPr>
      <t>20,000/-</t>
    </r>
    <r>
      <rPr>
        <sz val="9"/>
        <rFont val="Arial"/>
        <family val="2"/>
      </rPr>
      <t xml:space="preserve"> cover</t>
    </r>
  </si>
  <si>
    <r>
      <t xml:space="preserve">for a </t>
    </r>
    <r>
      <rPr>
        <b/>
        <sz val="9"/>
        <rFont val="Arial"/>
        <family val="2"/>
      </rPr>
      <t>10,000/</t>
    </r>
    <r>
      <rPr>
        <sz val="9"/>
        <rFont val="Arial"/>
        <family val="2"/>
      </rPr>
      <t>- cover</t>
    </r>
  </si>
  <si>
    <r>
      <t xml:space="preserve">for a </t>
    </r>
    <r>
      <rPr>
        <b/>
        <sz val="9"/>
        <rFont val="Arial"/>
        <family val="2"/>
      </rPr>
      <t>50,000/-</t>
    </r>
    <r>
      <rPr>
        <sz val="9"/>
        <rFont val="Arial"/>
        <family val="2"/>
      </rPr>
      <t xml:space="preserve"> cover</t>
    </r>
  </si>
  <si>
    <r>
      <t xml:space="preserve">for a </t>
    </r>
    <r>
      <rPr>
        <b/>
        <sz val="9"/>
        <rFont val="Arial"/>
        <family val="2"/>
      </rPr>
      <t>200,000/-</t>
    </r>
    <r>
      <rPr>
        <sz val="9"/>
        <rFont val="Arial"/>
        <family val="2"/>
      </rPr>
      <t xml:space="preserve"> cover</t>
    </r>
  </si>
  <si>
    <t>SLTB Route Cover</t>
  </si>
  <si>
    <t>Extended Towing Charges</t>
  </si>
  <si>
    <t>% of Required Amount</t>
  </si>
  <si>
    <t>Commecial Vehicles</t>
  </si>
  <si>
    <t xml:space="preserve">Private Cars                    </t>
  </si>
  <si>
    <t>*</t>
  </si>
  <si>
    <t>NCB Protection Cover</t>
  </si>
  <si>
    <t>If  0% NCB -</t>
  </si>
  <si>
    <t>If  25% NCB -</t>
  </si>
  <si>
    <t>If  30% NCB -</t>
  </si>
  <si>
    <t>If  38.33% NCB -</t>
  </si>
  <si>
    <t>If  45% NCB -</t>
  </si>
  <si>
    <t>If  55% NCB -</t>
  </si>
  <si>
    <t>If  60% NCB -</t>
  </si>
  <si>
    <t>If  65% NCB -</t>
  </si>
  <si>
    <t>If  70% NCB -</t>
  </si>
  <si>
    <t>If  75% NCB -</t>
  </si>
  <si>
    <t>MAKE &amp; MODEL</t>
  </si>
  <si>
    <t>Cover</t>
  </si>
  <si>
    <t>Windscreen value</t>
  </si>
  <si>
    <t>No. of Persons</t>
  </si>
  <si>
    <t>WCT  to Driver/Attendant/Cleaner</t>
  </si>
  <si>
    <t>Re-Takaful Limit</t>
  </si>
  <si>
    <t>No</t>
  </si>
  <si>
    <t>Motor Cycle Rebate Allowed</t>
  </si>
  <si>
    <t>Maximum Rebate Limit Allowed</t>
  </si>
  <si>
    <t>Maximum Limit for Goods Cover</t>
  </si>
  <si>
    <t>Limit of Cover</t>
  </si>
  <si>
    <t>Free PAB Under Total Drive</t>
  </si>
  <si>
    <t>Maximum Sum Covered Allowed</t>
  </si>
  <si>
    <t>To include Fire</t>
  </si>
  <si>
    <t>% of Goods Value</t>
  </si>
  <si>
    <t>Duty Free Loading</t>
  </si>
  <si>
    <t xml:space="preserve">Hiring Vehicles / Lories/              Busses &amp; Special Type      </t>
  </si>
  <si>
    <t>Hiring Exclusion Cover</t>
  </si>
  <si>
    <t>Charge</t>
  </si>
  <si>
    <t xml:space="preserve">Theft of Parts </t>
  </si>
  <si>
    <t>Allow for other  vehicles ?</t>
  </si>
  <si>
    <r>
      <t xml:space="preserve">Mimimum Limit for </t>
    </r>
    <r>
      <rPr>
        <b/>
        <u/>
        <sz val="10"/>
        <color indexed="16"/>
        <rFont val="Trebuchet MS"/>
        <family val="2"/>
      </rPr>
      <t>Goods Cover</t>
    </r>
  </si>
  <si>
    <t>Allow to other vehicles</t>
  </si>
  <si>
    <t>Allow NCB Protection for other vehicles</t>
  </si>
  <si>
    <t>SLTB</t>
  </si>
  <si>
    <t>No Claim Bonus Protection Cover</t>
  </si>
  <si>
    <t>Administrative charges</t>
  </si>
  <si>
    <t>Free Towing Facility for Motor Cycles</t>
  </si>
  <si>
    <t xml:space="preserve">Limit of Cover - </t>
  </si>
  <si>
    <r>
      <t>Free Towing Facility Limit</t>
    </r>
    <r>
      <rPr>
        <b/>
        <u/>
        <sz val="10"/>
        <rFont val="Trebuchet MS"/>
        <family val="2"/>
      </rPr>
      <t xml:space="preserve"> </t>
    </r>
    <r>
      <rPr>
        <u/>
        <sz val="8"/>
        <color indexed="10"/>
        <rFont val="Trebuchet MS"/>
        <family val="2"/>
      </rPr>
      <t>(Except Motor Cycles)</t>
    </r>
  </si>
  <si>
    <t>for Motor Cycles</t>
  </si>
  <si>
    <t xml:space="preserve">SRCC </t>
  </si>
  <si>
    <t>PAB for workers in Commercial vehicles</t>
  </si>
  <si>
    <t>PAB for Passengers of Buses</t>
  </si>
  <si>
    <t>Description</t>
  </si>
  <si>
    <t>Workmens Compensation</t>
  </si>
  <si>
    <t>0f basic contribution</t>
  </si>
  <si>
    <t>Of sum covered</t>
  </si>
  <si>
    <t>Administrative Charges</t>
  </si>
  <si>
    <t>Com/Veh</t>
  </si>
  <si>
    <t>PAB for private cars / Motor Cycle</t>
  </si>
  <si>
    <t>PAB for Passengers Commercial vehicles</t>
  </si>
  <si>
    <t>Pri or M/cyc</t>
  </si>
  <si>
    <t>bus</t>
  </si>
  <si>
    <t>passenger</t>
  </si>
  <si>
    <t>workers</t>
  </si>
  <si>
    <t>MOTOR COACH / BUS</t>
  </si>
  <si>
    <t>DUAL PURPOSE (Vans)</t>
  </si>
  <si>
    <t xml:space="preserve">Maximum no. of Seats </t>
  </si>
  <si>
    <t>No seats</t>
  </si>
  <si>
    <t>PAB amount</t>
  </si>
  <si>
    <t xml:space="preserve">Maximum No. of seat </t>
  </si>
  <si>
    <t>MOTOR CAR (Private)</t>
  </si>
  <si>
    <t>MOTOR CAR (Hiring)</t>
  </si>
  <si>
    <t>MOTOR JEEP (Hiring)</t>
  </si>
  <si>
    <t>MOTOR JEEP (Private)</t>
  </si>
  <si>
    <t>TRACTOR</t>
  </si>
  <si>
    <t>OTHERS</t>
  </si>
  <si>
    <t>Loadings</t>
  </si>
  <si>
    <t>TRADE PLATE</t>
  </si>
  <si>
    <t>Takaful Contribution:</t>
  </si>
  <si>
    <t xml:space="preserve">Adjustments </t>
  </si>
  <si>
    <t xml:space="preserve">         Hiring / Rent A vehicles</t>
  </si>
  <si>
    <r>
      <t xml:space="preserve">Riot &amp; Strike -         </t>
    </r>
    <r>
      <rPr>
        <sz val="10"/>
        <rFont val="Arial"/>
        <family val="2"/>
      </rPr>
      <t>Private</t>
    </r>
  </si>
  <si>
    <r>
      <t>Terrorism</t>
    </r>
    <r>
      <rPr>
        <sz val="10"/>
        <rFont val="Arial"/>
        <family val="2"/>
      </rPr>
      <t xml:space="preserve"> -              Private</t>
    </r>
  </si>
  <si>
    <t>Nation Building Levy (NBL)</t>
  </si>
  <si>
    <t>REFERENCE NUMBER</t>
  </si>
  <si>
    <t>Motor Car</t>
  </si>
  <si>
    <t>Kandy Regional Office</t>
  </si>
  <si>
    <t>Head Office - 001</t>
  </si>
  <si>
    <t>Head Office - 002</t>
  </si>
  <si>
    <t>Head Office - 003</t>
  </si>
  <si>
    <t>Head Office - 004</t>
  </si>
  <si>
    <t>Head Office - 005</t>
  </si>
  <si>
    <t>Head Office - 006</t>
  </si>
  <si>
    <t>Head Office - 007</t>
  </si>
  <si>
    <t>Head Office - 008</t>
  </si>
  <si>
    <t>Head Office - 009</t>
  </si>
  <si>
    <t>Head Office - 010</t>
  </si>
  <si>
    <t>Pettah Branch - 001</t>
  </si>
  <si>
    <t>Pettah Branch - 002</t>
  </si>
  <si>
    <t>Negombo Branch</t>
  </si>
  <si>
    <t>Galle Branch</t>
  </si>
  <si>
    <t>Matara Branch</t>
  </si>
  <si>
    <t>Puttlam Branch</t>
  </si>
  <si>
    <t>Kandy City Office</t>
  </si>
  <si>
    <t>Matale Branch</t>
  </si>
  <si>
    <t>Gampola Branch</t>
  </si>
  <si>
    <t>Kurunegala Branch</t>
  </si>
  <si>
    <t>Mawanella Branch</t>
  </si>
  <si>
    <t>Kathankudy Branch</t>
  </si>
  <si>
    <t>Kalmunai Branch</t>
  </si>
  <si>
    <t>Trincomalee Branch</t>
  </si>
  <si>
    <t>Ladies Wing</t>
  </si>
  <si>
    <t>Kaduruwela Branch</t>
  </si>
  <si>
    <t>Kalutara Branch</t>
  </si>
  <si>
    <t>Year</t>
  </si>
  <si>
    <t>Month</t>
  </si>
  <si>
    <t>Date</t>
  </si>
  <si>
    <t>User</t>
  </si>
  <si>
    <t>Vehicles Allowed</t>
  </si>
  <si>
    <t>Jeep</t>
  </si>
  <si>
    <t>Dual Purpose</t>
  </si>
  <si>
    <t>Motor Coach</t>
  </si>
  <si>
    <t>Three Wheeler</t>
  </si>
  <si>
    <t>Motor Lorry (Chinese)</t>
  </si>
  <si>
    <t>Motor Cycle (Chinese)</t>
  </si>
  <si>
    <t>Tractor</t>
  </si>
  <si>
    <t>Others</t>
  </si>
  <si>
    <t>Request for Year of Make of the Vehicle</t>
  </si>
  <si>
    <t>Quotation System Administration</t>
  </si>
  <si>
    <t xml:space="preserve">SLTB Route </t>
  </si>
  <si>
    <t>Motor Cycle (Non Chinese)</t>
  </si>
  <si>
    <t>Trade Plate</t>
  </si>
  <si>
    <t>year</t>
  </si>
  <si>
    <t>Excess</t>
  </si>
  <si>
    <t>No years</t>
  </si>
  <si>
    <t>Flood</t>
  </si>
  <si>
    <t>Learner Driver</t>
  </si>
  <si>
    <t>Voluntary</t>
  </si>
  <si>
    <t>Theft of Parts</t>
  </si>
  <si>
    <t>Compulsory Excesses</t>
  </si>
  <si>
    <t>Between 10 to 15 years</t>
  </si>
  <si>
    <t>Between 15 to 20 years</t>
  </si>
  <si>
    <t xml:space="preserve">Learner driver </t>
  </si>
  <si>
    <t>Motor Cycles (Chinese)</t>
  </si>
  <si>
    <t>Þ</t>
  </si>
  <si>
    <t>Password</t>
  </si>
  <si>
    <t>srilankatakaful</t>
  </si>
  <si>
    <t>takafulamana1</t>
  </si>
  <si>
    <t>assalamualaikum3</t>
  </si>
  <si>
    <t>amanashariah6</t>
  </si>
  <si>
    <t>islamicfinance7</t>
  </si>
  <si>
    <t>shariah@amana3</t>
  </si>
  <si>
    <t>quran4u</t>
  </si>
  <si>
    <t>islam4u</t>
  </si>
  <si>
    <t>dowhatuthink</t>
  </si>
  <si>
    <t>allahuakbar5</t>
  </si>
  <si>
    <t>alhamdhulillah6</t>
  </si>
  <si>
    <t>mashaallah9</t>
  </si>
  <si>
    <t>jazakallah5</t>
  </si>
  <si>
    <t>barakallah9</t>
  </si>
  <si>
    <t>fiamanillah6</t>
  </si>
  <si>
    <t>rasulullah4</t>
  </si>
  <si>
    <t>barakallah7</t>
  </si>
  <si>
    <t>yarhamukullah4</t>
  </si>
  <si>
    <t>laailahaillallah9</t>
  </si>
  <si>
    <t>subhanallah6</t>
  </si>
  <si>
    <t>saifullah5</t>
  </si>
  <si>
    <t>asthaghfirullah8</t>
  </si>
  <si>
    <t>dawaththableegh3</t>
  </si>
  <si>
    <t>ilmuzikr0</t>
  </si>
  <si>
    <t>ikhlasunniyyah6</t>
  </si>
  <si>
    <t>illallah</t>
  </si>
  <si>
    <t>kithabullah</t>
  </si>
  <si>
    <t>nabiullah</t>
  </si>
  <si>
    <t>Allow Rent a Motor Cycle</t>
  </si>
  <si>
    <t>SRCC Cover for vehicle</t>
  </si>
  <si>
    <t>Terrorism Cover for vehicle</t>
  </si>
  <si>
    <t>FLAT COMPULSORY EXCESS TO BE IMPOSED</t>
  </si>
  <si>
    <t>Total Excess</t>
  </si>
  <si>
    <t xml:space="preserve">Damage to Goods due to TC </t>
  </si>
  <si>
    <t>Terrorism on Goods</t>
  </si>
  <si>
    <t>Car</t>
  </si>
  <si>
    <t>car</t>
  </si>
  <si>
    <t>jeep</t>
  </si>
  <si>
    <t>Lorry (Chinese)</t>
  </si>
  <si>
    <t>Lorry - Chinese</t>
  </si>
  <si>
    <t>Lorry - Non Chinese</t>
  </si>
  <si>
    <t xml:space="preserve">TOTAL </t>
  </si>
  <si>
    <t>Number of Years to be allowed</t>
  </si>
  <si>
    <r>
      <t>Theft Of Parts</t>
    </r>
    <r>
      <rPr>
        <sz val="11"/>
        <rFont val="Tahoma"/>
        <family val="2"/>
      </rPr>
      <t xml:space="preserve"> </t>
    </r>
  </si>
  <si>
    <t xml:space="preserve">CONTACT DETAILS                            </t>
  </si>
  <si>
    <t xml:space="preserve">YEAR OF MANUFACTURE                 </t>
  </si>
  <si>
    <t>:</t>
  </si>
  <si>
    <t>Minimum</t>
  </si>
  <si>
    <t>è</t>
  </si>
  <si>
    <t>SUB TOTAL 1</t>
  </si>
  <si>
    <t>SUB TOTAL 2</t>
  </si>
  <si>
    <t>SUB TOTAL 3</t>
  </si>
  <si>
    <t>Flood Natural Disaster</t>
  </si>
  <si>
    <t>Show Declaration</t>
  </si>
  <si>
    <t>(3)</t>
  </si>
  <si>
    <t>(1)</t>
  </si>
  <si>
    <t>(2)</t>
  </si>
  <si>
    <r>
      <t xml:space="preserve">SCOPE OF COVER  </t>
    </r>
    <r>
      <rPr>
        <sz val="11"/>
        <rFont val="Tahoma"/>
        <family val="2"/>
      </rPr>
      <t>(as per the Terms, Conditions &amp; Exclusions of the Motor Policy Certificate)</t>
    </r>
  </si>
  <si>
    <t>Free 3rd Party Property Damage Limit</t>
  </si>
  <si>
    <r>
      <t xml:space="preserve">Provide NCB Protection </t>
    </r>
    <r>
      <rPr>
        <b/>
        <sz val="10"/>
        <color indexed="10"/>
        <rFont val="Arial"/>
        <family val="2"/>
      </rPr>
      <t>Free</t>
    </r>
  </si>
  <si>
    <r>
      <t xml:space="preserve">CONTACT DETAILS </t>
    </r>
    <r>
      <rPr>
        <b/>
        <sz val="12"/>
        <rFont val="Tahoma"/>
        <family val="2"/>
      </rPr>
      <t>:</t>
    </r>
  </si>
  <si>
    <r>
      <t xml:space="preserve">PROPOSER'S  NAME </t>
    </r>
    <r>
      <rPr>
        <b/>
        <sz val="12"/>
        <rFont val="Tahoma"/>
        <family val="2"/>
      </rPr>
      <t>:</t>
    </r>
  </si>
  <si>
    <r>
      <t xml:space="preserve">FINANCIAL INTERESTED PARTY </t>
    </r>
    <r>
      <rPr>
        <b/>
        <sz val="12"/>
        <rFont val="Tahoma"/>
        <family val="2"/>
      </rPr>
      <t>:</t>
    </r>
    <r>
      <rPr>
        <b/>
        <sz val="10"/>
        <rFont val="Tahoma"/>
        <family val="2"/>
      </rPr>
      <t xml:space="preserve">  </t>
    </r>
  </si>
  <si>
    <t>Additional Covers / Clauses - As indicated below (ticked and bolded)</t>
  </si>
  <si>
    <r>
      <t xml:space="preserve">N.B.- </t>
    </r>
    <r>
      <rPr>
        <sz val="9"/>
        <rFont val="Tahoma"/>
        <family val="2"/>
      </rPr>
      <t xml:space="preserve">In addition to above, a proportionate amount for depreciation / wear &amp; tear shall be deducted, if brand new spare parts are replaced. </t>
    </r>
  </si>
  <si>
    <t>PERIOD OF COVER</t>
  </si>
  <si>
    <t>Three Months</t>
  </si>
  <si>
    <t>One Year</t>
  </si>
  <si>
    <t>Eight Months</t>
  </si>
  <si>
    <t>Five Months</t>
  </si>
  <si>
    <t>Short Period Scale</t>
  </si>
  <si>
    <t xml:space="preserve">% </t>
  </si>
  <si>
    <t>One month</t>
  </si>
  <si>
    <t>Two Months</t>
  </si>
  <si>
    <t>Four Months</t>
  </si>
  <si>
    <t>Six Months</t>
  </si>
  <si>
    <t>Seven Months</t>
  </si>
  <si>
    <t>Nine Months</t>
  </si>
  <si>
    <t>Ten Months</t>
  </si>
  <si>
    <t>Eleven Months</t>
  </si>
  <si>
    <t>One Week</t>
  </si>
  <si>
    <t>MOTOR LORRY (Non Chinese)</t>
  </si>
  <si>
    <t>MOTOR LORRY (Chinese)</t>
  </si>
  <si>
    <t>Loss or Damage to Vehicle - by Accidental External Means, Theft and Fire (Excludes Theft of parts)</t>
  </si>
  <si>
    <t>Earned NCB</t>
  </si>
  <si>
    <t>Up Front NCB</t>
  </si>
  <si>
    <t>March</t>
  </si>
  <si>
    <t>Private Use Only</t>
  </si>
  <si>
    <t>EXCESSES / DEDUCTIBLES</t>
  </si>
  <si>
    <t>(In the event of a claim, the below amounts shall be deducted from the claims amount)</t>
  </si>
  <si>
    <t>Personal Accident Cover (PAB)</t>
  </si>
  <si>
    <t>Leap Year</t>
  </si>
  <si>
    <t>month</t>
  </si>
  <si>
    <t>Day</t>
  </si>
  <si>
    <t>February</t>
  </si>
  <si>
    <t>to</t>
  </si>
  <si>
    <t>error =</t>
  </si>
  <si>
    <t>days per month</t>
  </si>
  <si>
    <t>July</t>
  </si>
  <si>
    <t>N0. of days</t>
  </si>
  <si>
    <t>Number of days on cover</t>
  </si>
  <si>
    <t>Calculation Amount</t>
  </si>
  <si>
    <t>1 WEEK</t>
  </si>
  <si>
    <t>1 MONTH</t>
  </si>
  <si>
    <t>Short period Rate</t>
  </si>
  <si>
    <t>January</t>
  </si>
  <si>
    <t>2 MONTH</t>
  </si>
  <si>
    <t>3  MONTH</t>
  </si>
  <si>
    <t>Pro Rata Rate</t>
  </si>
  <si>
    <t>4 MONTH</t>
  </si>
  <si>
    <t>April</t>
  </si>
  <si>
    <t>6 MONTH</t>
  </si>
  <si>
    <t>May</t>
  </si>
  <si>
    <t>8 MONTH</t>
  </si>
  <si>
    <t>June</t>
  </si>
  <si>
    <t>August</t>
  </si>
  <si>
    <t>September</t>
  </si>
  <si>
    <t>October</t>
  </si>
  <si>
    <t>November</t>
  </si>
  <si>
    <t>December</t>
  </si>
  <si>
    <t>Number of days need cover</t>
  </si>
  <si>
    <t>FUEL TYPE</t>
  </si>
  <si>
    <t>Chinese</t>
  </si>
  <si>
    <t>Motor Lorry</t>
  </si>
  <si>
    <t xml:space="preserve">Lorry </t>
  </si>
  <si>
    <t>Motor Cycle</t>
  </si>
  <si>
    <t>Korean</t>
  </si>
  <si>
    <t>Korean Vehicles</t>
  </si>
  <si>
    <t>M/R for Brand New Vehicles</t>
  </si>
  <si>
    <t>NCB for Brand New Vehicles</t>
  </si>
  <si>
    <t>Chinese Vehicles - allow</t>
  </si>
  <si>
    <t>Allow discounts?</t>
  </si>
  <si>
    <t>Leasing Companies</t>
  </si>
  <si>
    <t>Allow discounts for old vehicles?</t>
  </si>
  <si>
    <t>Hybrid Vehicles</t>
  </si>
  <si>
    <t xml:space="preserve">Excess on Batteries </t>
  </si>
  <si>
    <t>Excess on all claims</t>
  </si>
  <si>
    <t>Increase rate for individuals</t>
  </si>
  <si>
    <t>HIRE PURCHASE / LEASE</t>
  </si>
  <si>
    <t xml:space="preserve">PROPOSER DESIGNATION  / NAME                            </t>
  </si>
  <si>
    <t>VEHICLE  TYPE</t>
  </si>
  <si>
    <t>COUNTRY OF MAKE</t>
  </si>
  <si>
    <t>Basic Takaful Contribution</t>
  </si>
  <si>
    <t xml:space="preserve">Terrorism (TC)  </t>
  </si>
  <si>
    <t>VEHICLE NO.</t>
  </si>
  <si>
    <t>TOTAL TAKAFUL CONTRIBUTION</t>
  </si>
  <si>
    <t>Alliance Finance Co. PLC</t>
  </si>
  <si>
    <t>Asia Asset Finance Ltd</t>
  </si>
  <si>
    <t>Citizens Development Business Finance PLC</t>
  </si>
  <si>
    <t>Kanrich Finance Limited</t>
  </si>
  <si>
    <t>L B Finance PLC</t>
  </si>
  <si>
    <t>Lanka ORIX Finance PLC</t>
  </si>
  <si>
    <t>Mercantile Investments &amp; Finance PLC</t>
  </si>
  <si>
    <t>Vallibel Finance PLC</t>
  </si>
  <si>
    <t>Assetline Leasing Co Ltd</t>
  </si>
  <si>
    <t>Indra Finance Ltd.</t>
  </si>
  <si>
    <t>Isuru Finance Co Ltd</t>
  </si>
  <si>
    <t>Koshiba Leasing Co Ltd</t>
  </si>
  <si>
    <t>People's Leasing Company PLC</t>
  </si>
  <si>
    <t>Applicable</t>
  </si>
  <si>
    <t>Maximum Upfron NCB</t>
  </si>
  <si>
    <t>Block Private Cars</t>
  </si>
  <si>
    <t>Reveal</t>
  </si>
  <si>
    <r>
      <t xml:space="preserve">: </t>
    </r>
    <r>
      <rPr>
        <b/>
        <sz val="14"/>
        <color indexed="10"/>
        <rFont val="Arial"/>
        <family val="2"/>
      </rPr>
      <t>●</t>
    </r>
  </si>
  <si>
    <r>
      <t xml:space="preserve">: </t>
    </r>
    <r>
      <rPr>
        <b/>
        <sz val="14"/>
        <color indexed="9"/>
        <rFont val="Arial"/>
        <family val="2"/>
      </rPr>
      <t>●</t>
    </r>
  </si>
  <si>
    <t xml:space="preserve">This quotation is offered based on the information provided by the Proposer and is subject to revision upon changes to the risk. Further, this quotation is valid only for 30 days from the date of issue and is subject to revision of government taxes. </t>
  </si>
  <si>
    <r>
      <t xml:space="preserve">Provide </t>
    </r>
    <r>
      <rPr>
        <b/>
        <u/>
        <sz val="8"/>
        <color indexed="10"/>
        <rFont val="Arial"/>
        <family val="2"/>
      </rPr>
      <t>'Goods Cover'</t>
    </r>
    <r>
      <rPr>
        <b/>
        <sz val="8"/>
        <rFont val="Arial"/>
        <family val="2"/>
      </rPr>
      <t xml:space="preserve"> for vehicles other than Vans /Lorries /3 Wheelers/ Tractors</t>
    </r>
  </si>
  <si>
    <t>With Fire</t>
  </si>
  <si>
    <t>2013takaful</t>
  </si>
  <si>
    <t>Born Hybrid</t>
  </si>
  <si>
    <t>• Compulsory Excesses on All Claims</t>
  </si>
  <si>
    <t>Premium increase</t>
  </si>
  <si>
    <t>YEAR OF MAKE (Y.O.M.)</t>
  </si>
  <si>
    <t>(for three wheelers above 5 years)</t>
  </si>
  <si>
    <t>flat</t>
  </si>
  <si>
    <t>without flood / hiring</t>
  </si>
  <si>
    <t>Special Rates</t>
  </si>
  <si>
    <t>Three Wheelers</t>
  </si>
  <si>
    <t>MR</t>
  </si>
  <si>
    <t>General Underwriting</t>
  </si>
  <si>
    <t>Commercial Credit PLC</t>
  </si>
  <si>
    <t>Abans Finance PLC</t>
  </si>
  <si>
    <t>Singer Finance (Lanka) PLC</t>
  </si>
  <si>
    <t>Omek Investments</t>
  </si>
  <si>
    <t>David Pieris Leasing</t>
  </si>
  <si>
    <t>UB Finance</t>
  </si>
  <si>
    <t>Merchant Credit of Sri Lanka Ltd</t>
  </si>
  <si>
    <t>Merchant Bank of Sri Lanka PLC</t>
  </si>
  <si>
    <t>Dharmasiri Investments (Pvt) Ltd.</t>
  </si>
  <si>
    <r>
      <t xml:space="preserve">While we submit our Motor Quotation for your perusal, we assure you of our best services at all times. It's a Pleasure to Serve YOU! </t>
    </r>
    <r>
      <rPr>
        <sz val="11"/>
        <rFont val="Wingdings"/>
        <charset val="2"/>
      </rPr>
      <t>J</t>
    </r>
    <r>
      <rPr>
        <sz val="11"/>
        <rFont val="Tahoma"/>
        <family val="2"/>
      </rPr>
      <t xml:space="preserve"> </t>
    </r>
  </si>
  <si>
    <t>SN Finance</t>
  </si>
  <si>
    <t>Arpico Finance PLC</t>
  </si>
  <si>
    <t>Softlogic Finance PLC</t>
  </si>
  <si>
    <t>Matara District Capital Co-op Society Ltd</t>
  </si>
  <si>
    <t>Trade Finance</t>
  </si>
  <si>
    <t>Bank of Ceylon</t>
  </si>
  <si>
    <t>Nations Lanka Finance PLC</t>
  </si>
  <si>
    <t>Nations Lanka PLC rate</t>
  </si>
  <si>
    <t>(3 wheeler)</t>
  </si>
  <si>
    <t>10% of the Battery Value or Rs. 300,000/-, whichever is the lowest.</t>
  </si>
  <si>
    <t>(Motor Cycles)</t>
  </si>
  <si>
    <t>Assetline</t>
  </si>
  <si>
    <t>above 300K</t>
  </si>
  <si>
    <t>below 300K</t>
  </si>
  <si>
    <t>Commercial Trust Investment (Pvt) Ltd.</t>
  </si>
  <si>
    <t>Thamalu Enterprises</t>
  </si>
  <si>
    <t>Commercial Trust / Thamalu Enterprises</t>
  </si>
  <si>
    <t>New --&gt;</t>
  </si>
  <si>
    <t>MR - Less 10%</t>
  </si>
  <si>
    <t>NCB - Less 10%</t>
  </si>
  <si>
    <t>Mr.</t>
  </si>
  <si>
    <t>Driver Only</t>
  </si>
  <si>
    <t xml:space="preserve">Death Cover </t>
  </si>
  <si>
    <t xml:space="preserve">Hospitalization Cover </t>
  </si>
  <si>
    <t xml:space="preserve">Loss of Income </t>
  </si>
  <si>
    <t>BRAND NEW</t>
  </si>
  <si>
    <t>PETROL (non hybrid)</t>
  </si>
  <si>
    <r>
      <t>SRCC -</t>
    </r>
    <r>
      <rPr>
        <sz val="8"/>
        <rFont val="Tahoma"/>
        <family val="2"/>
      </rPr>
      <t xml:space="preserve"> Strike, Riots &amp; Civil Commotion         </t>
    </r>
    <r>
      <rPr>
        <b/>
        <sz val="8"/>
        <rFont val="Tahoma"/>
        <family val="2"/>
      </rPr>
      <t xml:space="preserve"> Critical Illness Cover </t>
    </r>
    <r>
      <rPr>
        <sz val="8"/>
        <rFont val="Tahoma"/>
        <family val="2"/>
      </rPr>
      <t xml:space="preserve">- ONLY for specified 38 illnesses           </t>
    </r>
    <r>
      <rPr>
        <b/>
        <sz val="8"/>
        <rFont val="Tahoma"/>
        <family val="2"/>
      </rPr>
      <t xml:space="preserve">Hospitalization Cover </t>
    </r>
    <r>
      <rPr>
        <sz val="8"/>
        <rFont val="Tahoma"/>
        <family val="2"/>
      </rPr>
      <t>- Rs.750/- X 10 Days</t>
    </r>
  </si>
  <si>
    <t>Not Applicable</t>
  </si>
  <si>
    <t>Amana Bank Ltd</t>
  </si>
  <si>
    <t>AMW Capital Leasing PLC</t>
  </si>
  <si>
    <t>Arpico Finance Co PLC</t>
  </si>
  <si>
    <t>Arpico Finance PLC- Islamic Unit</t>
  </si>
  <si>
    <t>Asian Finance Ltd</t>
  </si>
  <si>
    <t>Associated Motor Finance Company PLC</t>
  </si>
  <si>
    <t>BOC - "An Noor" Islamic Unit</t>
  </si>
  <si>
    <t>Bartleet Finance PLC</t>
  </si>
  <si>
    <t>Bimputh Lanka Investments PLC</t>
  </si>
  <si>
    <t>Capital Alliance Finance PLC</t>
  </si>
  <si>
    <t>Central Finance Co PLC</t>
  </si>
  <si>
    <t>Central Investments &amp; Finance PLC</t>
  </si>
  <si>
    <t>Ceylease Financial Services Ltd</t>
  </si>
  <si>
    <t>Chilaw Finance Ltd</t>
  </si>
  <si>
    <t>CDB - "Meezan" Islamic Unit</t>
  </si>
  <si>
    <t>City Finance Corporation Ltd.</t>
  </si>
  <si>
    <t>Commercial Bank of Ceylon PLC</t>
  </si>
  <si>
    <t>Commercial Leasing - Islamic Unit</t>
  </si>
  <si>
    <t>Commercial Leasing &amp; Finance Ltd.</t>
  </si>
  <si>
    <t>Co-operative Leasing Co Ltd</t>
  </si>
  <si>
    <t>DFCC Bank</t>
  </si>
  <si>
    <t>DFCC Vardhana Bank PLC</t>
  </si>
  <si>
    <t>Divasa Finance Ltd.</t>
  </si>
  <si>
    <t>Edirisinghe Trust Investments Ltd</t>
  </si>
  <si>
    <t>Hatton National Bank PLC</t>
  </si>
  <si>
    <t>HNB - Islamic Unit</t>
  </si>
  <si>
    <t>LB Finance - "Al Salamah" Islamic Unit</t>
  </si>
  <si>
    <t>Lankaputhra Development Bank Ltd.</t>
  </si>
  <si>
    <t>Lisvin Investments Ltd</t>
  </si>
  <si>
    <t>LOLC Micro Credit Ltd.</t>
  </si>
  <si>
    <t>LOLC - "Al Falaah" Islamic Unit</t>
  </si>
  <si>
    <t>MBSL Savings Bank Ltd</t>
  </si>
  <si>
    <t>MCB Bank Ltd</t>
  </si>
  <si>
    <t>Multi Finance PLC</t>
  </si>
  <si>
    <t>Nanda Investments &amp; Finance Ltd</t>
  </si>
  <si>
    <t>Nation Lanka Finance PLC</t>
  </si>
  <si>
    <t>NDB Bank - Islamic Unit</t>
  </si>
  <si>
    <t>National Development Bank PLC</t>
  </si>
  <si>
    <t>Nations Trust Bank PLC</t>
  </si>
  <si>
    <t>Orient Financial Services Corporation Ltd</t>
  </si>
  <si>
    <t>Pan Asia Banking Corporation PLC</t>
  </si>
  <si>
    <t>People's Bank</t>
  </si>
  <si>
    <t>People's Finance PLC</t>
  </si>
  <si>
    <t>People's Leasing &amp; Finance PLC (Al Safa)</t>
  </si>
  <si>
    <t>People's Merchant Finance PLC.</t>
  </si>
  <si>
    <t>Pradeshiya Sanwardhana Bank</t>
  </si>
  <si>
    <t>Richard Peiris Arpico Finance</t>
  </si>
  <si>
    <t>Sampath Bank PLC</t>
  </si>
  <si>
    <t>Sanasa Development Bank Ltd</t>
  </si>
  <si>
    <t>Senkadagala Finance PLC</t>
  </si>
  <si>
    <t>Seylan Bank PLC.</t>
  </si>
  <si>
    <t xml:space="preserve">Seylan Bank PLC - Islamic Unit </t>
  </si>
  <si>
    <t>Sinhaputhra Finance PLC</t>
  </si>
  <si>
    <t>Siyapatha Finance PLC</t>
  </si>
  <si>
    <t>SMB Leasing PLC</t>
  </si>
  <si>
    <t>Softlogic Credit Limited</t>
  </si>
  <si>
    <t>Sri Lanka Savings Bank Ltd</t>
  </si>
  <si>
    <t>Swarnamahal Financial Services PLC</t>
  </si>
  <si>
    <t>The Finance &amp; Guarantee Co. Ltd</t>
  </si>
  <si>
    <t>The Finance Co PLC</t>
  </si>
  <si>
    <t>The Standard Credit Lanka Ltd</t>
  </si>
  <si>
    <t>Trade Finance &amp; Investments PLC</t>
  </si>
  <si>
    <t>Union Bank of Colombo PLC</t>
  </si>
  <si>
    <t>Important :</t>
  </si>
  <si>
    <t xml:space="preserve">We kindly advice you to insure your vehicle at its current market value to avoid any inconvenience at the time of a claim. In the event of  a claim if the Sum Covered shall be less than the market value, then the participant shall be considered as being his own takaful/ insurer for the difference and shall bear a ratable proportion of the loss or damage accordingly. </t>
  </si>
  <si>
    <t>earned</t>
  </si>
  <si>
    <t>300,000/- Cover -              Rs.</t>
  </si>
  <si>
    <t>INDIA</t>
  </si>
  <si>
    <t>Commercial Bank - "Al Adalah" Islamic Unit</t>
  </si>
  <si>
    <t>Applicable - Non Ijarah</t>
  </si>
  <si>
    <t>PETROL</t>
  </si>
  <si>
    <t>to be advised</t>
  </si>
  <si>
    <t>Below 250cc</t>
  </si>
  <si>
    <t>TO BE ADVISED</t>
  </si>
  <si>
    <t>Dear Sir/Madam,</t>
  </si>
  <si>
    <t>Flood &amp; Natural Disaster Cover</t>
  </si>
  <si>
    <t>GUD/2019/SRC/001</t>
  </si>
  <si>
    <t>Rs.5,000/-</t>
  </si>
  <si>
    <t>• Hiring Exclusion</t>
  </si>
  <si>
    <t>Rs.1,000/-</t>
  </si>
  <si>
    <t>SPECIAL PROMOTION</t>
  </si>
  <si>
    <t>Pesonal Accident Cover (Driver)</t>
  </si>
  <si>
    <t>Notes</t>
  </si>
  <si>
    <r>
      <rPr>
        <b/>
        <sz val="11"/>
        <rFont val="Tahoma"/>
        <family val="2"/>
      </rPr>
      <t xml:space="preserve">1. </t>
    </r>
    <r>
      <rPr>
        <sz val="11"/>
        <rFont val="Tahoma"/>
        <family val="2"/>
      </rPr>
      <t>This quote is invalid if the vehicle is already insured with Amana Takaful PLC or a quote has already been issued for the vehicle.</t>
    </r>
  </si>
  <si>
    <r>
      <rPr>
        <b/>
        <sz val="11"/>
        <rFont val="Tahoma"/>
        <family val="2"/>
      </rPr>
      <t xml:space="preserve">2. </t>
    </r>
    <r>
      <rPr>
        <sz val="11"/>
        <rFont val="Tahoma"/>
        <family val="2"/>
      </rPr>
      <t xml:space="preserve">This quotation is offered based on the information provided by the Proposer and is subject to revision upon changes to the risk. Further, this quotation is valid only for 30 days from the date of issue and is subject to revision of government taxes (if any). </t>
    </r>
  </si>
  <si>
    <t>Basic</t>
  </si>
  <si>
    <t>Sum Insured</t>
  </si>
  <si>
    <t>Gross Premium</t>
  </si>
  <si>
    <t>CESS</t>
  </si>
  <si>
    <t>SRCC</t>
  </si>
  <si>
    <t>TC</t>
  </si>
  <si>
    <t>Net Premium</t>
  </si>
  <si>
    <t>FLOOD</t>
  </si>
  <si>
    <t>H/E</t>
  </si>
  <si>
    <t>Incentive</t>
  </si>
  <si>
    <t>rate with TPPD 100K</t>
  </si>
  <si>
    <t>&lt;-- Allow cover without charging</t>
  </si>
  <si>
    <t>GP</t>
  </si>
  <si>
    <t>WCI</t>
  </si>
  <si>
    <t>Workmens Compensation Cover (for Driver)</t>
  </si>
  <si>
    <t>Rs.2,000/-</t>
  </si>
  <si>
    <t>COMMERCIAL CREDIT</t>
  </si>
  <si>
    <r>
      <t xml:space="preserve">for a </t>
    </r>
    <r>
      <rPr>
        <b/>
        <sz val="9"/>
        <rFont val="Arial"/>
        <family val="2"/>
      </rPr>
      <t>2,000/</t>
    </r>
    <r>
      <rPr>
        <sz val="9"/>
        <rFont val="Arial"/>
        <family val="2"/>
      </rPr>
      <t>- cover</t>
    </r>
  </si>
  <si>
    <r>
      <t xml:space="preserve">for a </t>
    </r>
    <r>
      <rPr>
        <b/>
        <sz val="9"/>
        <rFont val="Arial"/>
        <family val="2"/>
      </rPr>
      <t>10,000/</t>
    </r>
    <r>
      <rPr>
        <sz val="9"/>
        <rFont val="Arial"/>
        <family val="2"/>
      </rPr>
      <t>- cover</t>
    </r>
  </si>
  <si>
    <r>
      <t xml:space="preserve">for a </t>
    </r>
    <r>
      <rPr>
        <b/>
        <sz val="9"/>
        <rFont val="Arial"/>
        <family val="2"/>
      </rPr>
      <t>20,000/-</t>
    </r>
    <r>
      <rPr>
        <sz val="9"/>
        <rFont val="Arial"/>
        <family val="2"/>
      </rPr>
      <t xml:space="preserve"> cover</t>
    </r>
  </si>
  <si>
    <r>
      <t xml:space="preserve">for a </t>
    </r>
    <r>
      <rPr>
        <b/>
        <sz val="9"/>
        <rFont val="Arial"/>
        <family val="2"/>
      </rPr>
      <t>50,000/-</t>
    </r>
    <r>
      <rPr>
        <sz val="9"/>
        <rFont val="Arial"/>
        <family val="2"/>
      </rPr>
      <t xml:space="preserve"> cover</t>
    </r>
  </si>
  <si>
    <r>
      <t xml:space="preserve">for a </t>
    </r>
    <r>
      <rPr>
        <b/>
        <sz val="9"/>
        <rFont val="Arial"/>
        <family val="2"/>
      </rPr>
      <t>100,000/-</t>
    </r>
    <r>
      <rPr>
        <sz val="9"/>
        <rFont val="Arial"/>
        <family val="2"/>
      </rPr>
      <t xml:space="preserve"> cover</t>
    </r>
  </si>
  <si>
    <r>
      <t xml:space="preserve">for a </t>
    </r>
    <r>
      <rPr>
        <b/>
        <sz val="9"/>
        <rFont val="Arial"/>
        <family val="2"/>
      </rPr>
      <t>200,000/-</t>
    </r>
    <r>
      <rPr>
        <sz val="9"/>
        <rFont val="Arial"/>
        <family val="2"/>
      </rPr>
      <t xml:space="preserve"> cover</t>
    </r>
  </si>
  <si>
    <r>
      <t xml:space="preserve">for a </t>
    </r>
    <r>
      <rPr>
        <b/>
        <sz val="9"/>
        <rFont val="Arial"/>
        <family val="2"/>
      </rPr>
      <t>500,000/-</t>
    </r>
    <r>
      <rPr>
        <sz val="9"/>
        <rFont val="Arial"/>
        <family val="2"/>
      </rPr>
      <t xml:space="preserve"> cover</t>
    </r>
  </si>
  <si>
    <t>Motor Cycle Takaful</t>
  </si>
  <si>
    <t>Pesonal Accident Cover (Rider)</t>
  </si>
  <si>
    <r>
      <t>SRCC -</t>
    </r>
    <r>
      <rPr>
        <sz val="8"/>
        <rFont val="Tahoma"/>
        <family val="2"/>
      </rPr>
      <t xml:space="preserve"> Strike, Riots &amp; Civil Commotion</t>
    </r>
  </si>
  <si>
    <t>Rs.2,500/-</t>
  </si>
  <si>
    <r>
      <t>• For Silencers of Bajaj Pulsar's above 199cc  -</t>
    </r>
    <r>
      <rPr>
        <b/>
        <sz val="11"/>
        <color indexed="8"/>
        <rFont val="Tahoma"/>
        <family val="2"/>
      </rPr>
      <t xml:space="preserve"> 50%</t>
    </r>
    <r>
      <rPr>
        <sz val="11"/>
        <color indexed="8"/>
        <rFont val="Tahoma"/>
        <family val="2"/>
      </rPr>
      <t xml:space="preserve"> of replacement value</t>
    </r>
  </si>
  <si>
    <t>Surplus:-</t>
  </si>
  <si>
    <t>If at the end of the period of Takaful stated in the schedule there is a net surplus in the General Takaful Fund, the same shall be shared among the participant on pro rata basis provided always that the participant has not incurred any claim and / or not received any benefits under this Certificate whilst it is in force.</t>
  </si>
  <si>
    <t>If you need further clarifications please feel free to contact us.</t>
  </si>
  <si>
    <t>Special Leasing/2019</t>
  </si>
  <si>
    <t xml:space="preserve">*** SPECIAL LEASING PRMOTION                                      </t>
  </si>
  <si>
    <t>ALLIANZ FINANCE</t>
  </si>
  <si>
    <t>SSCL</t>
  </si>
  <si>
    <r>
      <rPr>
        <b/>
        <sz val="11"/>
        <rFont val="Tahoma"/>
        <family val="2"/>
      </rPr>
      <t xml:space="preserve">3. </t>
    </r>
    <r>
      <rPr>
        <sz val="11"/>
        <rFont val="Tahoma"/>
        <family val="2"/>
      </rPr>
      <t>This quotation is issued with upfront discounts and if any ENCB it will be considered within the upfront discount. According to the policy right of allowing ENCB at renewal will be considered subject to Upfront discount available in the policy.</t>
    </r>
  </si>
  <si>
    <t>Premium Adjustment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</si>
</sst>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9">
    <numFmt numFmtId="43" formatCode="_(* #,##0.00_);_(* \(#,##0.00\);_(* &quot;-&quot;??_);_(@_)"/>
    <numFmt numFmtId="164" formatCode="_-* #,##0.00_-;\-* #,##0.00_-;_-* &quot;-&quot;??_-;_-@_-"/>
    <numFmt numFmtId="165" formatCode="_-* #,##0_-;\-* #,##0_-;_-* &quot;-&quot;??_-;_-@_-"/>
    <numFmt numFmtId="166" formatCode="0.0000%"/>
    <numFmt numFmtId="167" formatCode="0.0%"/>
    <numFmt numFmtId="168" formatCode="#,##0.00_ ;\-#,##0.00\ "/>
    <numFmt numFmtId="169" formatCode="0.00_);\(0.00\)"/>
    <numFmt numFmtId="170" formatCode="[$-409]d\-mmm\-yyyy;@"/>
    <numFmt numFmtId="171" formatCode="#,##0.00;[Red]#,##0.00"/>
    <numFmt numFmtId="172" formatCode="0_);\(0\)"/>
    <numFmt numFmtId="173" formatCode="0.0"/>
    <numFmt numFmtId="174" formatCode="[$-409]mmmm\ d\,\ yyyy;@"/>
    <numFmt numFmtId="175" formatCode="[$-409]d\-mmm\-yy;@"/>
    <numFmt numFmtId="176" formatCode="0.000"/>
    <numFmt numFmtId="177" formatCode="0_);[Red]\(0\)"/>
    <numFmt numFmtId="178" formatCode="0.000_);[Red]\(0.000\)"/>
    <numFmt numFmtId="179" formatCode="0.000%"/>
    <numFmt numFmtId="180" formatCode="0.00000%"/>
    <numFmt numFmtId="181" formatCode="0.000000%"/>
  </numFmts>
  <fonts count="244" x14ac:knownFonts="1">
    <font>
      <sz val="10"/>
      <name val="Arial"/>
    </font>
    <font>
      <sz val="10"/>
      <name val="Arial"/>
      <family val="2"/>
    </font>
    <font>
      <b/>
      <sz val="10"/>
      <name val="Arial"/>
      <family val="2"/>
    </font>
    <font>
      <b/>
      <sz val="10"/>
      <color indexed="10"/>
      <name val="Arial"/>
      <family val="2"/>
    </font>
    <font>
      <b/>
      <sz val="10"/>
      <color indexed="12"/>
      <name val="Arial"/>
      <family val="2"/>
    </font>
    <font>
      <u/>
      <sz val="8.1999999999999993"/>
      <color indexed="12"/>
      <name val="Arial"/>
      <family val="2"/>
    </font>
    <font>
      <b/>
      <sz val="12"/>
      <name val="Arial"/>
      <family val="2"/>
    </font>
    <font>
      <sz val="10"/>
      <name val="Arial"/>
      <family val="2"/>
    </font>
    <font>
      <sz val="12"/>
      <name val="Arial"/>
      <family val="2"/>
    </font>
    <font>
      <sz val="9"/>
      <name val="Arial"/>
      <family val="2"/>
    </font>
    <font>
      <sz val="11"/>
      <name val="Arial"/>
      <family val="2"/>
    </font>
    <font>
      <sz val="8"/>
      <name val="Arial"/>
      <family val="2"/>
    </font>
    <font>
      <b/>
      <sz val="11"/>
      <color indexed="10"/>
      <name val="Arial"/>
      <family val="2"/>
    </font>
    <font>
      <b/>
      <sz val="11"/>
      <name val="Arial"/>
      <family val="2"/>
    </font>
    <font>
      <b/>
      <sz val="9"/>
      <color indexed="10"/>
      <name val="Arial"/>
      <family val="2"/>
    </font>
    <font>
      <b/>
      <sz val="9"/>
      <name val="Arial"/>
      <family val="2"/>
    </font>
    <font>
      <b/>
      <u/>
      <sz val="10"/>
      <name val="Arial"/>
      <family val="2"/>
    </font>
    <font>
      <sz val="14"/>
      <color indexed="9"/>
      <name val="Wingdings"/>
      <charset val="2"/>
    </font>
    <font>
      <sz val="10"/>
      <color indexed="9"/>
      <name val="Arial"/>
      <family val="2"/>
    </font>
    <font>
      <sz val="14"/>
      <color indexed="31"/>
      <name val="Wingdings"/>
      <charset val="2"/>
    </font>
    <font>
      <sz val="11"/>
      <name val="Perpetua Titling MT"/>
      <family val="1"/>
    </font>
    <font>
      <b/>
      <sz val="12"/>
      <color indexed="10"/>
      <name val="Arial"/>
      <family val="2"/>
    </font>
    <font>
      <sz val="10"/>
      <color indexed="9"/>
      <name val="Arial"/>
      <family val="2"/>
    </font>
    <font>
      <sz val="10"/>
      <color indexed="8"/>
      <name val="Arial"/>
      <family val="2"/>
    </font>
    <font>
      <sz val="10"/>
      <color indexed="10"/>
      <name val="Arial"/>
      <family val="2"/>
    </font>
    <font>
      <b/>
      <sz val="12"/>
      <color indexed="9"/>
      <name val="Arial"/>
      <family val="2"/>
    </font>
    <font>
      <b/>
      <sz val="10"/>
      <color indexed="8"/>
      <name val="ARIAL"/>
      <family val="2"/>
    </font>
    <font>
      <b/>
      <sz val="12"/>
      <name val="Trebuchet MS"/>
      <family val="2"/>
    </font>
    <font>
      <sz val="8"/>
      <name val="Arial"/>
      <family val="2"/>
    </font>
    <font>
      <sz val="10"/>
      <name val="Trebuchet MS"/>
      <family val="2"/>
    </font>
    <font>
      <b/>
      <sz val="9"/>
      <name val="Trebuchet MS"/>
      <family val="2"/>
    </font>
    <font>
      <sz val="9"/>
      <name val="Arial"/>
      <family val="2"/>
    </font>
    <font>
      <b/>
      <sz val="10"/>
      <color indexed="10"/>
      <name val="Times New Roman"/>
      <family val="1"/>
    </font>
    <font>
      <b/>
      <sz val="12"/>
      <color indexed="8"/>
      <name val="Trebuchet MS"/>
      <family val="2"/>
    </font>
    <font>
      <sz val="10"/>
      <color indexed="10"/>
      <name val="Arial"/>
      <family val="2"/>
    </font>
    <font>
      <b/>
      <u/>
      <sz val="12"/>
      <color indexed="58"/>
      <name val="Trebuchet MS"/>
      <family val="2"/>
    </font>
    <font>
      <b/>
      <sz val="10"/>
      <color indexed="62"/>
      <name val="Trebuchet MS"/>
      <family val="2"/>
    </font>
    <font>
      <b/>
      <u/>
      <sz val="10"/>
      <name val="Trebuchet MS"/>
      <family val="2"/>
    </font>
    <font>
      <b/>
      <sz val="10"/>
      <color indexed="10"/>
      <name val="Trebuchet MS"/>
      <family val="2"/>
    </font>
    <font>
      <b/>
      <u/>
      <sz val="8"/>
      <name val="Trebuchet MS"/>
      <family val="2"/>
    </font>
    <font>
      <b/>
      <sz val="10"/>
      <color indexed="16"/>
      <name val="Trebuchet MS"/>
      <family val="2"/>
    </font>
    <font>
      <b/>
      <sz val="8"/>
      <color indexed="10"/>
      <name val="Arial"/>
      <family val="2"/>
    </font>
    <font>
      <b/>
      <u/>
      <sz val="14"/>
      <color indexed="18"/>
      <name val="Arial"/>
      <family val="2"/>
    </font>
    <font>
      <sz val="10"/>
      <color indexed="18"/>
      <name val="Arial"/>
      <family val="2"/>
    </font>
    <font>
      <b/>
      <sz val="10"/>
      <color indexed="8"/>
      <name val="ARIAL"/>
      <family val="2"/>
    </font>
    <font>
      <b/>
      <sz val="12"/>
      <color indexed="8"/>
      <name val="Tahoma"/>
      <family val="2"/>
    </font>
    <font>
      <sz val="11"/>
      <name val="Tahoma"/>
      <family val="2"/>
    </font>
    <font>
      <b/>
      <sz val="11"/>
      <color indexed="8"/>
      <name val="Tahoma"/>
      <family val="2"/>
    </font>
    <font>
      <b/>
      <sz val="11"/>
      <name val="Tahoma"/>
      <family val="2"/>
    </font>
    <font>
      <b/>
      <sz val="12"/>
      <name val="Tahoma"/>
      <family val="2"/>
    </font>
    <font>
      <b/>
      <sz val="8"/>
      <color indexed="10"/>
      <name val="Tahoma"/>
      <family val="2"/>
    </font>
    <font>
      <sz val="8"/>
      <name val="Tahoma"/>
      <family val="2"/>
    </font>
    <font>
      <b/>
      <u/>
      <sz val="10"/>
      <color indexed="16"/>
      <name val="Trebuchet MS"/>
      <family val="2"/>
    </font>
    <font>
      <sz val="12"/>
      <name val="Tahoma"/>
      <family val="2"/>
    </font>
    <font>
      <b/>
      <sz val="10"/>
      <name val="Tahoma"/>
      <family val="2"/>
    </font>
    <font>
      <sz val="12"/>
      <color indexed="8"/>
      <name val="Tahoma"/>
      <family val="2"/>
    </font>
    <font>
      <sz val="10"/>
      <name val="Tahoma"/>
      <family val="2"/>
    </font>
    <font>
      <b/>
      <sz val="7"/>
      <name val="Arial"/>
      <family val="2"/>
    </font>
    <font>
      <b/>
      <u/>
      <sz val="9"/>
      <name val="Trebuchet MS"/>
      <family val="2"/>
    </font>
    <font>
      <u/>
      <sz val="8"/>
      <color indexed="10"/>
      <name val="Trebuchet MS"/>
      <family val="2"/>
    </font>
    <font>
      <sz val="10"/>
      <color indexed="8"/>
      <name val="Tahoma"/>
      <family val="2"/>
    </font>
    <font>
      <b/>
      <sz val="11"/>
      <color indexed="8"/>
      <name val="Arial"/>
      <family val="2"/>
    </font>
    <font>
      <sz val="11"/>
      <name val="Arial"/>
      <family val="2"/>
    </font>
    <font>
      <sz val="7"/>
      <color indexed="58"/>
      <name val="Trebuchet MS"/>
      <family val="2"/>
    </font>
    <font>
      <sz val="10"/>
      <color indexed="10"/>
      <name val="Calisto MT"/>
      <family val="1"/>
    </font>
    <font>
      <b/>
      <sz val="11"/>
      <color indexed="12"/>
      <name val="Arial"/>
      <family val="2"/>
    </font>
    <font>
      <sz val="11"/>
      <name val="Copperplate Gothic Light"/>
      <family val="2"/>
    </font>
    <font>
      <b/>
      <sz val="12"/>
      <color indexed="10"/>
      <name val="Tahoma"/>
      <family val="2"/>
    </font>
    <font>
      <b/>
      <sz val="10"/>
      <color indexed="10"/>
      <name val="Tahoma"/>
      <family val="2"/>
    </font>
    <font>
      <b/>
      <sz val="8"/>
      <name val="Tahoma"/>
      <family val="2"/>
    </font>
    <font>
      <b/>
      <sz val="12"/>
      <color indexed="18"/>
      <name val="Tahoma"/>
      <family val="2"/>
    </font>
    <font>
      <sz val="11"/>
      <color indexed="8"/>
      <name val="Tahoma"/>
      <family val="2"/>
    </font>
    <font>
      <b/>
      <sz val="12"/>
      <color indexed="18"/>
      <name val="Trebuchet MS"/>
      <family val="2"/>
    </font>
    <font>
      <b/>
      <u/>
      <sz val="12"/>
      <color indexed="10"/>
      <name val="Tahoma"/>
      <family val="2"/>
    </font>
    <font>
      <sz val="12"/>
      <color indexed="9"/>
      <name val="Tahoma"/>
      <family val="2"/>
    </font>
    <font>
      <sz val="10"/>
      <color indexed="9"/>
      <name val="Book Antiqua"/>
      <family val="1"/>
    </font>
    <font>
      <b/>
      <sz val="14"/>
      <color indexed="10"/>
      <name val="Arial"/>
      <family val="2"/>
    </font>
    <font>
      <b/>
      <u/>
      <sz val="20"/>
      <color indexed="10"/>
      <name val="Tahoma"/>
      <family val="2"/>
    </font>
    <font>
      <sz val="10"/>
      <color indexed="8"/>
      <name val="Copperplate Gothic Light"/>
      <family val="2"/>
    </font>
    <font>
      <sz val="9"/>
      <color indexed="8"/>
      <name val="Arial"/>
      <family val="2"/>
    </font>
    <font>
      <b/>
      <sz val="10"/>
      <color indexed="9"/>
      <name val="Arial"/>
      <family val="2"/>
    </font>
    <font>
      <sz val="10"/>
      <color indexed="55"/>
      <name val="Tahoma"/>
      <family val="2"/>
    </font>
    <font>
      <sz val="10"/>
      <color indexed="18"/>
      <name val="Tahoma"/>
      <family val="2"/>
    </font>
    <font>
      <sz val="10"/>
      <color indexed="58"/>
      <name val="Arial"/>
      <family val="2"/>
    </font>
    <font>
      <b/>
      <sz val="10"/>
      <color indexed="58"/>
      <name val="Arial"/>
      <family val="2"/>
    </font>
    <font>
      <b/>
      <sz val="10"/>
      <color indexed="58"/>
      <name val="Arial"/>
      <family val="2"/>
    </font>
    <font>
      <sz val="10"/>
      <color indexed="58"/>
      <name val="Arial"/>
      <family val="2"/>
    </font>
    <font>
      <sz val="10"/>
      <color indexed="58"/>
      <name val="Calisto MT"/>
      <family val="1"/>
    </font>
    <font>
      <b/>
      <sz val="12"/>
      <color indexed="58"/>
      <name val="Arial"/>
      <family val="2"/>
    </font>
    <font>
      <b/>
      <sz val="12"/>
      <color indexed="50"/>
      <name val="Arial"/>
      <family val="2"/>
    </font>
    <font>
      <sz val="10"/>
      <color indexed="16"/>
      <name val="Arial"/>
      <family val="2"/>
    </font>
    <font>
      <b/>
      <sz val="12"/>
      <color indexed="9"/>
      <name val="Arial"/>
      <family val="2"/>
    </font>
    <font>
      <b/>
      <sz val="12"/>
      <color indexed="9"/>
      <name val="Wingdings"/>
      <charset val="2"/>
    </font>
    <font>
      <sz val="11"/>
      <color indexed="9"/>
      <name val="Arial"/>
      <family val="2"/>
    </font>
    <font>
      <b/>
      <sz val="10"/>
      <color indexed="9"/>
      <name val="Arial"/>
      <family val="2"/>
    </font>
    <font>
      <b/>
      <sz val="14"/>
      <color indexed="9"/>
      <name val="Arial"/>
      <family val="2"/>
    </font>
    <font>
      <b/>
      <sz val="11"/>
      <color indexed="10"/>
      <name val="Tahoma"/>
      <family val="2"/>
    </font>
    <font>
      <sz val="11"/>
      <color indexed="10"/>
      <name val="Tahoma"/>
      <family val="2"/>
    </font>
    <font>
      <b/>
      <sz val="9"/>
      <color indexed="8"/>
      <name val="Tahoma"/>
      <family val="2"/>
    </font>
    <font>
      <sz val="10"/>
      <color indexed="10"/>
      <name val="Tahoma"/>
      <family val="2"/>
    </font>
    <font>
      <b/>
      <u/>
      <sz val="11"/>
      <color indexed="18"/>
      <name val="Tahoma"/>
      <family val="2"/>
    </font>
    <font>
      <b/>
      <u/>
      <sz val="14"/>
      <color indexed="10"/>
      <name val="Arial"/>
      <family val="2"/>
    </font>
    <font>
      <sz val="9"/>
      <color indexed="58"/>
      <name val="Tahoma"/>
      <family val="2"/>
    </font>
    <font>
      <sz val="10"/>
      <color indexed="9"/>
      <name val="Calisto MT"/>
      <family val="1"/>
    </font>
    <font>
      <sz val="10"/>
      <color indexed="13"/>
      <name val="Calisto MT"/>
      <family val="1"/>
    </font>
    <font>
      <b/>
      <u/>
      <sz val="12"/>
      <color indexed="13"/>
      <name val="Tahoma"/>
      <family val="2"/>
    </font>
    <font>
      <u/>
      <sz val="10"/>
      <color indexed="58"/>
      <name val="Tahoma"/>
      <family val="2"/>
    </font>
    <font>
      <sz val="8"/>
      <color indexed="58"/>
      <name val="Calisto MT"/>
      <family val="1"/>
    </font>
    <font>
      <b/>
      <u/>
      <sz val="10"/>
      <color indexed="58"/>
      <name val="Arial"/>
      <family val="2"/>
    </font>
    <font>
      <b/>
      <sz val="9"/>
      <color indexed="58"/>
      <name val="Tahoma"/>
      <family val="2"/>
    </font>
    <font>
      <sz val="9"/>
      <color indexed="58"/>
      <name val="Arial"/>
      <family val="2"/>
    </font>
    <font>
      <sz val="10"/>
      <color indexed="9"/>
      <name val="Tahoma"/>
      <family val="2"/>
    </font>
    <font>
      <sz val="11"/>
      <color indexed="58"/>
      <name val="Tahoma"/>
      <family val="2"/>
    </font>
    <font>
      <b/>
      <u/>
      <sz val="10"/>
      <color indexed="8"/>
      <name val="Tahoma"/>
      <family val="2"/>
    </font>
    <font>
      <b/>
      <sz val="16"/>
      <color indexed="18"/>
      <name val="Tahoma"/>
      <family val="2"/>
    </font>
    <font>
      <b/>
      <u/>
      <sz val="11"/>
      <name val="Tahoma"/>
      <family val="2"/>
    </font>
    <font>
      <b/>
      <u/>
      <sz val="11"/>
      <color indexed="8"/>
      <name val="Tahoma"/>
      <family val="2"/>
    </font>
    <font>
      <b/>
      <sz val="10"/>
      <color indexed="8"/>
      <name val="Tahoma"/>
      <family val="2"/>
    </font>
    <font>
      <b/>
      <sz val="11"/>
      <color indexed="58"/>
      <name val="Arial"/>
      <family val="2"/>
    </font>
    <font>
      <sz val="12"/>
      <color indexed="58"/>
      <name val="Tahoma"/>
      <family val="2"/>
    </font>
    <font>
      <sz val="12"/>
      <color indexed="58"/>
      <name val="Calisto MT"/>
      <family val="1"/>
    </font>
    <font>
      <sz val="10"/>
      <color indexed="58"/>
      <name val="Tahoma"/>
      <family val="2"/>
    </font>
    <font>
      <sz val="11"/>
      <color indexed="9"/>
      <name val="Wingdings"/>
      <charset val="2"/>
    </font>
    <font>
      <b/>
      <sz val="11"/>
      <color indexed="9"/>
      <name val="Tahoma"/>
      <family val="2"/>
    </font>
    <font>
      <b/>
      <u/>
      <sz val="12"/>
      <color indexed="58"/>
      <name val="Tahoma"/>
      <family val="2"/>
    </font>
    <font>
      <sz val="9"/>
      <color indexed="58"/>
      <name val="Arial"/>
      <family val="2"/>
    </font>
    <font>
      <b/>
      <sz val="10"/>
      <color indexed="58"/>
      <name val="Tahoma"/>
      <family val="2"/>
    </font>
    <font>
      <b/>
      <u/>
      <sz val="11"/>
      <color indexed="10"/>
      <name val="Tahoma"/>
      <family val="2"/>
    </font>
    <font>
      <b/>
      <sz val="11"/>
      <color indexed="9"/>
      <name val="Arial"/>
      <family val="2"/>
    </font>
    <font>
      <b/>
      <sz val="12"/>
      <color indexed="58"/>
      <name val="Tahoma"/>
      <family val="2"/>
    </font>
    <font>
      <sz val="8"/>
      <color indexed="58"/>
      <name val="Bookman Old Style"/>
      <family val="1"/>
    </font>
    <font>
      <b/>
      <sz val="8"/>
      <color indexed="18"/>
      <name val="Tahoma"/>
      <family val="2"/>
    </font>
    <font>
      <b/>
      <sz val="9"/>
      <color indexed="9"/>
      <name val="Tahoma"/>
      <family val="2"/>
    </font>
    <font>
      <b/>
      <sz val="14"/>
      <color indexed="18"/>
      <name val="Arial"/>
      <family val="2"/>
    </font>
    <font>
      <b/>
      <sz val="10"/>
      <color indexed="8"/>
      <name val="Wingdings"/>
      <charset val="2"/>
    </font>
    <font>
      <b/>
      <sz val="10"/>
      <color indexed="12"/>
      <name val="Tahoma"/>
      <family val="2"/>
    </font>
    <font>
      <sz val="9"/>
      <name val="Tahoma"/>
      <family val="2"/>
    </font>
    <font>
      <b/>
      <sz val="9"/>
      <name val="Tahoma"/>
      <family val="2"/>
    </font>
    <font>
      <u/>
      <sz val="8"/>
      <color indexed="58"/>
      <name val="Arial"/>
      <family val="2"/>
    </font>
    <font>
      <sz val="9"/>
      <color indexed="58"/>
      <name val="Times New Roman"/>
      <family val="1"/>
    </font>
    <font>
      <b/>
      <sz val="11"/>
      <color indexed="8"/>
      <name val="Copperplate Gothic Light"/>
      <family val="2"/>
    </font>
    <font>
      <b/>
      <sz val="14"/>
      <color indexed="9"/>
      <name val="Wingdings"/>
      <charset val="2"/>
    </font>
    <font>
      <sz val="12"/>
      <color indexed="16"/>
      <name val="Arial Black"/>
      <family val="2"/>
    </font>
    <font>
      <sz val="9"/>
      <color indexed="8"/>
      <name val="Tahoma"/>
      <family val="2"/>
    </font>
    <font>
      <b/>
      <sz val="10"/>
      <color indexed="18"/>
      <name val="Arial"/>
      <family val="2"/>
    </font>
    <font>
      <b/>
      <sz val="12"/>
      <color indexed="10"/>
      <name val="Trebuchet MS"/>
      <family val="2"/>
    </font>
    <font>
      <b/>
      <sz val="10"/>
      <color indexed="42"/>
      <name val="Arial"/>
      <family val="2"/>
    </font>
    <font>
      <sz val="10"/>
      <color indexed="56"/>
      <name val="Tahoma"/>
      <family val="2"/>
    </font>
    <font>
      <b/>
      <sz val="10"/>
      <color indexed="9"/>
      <name val="Tahoma"/>
      <family val="2"/>
    </font>
    <font>
      <sz val="9"/>
      <color indexed="9"/>
      <name val="Arial"/>
      <family val="2"/>
    </font>
    <font>
      <sz val="14"/>
      <color indexed="58"/>
      <name val="Tahoma"/>
      <family val="2"/>
    </font>
    <font>
      <sz val="11"/>
      <color indexed="9"/>
      <name val="Tahoma"/>
      <family val="2"/>
    </font>
    <font>
      <b/>
      <sz val="11"/>
      <color indexed="58"/>
      <name val="Tahoma"/>
      <family val="2"/>
    </font>
    <font>
      <b/>
      <sz val="12"/>
      <color indexed="9"/>
      <name val="Tahoma"/>
      <family val="2"/>
    </font>
    <font>
      <u/>
      <sz val="10"/>
      <color indexed="58"/>
      <name val="Arial"/>
      <family val="2"/>
    </font>
    <font>
      <b/>
      <sz val="8"/>
      <color indexed="58"/>
      <name val="Tahoma"/>
      <family val="2"/>
    </font>
    <font>
      <sz val="8"/>
      <color indexed="58"/>
      <name val="Tahoma"/>
      <family val="2"/>
    </font>
    <font>
      <b/>
      <sz val="7"/>
      <color indexed="58"/>
      <name val="Tahoma"/>
      <family val="2"/>
    </font>
    <font>
      <b/>
      <u/>
      <sz val="8"/>
      <color indexed="58"/>
      <name val="Tahoma"/>
      <family val="2"/>
    </font>
    <font>
      <b/>
      <u/>
      <sz val="7"/>
      <color indexed="58"/>
      <name val="Tahoma"/>
      <family val="2"/>
    </font>
    <font>
      <b/>
      <u/>
      <sz val="10"/>
      <color indexed="58"/>
      <name val="Tahoma"/>
      <family val="2"/>
    </font>
    <font>
      <b/>
      <sz val="12"/>
      <color indexed="16"/>
      <name val="Tahoma"/>
      <family val="2"/>
    </font>
    <font>
      <b/>
      <sz val="10"/>
      <color indexed="58"/>
      <name val="Arial"/>
      <family val="2"/>
    </font>
    <font>
      <b/>
      <sz val="10"/>
      <color indexed="56"/>
      <name val="Tahoma"/>
      <family val="2"/>
    </font>
    <font>
      <sz val="10.5"/>
      <name val="Tahoma"/>
      <family val="2"/>
    </font>
    <font>
      <b/>
      <sz val="10"/>
      <color indexed="18"/>
      <name val="Tahoma"/>
      <family val="2"/>
    </font>
    <font>
      <b/>
      <sz val="14"/>
      <name val="Arial"/>
      <family val="2"/>
    </font>
    <font>
      <sz val="11"/>
      <color indexed="18"/>
      <name val="Arial"/>
      <family val="2"/>
    </font>
    <font>
      <b/>
      <u/>
      <sz val="11"/>
      <color indexed="18"/>
      <name val="Arial"/>
      <family val="2"/>
    </font>
    <font>
      <b/>
      <sz val="13"/>
      <color indexed="8"/>
      <name val="Tahoma"/>
      <family val="2"/>
    </font>
    <font>
      <sz val="11"/>
      <color indexed="59"/>
      <name val="Tahoma"/>
      <family val="2"/>
    </font>
    <font>
      <b/>
      <u/>
      <sz val="12"/>
      <color indexed="18"/>
      <name val="Tahoma"/>
      <family val="2"/>
    </font>
    <font>
      <b/>
      <sz val="16"/>
      <color indexed="58"/>
      <name val="Tahoma"/>
      <family val="2"/>
    </font>
    <font>
      <b/>
      <sz val="8"/>
      <color indexed="56"/>
      <name val="Tahoma"/>
      <family val="2"/>
    </font>
    <font>
      <b/>
      <sz val="8"/>
      <color indexed="58"/>
      <name val="Arial"/>
      <family val="2"/>
    </font>
    <font>
      <b/>
      <sz val="8"/>
      <color indexed="58"/>
      <name val="Arial"/>
      <family val="2"/>
    </font>
    <font>
      <b/>
      <sz val="9"/>
      <color indexed="58"/>
      <name val="Arial"/>
      <family val="2"/>
    </font>
    <font>
      <b/>
      <u/>
      <sz val="10"/>
      <color indexed="58"/>
      <name val="Arial"/>
      <family val="2"/>
    </font>
    <font>
      <sz val="8"/>
      <color indexed="58"/>
      <name val="Arial"/>
      <family val="2"/>
    </font>
    <font>
      <sz val="7"/>
      <color indexed="58"/>
      <name val="Arial"/>
      <family val="2"/>
    </font>
    <font>
      <b/>
      <sz val="16"/>
      <color indexed="10"/>
      <name val="Tahoma"/>
      <family val="2"/>
    </font>
    <font>
      <b/>
      <sz val="16"/>
      <color indexed="58"/>
      <name val="Bodoni MT"/>
      <family val="1"/>
    </font>
    <font>
      <b/>
      <sz val="12"/>
      <color indexed="9"/>
      <name val="Trebuchet MS"/>
      <family val="2"/>
    </font>
    <font>
      <b/>
      <sz val="8"/>
      <name val="Arial"/>
      <family val="2"/>
    </font>
    <font>
      <b/>
      <u/>
      <sz val="8"/>
      <color indexed="10"/>
      <name val="Arial"/>
      <family val="2"/>
    </font>
    <font>
      <sz val="8"/>
      <name val="Verdana"/>
      <family val="2"/>
    </font>
    <font>
      <sz val="11"/>
      <name val="Wingdings"/>
      <charset val="2"/>
    </font>
    <font>
      <u/>
      <sz val="10"/>
      <name val="Arial"/>
      <family val="2"/>
    </font>
    <font>
      <sz val="8"/>
      <color indexed="8"/>
      <name val="Tahoma"/>
      <family val="2"/>
    </font>
    <font>
      <sz val="8"/>
      <color indexed="23"/>
      <name val="Tahoma"/>
      <family val="2"/>
    </font>
    <font>
      <b/>
      <u/>
      <sz val="14"/>
      <name val="Tahoma"/>
      <family val="2"/>
    </font>
    <font>
      <b/>
      <sz val="16"/>
      <color indexed="8"/>
      <name val="Tahoma"/>
      <family val="2"/>
    </font>
    <font>
      <b/>
      <u/>
      <sz val="10"/>
      <name val="Tahoma"/>
      <family val="2"/>
    </font>
    <font>
      <b/>
      <sz val="14"/>
      <color indexed="10"/>
      <name val="Tahoma"/>
      <family val="2"/>
    </font>
    <font>
      <sz val="10"/>
      <name val="Arial"/>
      <family val="2"/>
    </font>
    <font>
      <b/>
      <sz val="20"/>
      <name val="Tahoma"/>
      <family val="2"/>
    </font>
    <font>
      <b/>
      <sz val="10"/>
      <color rgb="FFFF0000"/>
      <name val="Tahoma"/>
      <family val="2"/>
    </font>
    <font>
      <b/>
      <sz val="10"/>
      <color rgb="FF003300"/>
      <name val="Arial"/>
      <family val="2"/>
    </font>
    <font>
      <sz val="10"/>
      <color rgb="FF003300"/>
      <name val="Arial"/>
      <family val="2"/>
    </font>
    <font>
      <sz val="10"/>
      <color rgb="FF003300"/>
      <name val="Calisto MT"/>
      <family val="1"/>
    </font>
    <font>
      <b/>
      <sz val="14"/>
      <color rgb="FFFF0000"/>
      <name val="Arial"/>
      <family val="2"/>
    </font>
    <font>
      <sz val="10"/>
      <color rgb="FFFF0000"/>
      <name val="Arial"/>
      <family val="2"/>
    </font>
    <font>
      <sz val="10"/>
      <color rgb="FFFF0000"/>
      <name val="Symbol"/>
      <family val="1"/>
      <charset val="2"/>
    </font>
    <font>
      <b/>
      <u/>
      <sz val="10"/>
      <color rgb="FF003300"/>
      <name val="Arial"/>
      <family val="2"/>
    </font>
    <font>
      <sz val="10"/>
      <color theme="0"/>
      <name val="Arial"/>
      <family val="2"/>
    </font>
    <font>
      <b/>
      <sz val="8"/>
      <color theme="0"/>
      <name val="Arial"/>
      <family val="2"/>
    </font>
    <font>
      <u/>
      <sz val="10"/>
      <color rgb="FF003300"/>
      <name val="Tahoma"/>
      <family val="2"/>
    </font>
    <font>
      <b/>
      <sz val="11"/>
      <color rgb="FF003300"/>
      <name val="Tahoma"/>
      <family val="2"/>
    </font>
    <font>
      <b/>
      <sz val="11"/>
      <color rgb="FF003300"/>
      <name val="Arial"/>
      <family val="2"/>
    </font>
    <font>
      <b/>
      <sz val="11"/>
      <color theme="1"/>
      <name val="Arial"/>
      <family val="2"/>
    </font>
    <font>
      <b/>
      <sz val="10"/>
      <color rgb="FFC00000"/>
      <name val="Arial"/>
      <family val="2"/>
    </font>
    <font>
      <b/>
      <sz val="10"/>
      <color rgb="FFFF0000"/>
      <name val="Arial"/>
      <family val="2"/>
    </font>
    <font>
      <b/>
      <sz val="11"/>
      <color theme="0"/>
      <name val="Arial"/>
      <family val="2"/>
    </font>
    <font>
      <b/>
      <sz val="10"/>
      <color theme="7" tint="-0.499984740745262"/>
      <name val="Arial"/>
      <family val="2"/>
    </font>
    <font>
      <b/>
      <sz val="11"/>
      <color theme="7" tint="-0.499984740745262"/>
      <name val="Arial"/>
      <family val="2"/>
    </font>
    <font>
      <b/>
      <sz val="9"/>
      <color theme="0"/>
      <name val="Arial"/>
      <family val="2"/>
    </font>
    <font>
      <sz val="10"/>
      <color theme="0"/>
      <name val="Tahoma"/>
      <family val="2"/>
    </font>
    <font>
      <u/>
      <sz val="16"/>
      <color theme="1"/>
      <name val="Britannic Bold"/>
      <family val="2"/>
    </font>
    <font>
      <b/>
      <sz val="10"/>
      <color theme="0"/>
      <name val="Tahoma"/>
      <family val="2"/>
    </font>
    <font>
      <b/>
      <sz val="14"/>
      <color theme="0"/>
      <name val="Tahoma"/>
      <family val="2"/>
    </font>
    <font>
      <b/>
      <sz val="11"/>
      <color theme="0"/>
      <name val="Tahoma"/>
      <family val="2"/>
    </font>
    <font>
      <sz val="9"/>
      <color rgb="FF003300"/>
      <name val="Tahoma"/>
      <family val="2"/>
    </font>
    <font>
      <sz val="8"/>
      <color theme="0"/>
      <name val="Arial"/>
      <family val="2"/>
    </font>
    <font>
      <b/>
      <sz val="10"/>
      <color rgb="FFC00000"/>
      <name val="Tahoma"/>
      <family val="2"/>
    </font>
    <font>
      <sz val="11"/>
      <color rgb="FF003300"/>
      <name val="Tahoma"/>
      <family val="2"/>
    </font>
    <font>
      <sz val="14"/>
      <color theme="0"/>
      <name val="Wingdings"/>
      <charset val="2"/>
    </font>
    <font>
      <b/>
      <sz val="14"/>
      <color theme="0"/>
      <name val="Arial"/>
      <family val="2"/>
    </font>
    <font>
      <b/>
      <u/>
      <sz val="12"/>
      <color rgb="FFFF0000"/>
      <name val="Tahoma"/>
      <family val="2"/>
    </font>
    <font>
      <sz val="11"/>
      <color theme="0"/>
      <name val="Tahoma"/>
      <family val="2"/>
    </font>
    <font>
      <sz val="12"/>
      <color theme="0"/>
      <name val="Times New Roman"/>
      <family val="1"/>
    </font>
    <font>
      <sz val="9"/>
      <color theme="0"/>
      <name val="Arial"/>
      <family val="2"/>
    </font>
    <font>
      <b/>
      <sz val="14"/>
      <color rgb="FF003300"/>
      <name val="Tahoma"/>
      <family val="2"/>
    </font>
    <font>
      <sz val="11"/>
      <color theme="0"/>
      <name val="Arial"/>
      <family val="2"/>
    </font>
    <font>
      <b/>
      <sz val="8"/>
      <color rgb="FFFF0000"/>
      <name val="Arial"/>
      <family val="2"/>
    </font>
    <font>
      <b/>
      <sz val="12"/>
      <color rgb="FFFF0000"/>
      <name val="Tahoma"/>
      <family val="2"/>
    </font>
    <font>
      <b/>
      <u/>
      <sz val="10"/>
      <color rgb="FFC00000"/>
      <name val="Arial"/>
      <family val="2"/>
    </font>
    <font>
      <b/>
      <sz val="10"/>
      <color theme="1"/>
      <name val="Tahoma"/>
      <family val="2"/>
    </font>
    <font>
      <b/>
      <sz val="14"/>
      <color theme="1"/>
      <name val="Tahoma"/>
      <family val="2"/>
    </font>
    <font>
      <sz val="11"/>
      <color theme="1"/>
      <name val="Arial"/>
      <family val="2"/>
    </font>
    <font>
      <b/>
      <sz val="12"/>
      <color theme="0"/>
      <name val="Arial"/>
      <family val="2"/>
    </font>
    <font>
      <b/>
      <sz val="14"/>
      <color rgb="FFFF0000"/>
      <name val="Tahoma"/>
      <family val="2"/>
    </font>
    <font>
      <b/>
      <sz val="14"/>
      <color rgb="FF0070C0"/>
      <name val="Tahoma"/>
      <family val="2"/>
    </font>
    <font>
      <b/>
      <sz val="11"/>
      <color theme="1"/>
      <name val="Tahoma"/>
      <family val="2"/>
    </font>
    <font>
      <sz val="14"/>
      <color theme="1"/>
      <name val="Tahoma"/>
      <family val="2"/>
    </font>
  </fonts>
  <fills count="31">
    <fill>
      <patternFill patternType="none"/>
    </fill>
    <fill>
      <patternFill patternType="gray125"/>
    </fill>
    <fill>
      <patternFill patternType="solid">
        <fgColor indexed="9"/>
        <bgColor indexed="64"/>
      </patternFill>
    </fill>
    <fill>
      <patternFill patternType="solid">
        <fgColor indexed="42"/>
        <bgColor indexed="64"/>
      </patternFill>
    </fill>
    <fill>
      <patternFill patternType="solid">
        <fgColor indexed="44"/>
        <bgColor indexed="64"/>
      </patternFill>
    </fill>
    <fill>
      <patternFill patternType="solid">
        <fgColor indexed="41"/>
        <bgColor indexed="64"/>
      </patternFill>
    </fill>
    <fill>
      <patternFill patternType="solid">
        <fgColor indexed="47"/>
        <bgColor indexed="64"/>
      </patternFill>
    </fill>
    <fill>
      <patternFill patternType="solid">
        <fgColor indexed="47"/>
        <bgColor indexed="47"/>
      </patternFill>
    </fill>
    <fill>
      <patternFill patternType="solid">
        <fgColor indexed="43"/>
        <bgColor indexed="64"/>
      </patternFill>
    </fill>
    <fill>
      <patternFill patternType="solid">
        <fgColor indexed="13"/>
        <bgColor indexed="64"/>
      </patternFill>
    </fill>
    <fill>
      <patternFill patternType="solid">
        <fgColor indexed="40"/>
        <bgColor indexed="64"/>
      </patternFill>
    </fill>
    <fill>
      <patternFill patternType="solid">
        <fgColor indexed="58"/>
        <bgColor indexed="64"/>
      </patternFill>
    </fill>
    <fill>
      <patternFill patternType="solid">
        <fgColor indexed="45"/>
        <bgColor indexed="64"/>
      </patternFill>
    </fill>
    <fill>
      <patternFill patternType="solid">
        <fgColor indexed="51"/>
        <bgColor indexed="64"/>
      </patternFill>
    </fill>
    <fill>
      <patternFill patternType="solid">
        <fgColor indexed="9"/>
        <bgColor indexed="47"/>
      </patternFill>
    </fill>
    <fill>
      <patternFill patternType="solid">
        <fgColor indexed="11"/>
        <bgColor indexed="64"/>
      </patternFill>
    </fill>
    <fill>
      <patternFill patternType="solid">
        <fgColor theme="0"/>
        <bgColor indexed="64"/>
      </patternFill>
    </fill>
    <fill>
      <patternFill patternType="solid">
        <fgColor rgb="FF003300"/>
        <bgColor indexed="64"/>
      </patternFill>
    </fill>
    <fill>
      <patternFill patternType="solid">
        <fgColor rgb="FFFFFF00"/>
        <bgColor indexed="64"/>
      </patternFill>
    </fill>
    <fill>
      <patternFill patternType="solid">
        <fgColor rgb="FFFFFF99"/>
        <bgColor indexed="64"/>
      </patternFill>
    </fill>
    <fill>
      <patternFill patternType="solid">
        <fgColor rgb="FFFF0000"/>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6" tint="0.39997558519241921"/>
        <bgColor indexed="64"/>
      </patternFill>
    </fill>
    <fill>
      <patternFill patternType="solid">
        <fgColor theme="4" tint="-0.499984740745262"/>
        <bgColor indexed="64"/>
      </patternFill>
    </fill>
    <fill>
      <patternFill patternType="solid">
        <fgColor rgb="FFC00000"/>
        <bgColor indexed="64"/>
      </patternFill>
    </fill>
    <fill>
      <patternFill patternType="solid">
        <fgColor theme="3" tint="-0.499984740745262"/>
        <bgColor indexed="64"/>
      </patternFill>
    </fill>
    <fill>
      <patternFill patternType="solid">
        <fgColor rgb="FFFFFF00"/>
        <bgColor theme="0"/>
      </patternFill>
    </fill>
    <fill>
      <patternFill patternType="solid">
        <fgColor rgb="FF00B0F0"/>
        <bgColor indexed="64"/>
      </patternFill>
    </fill>
    <fill>
      <patternFill patternType="solid">
        <fgColor rgb="FFD9D9D9"/>
        <bgColor indexed="64"/>
      </patternFill>
    </fill>
    <fill>
      <patternFill patternType="solid">
        <fgColor rgb="FFFFCC66"/>
        <bgColor indexed="64"/>
      </patternFill>
    </fill>
  </fills>
  <borders count="168">
    <border>
      <left/>
      <right/>
      <top/>
      <bottom/>
      <diagonal/>
    </border>
    <border>
      <left style="double">
        <color indexed="18"/>
      </left>
      <right/>
      <top style="double">
        <color indexed="18"/>
      </top>
      <bottom/>
      <diagonal/>
    </border>
    <border>
      <left/>
      <right/>
      <top style="double">
        <color indexed="18"/>
      </top>
      <bottom/>
      <diagonal/>
    </border>
    <border>
      <left style="double">
        <color indexed="64"/>
      </left>
      <right/>
      <top/>
      <bottom/>
      <diagonal/>
    </border>
    <border>
      <left style="double">
        <color indexed="18"/>
      </left>
      <right/>
      <top/>
      <bottom/>
      <diagonal/>
    </border>
    <border>
      <left/>
      <right style="double">
        <color indexed="18"/>
      </right>
      <top/>
      <bottom/>
      <diagonal/>
    </border>
    <border>
      <left/>
      <right/>
      <top/>
      <bottom style="thin">
        <color indexed="64"/>
      </bottom>
      <diagonal/>
    </border>
    <border>
      <left style="hair">
        <color indexed="64"/>
      </left>
      <right style="hair">
        <color indexed="64"/>
      </right>
      <top style="hair">
        <color indexed="64"/>
      </top>
      <bottom style="hair">
        <color indexed="64"/>
      </bottom>
      <diagonal/>
    </border>
    <border>
      <left style="thick">
        <color indexed="64"/>
      </left>
      <right style="thick">
        <color indexed="64"/>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style="thick">
        <color indexed="64"/>
      </right>
      <top/>
      <bottom/>
      <diagonal/>
    </border>
    <border>
      <left/>
      <right style="thick">
        <color indexed="64"/>
      </right>
      <top/>
      <bottom/>
      <diagonal/>
    </border>
    <border>
      <left style="thick">
        <color indexed="10"/>
      </left>
      <right/>
      <top style="thick">
        <color indexed="10"/>
      </top>
      <bottom/>
      <diagonal/>
    </border>
    <border>
      <left/>
      <right/>
      <top style="thick">
        <color indexed="10"/>
      </top>
      <bottom/>
      <diagonal/>
    </border>
    <border>
      <left/>
      <right style="thick">
        <color indexed="10"/>
      </right>
      <top style="thick">
        <color indexed="10"/>
      </top>
      <bottom/>
      <diagonal/>
    </border>
    <border>
      <left style="thick">
        <color indexed="10"/>
      </left>
      <right/>
      <top/>
      <bottom style="thick">
        <color indexed="10"/>
      </bottom>
      <diagonal/>
    </border>
    <border>
      <left/>
      <right/>
      <top/>
      <bottom style="thick">
        <color indexed="10"/>
      </bottom>
      <diagonal/>
    </border>
    <border>
      <left/>
      <right style="thick">
        <color indexed="10"/>
      </right>
      <top/>
      <bottom style="thick">
        <color indexed="10"/>
      </bottom>
      <diagonal/>
    </border>
    <border>
      <left style="thick">
        <color indexed="8"/>
      </left>
      <right style="thick">
        <color indexed="8"/>
      </right>
      <top style="thick">
        <color indexed="8"/>
      </top>
      <bottom style="thick">
        <color indexed="8"/>
      </bottom>
      <diagonal/>
    </border>
    <border>
      <left style="thick">
        <color indexed="64"/>
      </left>
      <right style="thick">
        <color indexed="64"/>
      </right>
      <top style="thick">
        <color indexed="64"/>
      </top>
      <bottom style="thick">
        <color indexed="64"/>
      </bottom>
      <diagonal/>
    </border>
    <border>
      <left style="thick">
        <color indexed="10"/>
      </left>
      <right style="thick">
        <color indexed="10"/>
      </right>
      <top style="thick">
        <color indexed="10"/>
      </top>
      <bottom style="thick">
        <color indexed="10"/>
      </bottom>
      <diagonal/>
    </border>
    <border>
      <left style="thick">
        <color indexed="64"/>
      </left>
      <right/>
      <top/>
      <bottom style="thick">
        <color indexed="64"/>
      </bottom>
      <diagonal/>
    </border>
    <border>
      <left style="thick">
        <color indexed="64"/>
      </left>
      <right/>
      <top style="thick">
        <color indexed="64"/>
      </top>
      <bottom/>
      <diagonal/>
    </border>
    <border>
      <left/>
      <right/>
      <top style="medium">
        <color indexed="17"/>
      </top>
      <bottom/>
      <diagonal/>
    </border>
    <border>
      <left style="medium">
        <color indexed="17"/>
      </left>
      <right style="medium">
        <color indexed="17"/>
      </right>
      <top style="medium">
        <color indexed="17"/>
      </top>
      <bottom style="medium">
        <color indexed="64"/>
      </bottom>
      <diagonal/>
    </border>
    <border>
      <left style="medium">
        <color indexed="64"/>
      </left>
      <right style="medium">
        <color indexed="64"/>
      </right>
      <top style="medium">
        <color indexed="64"/>
      </top>
      <bottom style="hair">
        <color indexed="12"/>
      </bottom>
      <diagonal/>
    </border>
    <border>
      <left/>
      <right/>
      <top style="medium">
        <color indexed="64"/>
      </top>
      <bottom style="hair">
        <color indexed="12"/>
      </bottom>
      <diagonal/>
    </border>
    <border>
      <left/>
      <right style="medium">
        <color indexed="64"/>
      </right>
      <top style="medium">
        <color indexed="64"/>
      </top>
      <bottom style="hair">
        <color indexed="12"/>
      </bottom>
      <diagonal/>
    </border>
    <border>
      <left style="medium">
        <color indexed="64"/>
      </left>
      <right style="medium">
        <color indexed="64"/>
      </right>
      <top style="hair">
        <color indexed="12"/>
      </top>
      <bottom style="hair">
        <color indexed="12"/>
      </bottom>
      <diagonal/>
    </border>
    <border>
      <left/>
      <right/>
      <top style="hair">
        <color indexed="12"/>
      </top>
      <bottom style="hair">
        <color indexed="12"/>
      </bottom>
      <diagonal/>
    </border>
    <border>
      <left/>
      <right style="medium">
        <color indexed="64"/>
      </right>
      <top style="hair">
        <color indexed="12"/>
      </top>
      <bottom style="hair">
        <color indexed="12"/>
      </bottom>
      <diagonal/>
    </border>
    <border>
      <left/>
      <right/>
      <top style="hair">
        <color indexed="12"/>
      </top>
      <bottom/>
      <diagonal/>
    </border>
    <border>
      <left/>
      <right style="medium">
        <color indexed="64"/>
      </right>
      <top style="hair">
        <color indexed="12"/>
      </top>
      <bottom/>
      <diagonal/>
    </border>
    <border>
      <left style="medium">
        <color indexed="64"/>
      </left>
      <right/>
      <top/>
      <bottom style="hair">
        <color indexed="12"/>
      </bottom>
      <diagonal/>
    </border>
    <border>
      <left/>
      <right style="medium">
        <color indexed="64"/>
      </right>
      <top/>
      <bottom style="hair">
        <color indexed="12"/>
      </bottom>
      <diagonal/>
    </border>
    <border>
      <left style="dashDotDot">
        <color indexed="64"/>
      </left>
      <right style="double">
        <color indexed="18"/>
      </right>
      <top style="dashDotDot">
        <color indexed="64"/>
      </top>
      <bottom style="dashDotDot">
        <color indexed="64"/>
      </bottom>
      <diagonal/>
    </border>
    <border>
      <left/>
      <right/>
      <top style="hair">
        <color indexed="64"/>
      </top>
      <bottom/>
      <diagonal/>
    </border>
    <border>
      <left style="thick">
        <color indexed="10"/>
      </left>
      <right/>
      <top/>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medium">
        <color indexed="64"/>
      </left>
      <right style="medium">
        <color indexed="64"/>
      </right>
      <top style="hair">
        <color indexed="12"/>
      </top>
      <bottom/>
      <diagonal/>
    </border>
    <border>
      <left/>
      <right/>
      <top/>
      <bottom style="hair">
        <color indexed="12"/>
      </bottom>
      <diagonal/>
    </border>
    <border>
      <left style="medium">
        <color indexed="64"/>
      </left>
      <right style="medium">
        <color indexed="64"/>
      </right>
      <top/>
      <bottom style="hair">
        <color indexed="12"/>
      </bottom>
      <diagonal/>
    </border>
    <border>
      <left style="medium">
        <color indexed="64"/>
      </left>
      <right style="medium">
        <color indexed="64"/>
      </right>
      <top style="medium">
        <color indexed="64"/>
      </top>
      <bottom style="medium">
        <color indexed="64"/>
      </bottom>
      <diagonal/>
    </border>
    <border>
      <left/>
      <right style="double">
        <color indexed="18"/>
      </right>
      <top style="double">
        <color indexed="18"/>
      </top>
      <bottom/>
      <diagonal/>
    </border>
    <border>
      <left style="double">
        <color indexed="18"/>
      </left>
      <right/>
      <top/>
      <bottom style="double">
        <color indexed="18"/>
      </bottom>
      <diagonal/>
    </border>
    <border>
      <left/>
      <right/>
      <top/>
      <bottom style="double">
        <color indexed="18"/>
      </bottom>
      <diagonal/>
    </border>
    <border>
      <left/>
      <right style="double">
        <color indexed="18"/>
      </right>
      <top/>
      <bottom style="double">
        <color indexed="18"/>
      </bottom>
      <diagonal/>
    </border>
    <border>
      <left/>
      <right style="double">
        <color indexed="64"/>
      </right>
      <top/>
      <bottom/>
      <diagonal/>
    </border>
    <border>
      <left style="double">
        <color indexed="18"/>
      </left>
      <right/>
      <top/>
      <bottom style="thick">
        <color indexed="33"/>
      </bottom>
      <diagonal/>
    </border>
    <border>
      <left/>
      <right/>
      <top/>
      <bottom style="thick">
        <color indexed="33"/>
      </bottom>
      <diagonal/>
    </border>
    <border>
      <left/>
      <right/>
      <top style="thick">
        <color indexed="33"/>
      </top>
      <bottom/>
      <diagonal/>
    </border>
    <border>
      <left/>
      <right style="thick">
        <color indexed="64"/>
      </right>
      <top style="mediumDashed">
        <color indexed="64"/>
      </top>
      <bottom style="thick">
        <color indexed="64"/>
      </bottom>
      <diagonal/>
    </border>
    <border>
      <left/>
      <right style="thick">
        <color indexed="33"/>
      </right>
      <top/>
      <bottom style="thick">
        <color indexed="33"/>
      </bottom>
      <diagonal/>
    </border>
    <border>
      <left style="medium">
        <color indexed="8"/>
      </left>
      <right style="medium">
        <color indexed="8"/>
      </right>
      <top style="medium">
        <color indexed="8"/>
      </top>
      <bottom style="medium">
        <color indexed="8"/>
      </bottom>
      <diagonal/>
    </border>
    <border>
      <left/>
      <right style="thin">
        <color indexed="64"/>
      </right>
      <top/>
      <bottom/>
      <diagonal/>
    </border>
    <border>
      <left style="double">
        <color indexed="64"/>
      </left>
      <right/>
      <top style="double">
        <color indexed="64"/>
      </top>
      <bottom/>
      <diagonal/>
    </border>
    <border>
      <left style="medium">
        <color indexed="58"/>
      </left>
      <right/>
      <top/>
      <bottom/>
      <diagonal/>
    </border>
    <border>
      <left/>
      <right/>
      <top style="thin">
        <color indexed="64"/>
      </top>
      <bottom/>
      <diagonal/>
    </border>
    <border>
      <left style="thin">
        <color indexed="58"/>
      </left>
      <right style="thin">
        <color indexed="58"/>
      </right>
      <top style="thin">
        <color indexed="58"/>
      </top>
      <bottom style="thin">
        <color indexed="58"/>
      </bottom>
      <diagonal/>
    </border>
    <border>
      <left style="medium">
        <color indexed="58"/>
      </left>
      <right style="medium">
        <color indexed="58"/>
      </right>
      <top style="medium">
        <color indexed="58"/>
      </top>
      <bottom style="medium">
        <color indexed="58"/>
      </bottom>
      <diagonal/>
    </border>
    <border>
      <left style="thick">
        <color indexed="12"/>
      </left>
      <right style="thick">
        <color indexed="12"/>
      </right>
      <top style="thick">
        <color indexed="12"/>
      </top>
      <bottom style="thick">
        <color indexed="12"/>
      </bottom>
      <diagonal/>
    </border>
    <border>
      <left style="medium">
        <color indexed="64"/>
      </left>
      <right style="medium">
        <color indexed="64"/>
      </right>
      <top style="hair">
        <color indexed="12"/>
      </top>
      <bottom style="medium">
        <color indexed="64"/>
      </bottom>
      <diagonal/>
    </border>
    <border>
      <left style="medium">
        <color indexed="64"/>
      </left>
      <right/>
      <top style="hair">
        <color indexed="12"/>
      </top>
      <bottom style="medium">
        <color indexed="64"/>
      </bottom>
      <diagonal/>
    </border>
    <border>
      <left/>
      <right/>
      <top style="hair">
        <color indexed="12"/>
      </top>
      <bottom style="medium">
        <color indexed="64"/>
      </bottom>
      <diagonal/>
    </border>
    <border>
      <left/>
      <right style="thick">
        <color indexed="58"/>
      </right>
      <top style="thick">
        <color indexed="58"/>
      </top>
      <bottom/>
      <diagonal/>
    </border>
    <border>
      <left/>
      <right style="medium">
        <color indexed="64"/>
      </right>
      <top/>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right/>
      <top style="thin">
        <color indexed="58"/>
      </top>
      <bottom style="thin">
        <color indexed="58"/>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style="double">
        <color indexed="64"/>
      </left>
      <right style="double">
        <color indexed="18"/>
      </right>
      <top style="medium">
        <color indexed="18"/>
      </top>
      <bottom style="medium">
        <color indexed="18"/>
      </bottom>
      <diagonal/>
    </border>
    <border>
      <left/>
      <right/>
      <top/>
      <bottom style="thick">
        <color indexed="8"/>
      </bottom>
      <diagonal/>
    </border>
    <border>
      <left style="double">
        <color indexed="18"/>
      </left>
      <right/>
      <top style="thick">
        <color indexed="8"/>
      </top>
      <bottom/>
      <diagonal/>
    </border>
    <border>
      <left/>
      <right style="double">
        <color indexed="56"/>
      </right>
      <top/>
      <bottom/>
      <diagonal/>
    </border>
    <border>
      <left/>
      <right style="double">
        <color indexed="64"/>
      </right>
      <top style="thin">
        <color indexed="64"/>
      </top>
      <bottom/>
      <diagonal/>
    </border>
    <border>
      <left/>
      <right style="double">
        <color indexed="18"/>
      </right>
      <top style="thin">
        <color indexed="64"/>
      </top>
      <bottom/>
      <diagonal/>
    </border>
    <border>
      <left style="double">
        <color indexed="18"/>
      </left>
      <right/>
      <top/>
      <bottom style="thin">
        <color indexed="8"/>
      </bottom>
      <diagonal/>
    </border>
    <border>
      <left style="hair">
        <color indexed="64"/>
      </left>
      <right style="hair">
        <color indexed="64"/>
      </right>
      <top style="hair">
        <color indexed="64"/>
      </top>
      <bottom style="thin">
        <color indexed="8"/>
      </bottom>
      <diagonal/>
    </border>
    <border>
      <left/>
      <right/>
      <top/>
      <bottom style="thin">
        <color indexed="8"/>
      </bottom>
      <diagonal/>
    </border>
    <border>
      <left/>
      <right style="thick">
        <color indexed="58"/>
      </right>
      <top/>
      <bottom style="thick">
        <color indexed="58"/>
      </bottom>
      <diagonal/>
    </border>
    <border>
      <left/>
      <right/>
      <top/>
      <bottom style="medium">
        <color indexed="17"/>
      </bottom>
      <diagonal/>
    </border>
    <border>
      <left style="double">
        <color indexed="18"/>
      </left>
      <right/>
      <top style="medium">
        <color indexed="8"/>
      </top>
      <bottom/>
      <diagonal/>
    </border>
    <border>
      <left/>
      <right/>
      <top style="medium">
        <color indexed="8"/>
      </top>
      <bottom/>
      <diagonal/>
    </border>
    <border>
      <left/>
      <right style="double">
        <color indexed="18"/>
      </right>
      <top style="medium">
        <color indexed="8"/>
      </top>
      <bottom/>
      <diagonal/>
    </border>
    <border>
      <left style="thin">
        <color indexed="58"/>
      </left>
      <right style="thin">
        <color indexed="58"/>
      </right>
      <top style="thin">
        <color indexed="58"/>
      </top>
      <bottom/>
      <diagonal/>
    </border>
    <border>
      <left style="medium">
        <color indexed="58"/>
      </left>
      <right style="medium">
        <color indexed="58"/>
      </right>
      <top style="medium">
        <color indexed="8"/>
      </top>
      <bottom style="medium">
        <color indexed="58"/>
      </bottom>
      <diagonal/>
    </border>
    <border>
      <left style="medium">
        <color indexed="58"/>
      </left>
      <right/>
      <top style="medium">
        <color indexed="8"/>
      </top>
      <bottom/>
      <diagonal/>
    </border>
    <border>
      <left style="double">
        <color indexed="18"/>
      </left>
      <right style="medium">
        <color indexed="8"/>
      </right>
      <top style="medium">
        <color indexed="8"/>
      </top>
      <bottom style="medium">
        <color indexed="8"/>
      </bottom>
      <diagonal/>
    </border>
    <border>
      <left style="medium">
        <color indexed="58"/>
      </left>
      <right style="medium">
        <color indexed="58"/>
      </right>
      <top style="medium">
        <color indexed="58"/>
      </top>
      <bottom/>
      <diagonal/>
    </border>
    <border>
      <left style="medium">
        <color indexed="18"/>
      </left>
      <right style="medium">
        <color indexed="18"/>
      </right>
      <top style="medium">
        <color indexed="18"/>
      </top>
      <bottom style="medium">
        <color indexed="18"/>
      </bottom>
      <diagonal/>
    </border>
    <border>
      <left/>
      <right style="medium">
        <color indexed="58"/>
      </right>
      <top/>
      <bottom/>
      <diagonal/>
    </border>
    <border>
      <left style="medium">
        <color indexed="64"/>
      </left>
      <right style="medium">
        <color indexed="64"/>
      </right>
      <top style="medium">
        <color indexed="64"/>
      </top>
      <bottom/>
      <diagonal/>
    </border>
    <border>
      <left style="medium">
        <color indexed="8"/>
      </left>
      <right style="double">
        <color indexed="56"/>
      </right>
      <top style="medium">
        <color indexed="8"/>
      </top>
      <bottom/>
      <diagonal/>
    </border>
    <border>
      <left style="medium">
        <color indexed="58"/>
      </left>
      <right style="medium">
        <color indexed="58"/>
      </right>
      <top/>
      <bottom/>
      <diagonal/>
    </border>
    <border>
      <left style="double">
        <color indexed="64"/>
      </left>
      <right/>
      <top style="medium">
        <color indexed="18"/>
      </top>
      <bottom style="medium">
        <color indexed="18"/>
      </bottom>
      <diagonal/>
    </border>
    <border>
      <left style="double">
        <color indexed="64"/>
      </left>
      <right/>
      <top style="medium">
        <color indexed="64"/>
      </top>
      <bottom style="medium">
        <color indexed="64"/>
      </bottom>
      <diagonal/>
    </border>
    <border>
      <left style="medium">
        <color indexed="58"/>
      </left>
      <right style="medium">
        <color indexed="58"/>
      </right>
      <top/>
      <bottom style="medium">
        <color indexed="58"/>
      </bottom>
      <diagonal/>
    </border>
    <border>
      <left/>
      <right style="double">
        <color indexed="56"/>
      </right>
      <top/>
      <bottom style="thick">
        <color indexed="8"/>
      </bottom>
      <diagonal/>
    </border>
    <border>
      <left style="hair">
        <color indexed="64"/>
      </left>
      <right/>
      <top/>
      <bottom/>
      <diagonal/>
    </border>
    <border>
      <left style="double">
        <color indexed="18"/>
      </left>
      <right style="thin">
        <color indexed="18"/>
      </right>
      <top style="thin">
        <color indexed="18"/>
      </top>
      <bottom style="thin">
        <color indexed="18"/>
      </bottom>
      <diagonal/>
    </border>
    <border>
      <left/>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style="medium">
        <color indexed="32"/>
      </left>
      <right/>
      <top style="medium">
        <color indexed="32"/>
      </top>
      <bottom style="medium">
        <color indexed="32"/>
      </bottom>
      <diagonal/>
    </border>
    <border>
      <left/>
      <right/>
      <top style="medium">
        <color indexed="32"/>
      </top>
      <bottom style="medium">
        <color indexed="32"/>
      </bottom>
      <diagonal/>
    </border>
    <border>
      <left/>
      <right style="medium">
        <color indexed="32"/>
      </right>
      <top style="medium">
        <color indexed="32"/>
      </top>
      <bottom style="medium">
        <color indexed="32"/>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thick">
        <color indexed="17"/>
      </left>
      <right/>
      <top style="thick">
        <color indexed="17"/>
      </top>
      <bottom style="thick">
        <color indexed="64"/>
      </bottom>
      <diagonal/>
    </border>
    <border>
      <left/>
      <right style="thick">
        <color indexed="17"/>
      </right>
      <top style="thick">
        <color indexed="17"/>
      </top>
      <bottom style="thick">
        <color indexed="64"/>
      </bottom>
      <diagonal/>
    </border>
    <border>
      <left style="mediumDashed">
        <color indexed="64"/>
      </left>
      <right/>
      <top style="mediumDashed">
        <color indexed="64"/>
      </top>
      <bottom/>
      <diagonal/>
    </border>
    <border>
      <left style="thick">
        <color indexed="64"/>
      </left>
      <right/>
      <top style="thin">
        <color indexed="64"/>
      </top>
      <bottom style="thin">
        <color indexed="64"/>
      </bottom>
      <diagonal/>
    </border>
    <border>
      <left/>
      <right/>
      <top style="thin">
        <color indexed="64"/>
      </top>
      <bottom style="thin">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10"/>
      </left>
      <right/>
      <top style="thick">
        <color indexed="10"/>
      </top>
      <bottom style="thick">
        <color indexed="10"/>
      </bottom>
      <diagonal/>
    </border>
    <border>
      <left/>
      <right style="thick">
        <color indexed="10"/>
      </right>
      <top style="thick">
        <color indexed="10"/>
      </top>
      <bottom style="thick">
        <color indexed="10"/>
      </bottom>
      <diagonal/>
    </border>
    <border>
      <left/>
      <right/>
      <top style="thick">
        <color indexed="10"/>
      </top>
      <bottom style="thick">
        <color indexed="10"/>
      </bottom>
      <diagonal/>
    </border>
    <border>
      <left style="thin">
        <color indexed="64"/>
      </left>
      <right/>
      <top style="thin">
        <color indexed="64"/>
      </top>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thin">
        <color indexed="64"/>
      </top>
      <bottom style="thick">
        <color indexed="64"/>
      </bottom>
      <diagonal/>
    </border>
    <border>
      <left/>
      <right/>
      <top style="thin">
        <color indexed="64"/>
      </top>
      <bottom style="thick">
        <color indexed="64"/>
      </bottom>
      <diagonal/>
    </border>
    <border>
      <left style="thick">
        <color indexed="64"/>
      </left>
      <right style="thick">
        <color indexed="64"/>
      </right>
      <top/>
      <bottom style="thick">
        <color indexed="64"/>
      </bottom>
      <diagonal/>
    </border>
    <border>
      <left/>
      <right style="thin">
        <color indexed="64"/>
      </right>
      <top/>
      <bottom style="thin">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58"/>
      </left>
      <right/>
      <top style="medium">
        <color indexed="58"/>
      </top>
      <bottom style="medium">
        <color indexed="58"/>
      </bottom>
      <diagonal/>
    </border>
    <border>
      <left/>
      <right/>
      <top style="medium">
        <color indexed="58"/>
      </top>
      <bottom style="medium">
        <color indexed="58"/>
      </bottom>
      <diagonal/>
    </border>
    <border>
      <left/>
      <right style="medium">
        <color indexed="58"/>
      </right>
      <top style="medium">
        <color indexed="58"/>
      </top>
      <bottom style="medium">
        <color indexed="58"/>
      </bottom>
      <diagonal/>
    </border>
    <border>
      <left style="medium">
        <color indexed="58"/>
      </left>
      <right/>
      <top style="medium">
        <color indexed="58"/>
      </top>
      <bottom/>
      <diagonal/>
    </border>
    <border>
      <left/>
      <right style="double">
        <color indexed="56"/>
      </right>
      <top style="medium">
        <color indexed="58"/>
      </top>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double">
        <color indexed="18"/>
      </left>
      <right/>
      <top style="medium">
        <color indexed="18"/>
      </top>
      <bottom style="medium">
        <color indexed="18"/>
      </bottom>
      <diagonal/>
    </border>
    <border>
      <left/>
      <right style="medium">
        <color indexed="18"/>
      </right>
      <top style="medium">
        <color indexed="18"/>
      </top>
      <bottom style="medium">
        <color indexed="18"/>
      </bottom>
      <diagonal/>
    </border>
    <border>
      <left/>
      <right style="double">
        <color indexed="56"/>
      </right>
      <top style="medium">
        <color indexed="58"/>
      </top>
      <bottom style="medium">
        <color indexed="58"/>
      </bottom>
      <diagonal/>
    </border>
    <border>
      <left style="medium">
        <color indexed="58"/>
      </left>
      <right/>
      <top/>
      <bottom style="medium">
        <color indexed="58"/>
      </bottom>
      <diagonal/>
    </border>
    <border>
      <left/>
      <right style="medium">
        <color indexed="58"/>
      </right>
      <top/>
      <bottom style="medium">
        <color indexed="58"/>
      </bottom>
      <diagonal/>
    </border>
    <border>
      <left/>
      <right/>
      <top style="thick">
        <color indexed="8"/>
      </top>
      <bottom/>
      <diagonal/>
    </border>
    <border>
      <left/>
      <right style="thick">
        <color indexed="8"/>
      </right>
      <top style="thick">
        <color indexed="8"/>
      </top>
      <bottom/>
      <diagonal/>
    </border>
    <border>
      <left/>
      <right style="thick">
        <color indexed="8"/>
      </right>
      <top/>
      <bottom style="thick">
        <color indexed="8"/>
      </bottom>
      <diagonal/>
    </border>
    <border>
      <left/>
      <right style="medium">
        <color indexed="58"/>
      </right>
      <top style="medium">
        <color indexed="58"/>
      </top>
      <bottom/>
      <diagonal/>
    </border>
    <border>
      <left style="medium">
        <color indexed="58"/>
      </left>
      <right/>
      <top style="medium">
        <color indexed="58"/>
      </top>
      <bottom style="thick">
        <color indexed="8"/>
      </bottom>
      <diagonal/>
    </border>
    <border>
      <left/>
      <right style="medium">
        <color indexed="58"/>
      </right>
      <top style="medium">
        <color indexed="58"/>
      </top>
      <bottom style="thick">
        <color indexed="8"/>
      </bottom>
      <diagonal/>
    </border>
    <border>
      <left/>
      <right style="double">
        <color indexed="18"/>
      </right>
      <top style="thick">
        <color indexed="8"/>
      </top>
      <bottom/>
      <diagonal/>
    </border>
    <border>
      <left style="medium">
        <color indexed="8"/>
      </left>
      <right/>
      <top style="medium">
        <color indexed="58"/>
      </top>
      <bottom/>
      <diagonal/>
    </border>
    <border>
      <left/>
      <right/>
      <top style="medium">
        <color indexed="58"/>
      </top>
      <bottom/>
      <diagonal/>
    </border>
    <border>
      <left style="double">
        <color indexed="18"/>
      </left>
      <right/>
      <top/>
      <bottom style="thick">
        <color indexed="8"/>
      </bottom>
      <diagonal/>
    </border>
    <border>
      <left style="double">
        <color indexed="18"/>
      </left>
      <right/>
      <top style="thick">
        <color indexed="8"/>
      </top>
      <bottom style="thick">
        <color indexed="8"/>
      </bottom>
      <diagonal/>
    </border>
    <border>
      <left/>
      <right style="thick">
        <color indexed="8"/>
      </right>
      <top style="thick">
        <color indexed="8"/>
      </top>
      <bottom style="thick">
        <color indexed="8"/>
      </bottom>
      <diagonal/>
    </border>
    <border>
      <left/>
      <right style="double">
        <color rgb="FF003300"/>
      </right>
      <top/>
      <bottom/>
      <diagonal/>
    </border>
  </borders>
  <cellStyleXfs count="7">
    <xf numFmtId="0" fontId="0" fillId="0" borderId="0"/>
    <xf numFmtId="164" fontId="1" fillId="0" borderId="0" applyFont="0" applyFill="0" applyBorder="0" applyAlignment="0" applyProtection="0"/>
    <xf numFmtId="164" fontId="7" fillId="0" borderId="0" applyFont="0" applyFill="0" applyBorder="0" applyAlignment="0" applyProtection="0"/>
    <xf numFmtId="0" fontId="5" fillId="0" borderId="0" applyNumberFormat="0" applyFill="0" applyBorder="0" applyAlignment="0" applyProtection="0">
      <alignment vertical="top"/>
      <protection locked="0"/>
    </xf>
    <xf numFmtId="0" fontId="7" fillId="0" borderId="0"/>
    <xf numFmtId="9" fontId="1" fillId="0" borderId="0" applyFont="0" applyFill="0" applyBorder="0" applyAlignment="0" applyProtection="0"/>
    <xf numFmtId="9" fontId="7" fillId="0" borderId="0" applyFont="0" applyFill="0" applyBorder="0" applyAlignment="0" applyProtection="0"/>
  </cellStyleXfs>
  <cellXfs count="1835">
    <xf numFmtId="0" fontId="0" fillId="0" borderId="0" xfId="0"/>
    <xf numFmtId="0" fontId="0" fillId="2" borderId="0" xfId="0" applyFill="1" applyProtection="1">
      <protection hidden="1"/>
    </xf>
    <xf numFmtId="0" fontId="0" fillId="0" borderId="1" xfId="0" applyBorder="1" applyProtection="1">
      <protection hidden="1"/>
    </xf>
    <xf numFmtId="0" fontId="7" fillId="0" borderId="2" xfId="0" applyFont="1" applyBorder="1" applyProtection="1">
      <protection hidden="1"/>
    </xf>
    <xf numFmtId="0" fontId="0" fillId="3" borderId="0" xfId="0" applyFill="1" applyProtection="1">
      <protection hidden="1"/>
    </xf>
    <xf numFmtId="0" fontId="0" fillId="3" borderId="3" xfId="0" applyFill="1" applyBorder="1" applyProtection="1">
      <protection hidden="1"/>
    </xf>
    <xf numFmtId="0" fontId="0" fillId="2" borderId="4" xfId="0" applyFill="1" applyBorder="1" applyProtection="1">
      <protection hidden="1"/>
    </xf>
    <xf numFmtId="0" fontId="0" fillId="2" borderId="0" xfId="0" applyFill="1" applyBorder="1" applyProtection="1">
      <protection hidden="1"/>
    </xf>
    <xf numFmtId="0" fontId="2" fillId="2" borderId="0" xfId="0" applyFont="1" applyFill="1" applyBorder="1" applyAlignment="1" applyProtection="1">
      <alignment horizontal="center"/>
      <protection hidden="1"/>
    </xf>
    <xf numFmtId="0" fontId="7" fillId="2" borderId="0" xfId="0" applyFont="1" applyFill="1" applyBorder="1" applyProtection="1">
      <protection hidden="1"/>
    </xf>
    <xf numFmtId="0" fontId="10" fillId="2" borderId="0" xfId="0" applyFont="1" applyFill="1" applyBorder="1" applyProtection="1">
      <protection hidden="1"/>
    </xf>
    <xf numFmtId="0" fontId="8" fillId="2" borderId="0" xfId="0" applyFont="1" applyFill="1" applyBorder="1" applyProtection="1">
      <protection hidden="1"/>
    </xf>
    <xf numFmtId="0" fontId="2" fillId="2" borderId="0" xfId="0" applyFont="1" applyFill="1" applyBorder="1" applyAlignment="1" applyProtection="1">
      <alignment vertical="top" wrapText="1" shrinkToFit="1"/>
      <protection hidden="1"/>
    </xf>
    <xf numFmtId="0" fontId="2" fillId="2" borderId="5" xfId="0" applyFont="1" applyFill="1" applyBorder="1" applyAlignment="1" applyProtection="1">
      <alignment vertical="top" wrapText="1" shrinkToFit="1"/>
      <protection hidden="1"/>
    </xf>
    <xf numFmtId="0" fontId="0" fillId="2" borderId="0" xfId="0" applyFill="1" applyBorder="1" applyAlignment="1" applyProtection="1">
      <alignment vertical="top" wrapText="1"/>
      <protection hidden="1"/>
    </xf>
    <xf numFmtId="0" fontId="0" fillId="0" borderId="0" xfId="0" applyBorder="1" applyProtection="1">
      <protection hidden="1"/>
    </xf>
    <xf numFmtId="0" fontId="7" fillId="0" borderId="0" xfId="0" applyFont="1" applyBorder="1" applyProtection="1">
      <protection hidden="1"/>
    </xf>
    <xf numFmtId="0" fontId="6" fillId="2" borderId="6" xfId="0" applyFont="1" applyFill="1" applyBorder="1" applyProtection="1">
      <protection hidden="1"/>
    </xf>
    <xf numFmtId="0" fontId="7" fillId="2" borderId="6" xfId="0" applyFont="1" applyFill="1" applyBorder="1" applyProtection="1">
      <protection hidden="1"/>
    </xf>
    <xf numFmtId="0" fontId="0" fillId="2" borderId="6" xfId="0" applyFill="1" applyBorder="1" applyProtection="1">
      <protection hidden="1"/>
    </xf>
    <xf numFmtId="164" fontId="7" fillId="2" borderId="6" xfId="1" applyFont="1" applyFill="1" applyBorder="1" applyProtection="1">
      <protection hidden="1"/>
    </xf>
    <xf numFmtId="0" fontId="17" fillId="2" borderId="7" xfId="0" applyFont="1" applyFill="1" applyBorder="1" applyAlignment="1" applyProtection="1">
      <alignment wrapText="1"/>
      <protection hidden="1"/>
    </xf>
    <xf numFmtId="0" fontId="19" fillId="2" borderId="0" xfId="0" applyFont="1" applyFill="1" applyBorder="1" applyAlignment="1" applyProtection="1">
      <alignment wrapText="1"/>
      <protection hidden="1"/>
    </xf>
    <xf numFmtId="0" fontId="18" fillId="2" borderId="0" xfId="0" applyFont="1" applyFill="1" applyBorder="1" applyProtection="1">
      <protection hidden="1"/>
    </xf>
    <xf numFmtId="0" fontId="6" fillId="2" borderId="0" xfId="0" applyFont="1" applyFill="1" applyBorder="1" applyAlignment="1" applyProtection="1">
      <alignment horizontal="center"/>
      <protection hidden="1"/>
    </xf>
    <xf numFmtId="0" fontId="2" fillId="4" borderId="8" xfId="0" applyFont="1" applyFill="1" applyBorder="1" applyProtection="1">
      <protection hidden="1"/>
    </xf>
    <xf numFmtId="0" fontId="0" fillId="4" borderId="9" xfId="0" applyFill="1" applyBorder="1" applyProtection="1">
      <protection hidden="1"/>
    </xf>
    <xf numFmtId="0" fontId="0" fillId="4" borderId="10" xfId="0" applyFill="1" applyBorder="1" applyProtection="1">
      <protection hidden="1"/>
    </xf>
    <xf numFmtId="0" fontId="2" fillId="5" borderId="11" xfId="0" applyFont="1" applyFill="1" applyBorder="1" applyProtection="1">
      <protection hidden="1"/>
    </xf>
    <xf numFmtId="0" fontId="2" fillId="5" borderId="0" xfId="0" applyFont="1" applyFill="1" applyBorder="1" applyProtection="1">
      <protection hidden="1"/>
    </xf>
    <xf numFmtId="0" fontId="0" fillId="5" borderId="0" xfId="0" applyFill="1" applyBorder="1" applyProtection="1">
      <protection hidden="1"/>
    </xf>
    <xf numFmtId="0" fontId="0" fillId="5" borderId="12" xfId="0" applyFill="1" applyBorder="1" applyProtection="1">
      <protection hidden="1"/>
    </xf>
    <xf numFmtId="0" fontId="2" fillId="4" borderId="11" xfId="0" applyFont="1" applyFill="1" applyBorder="1" applyProtection="1">
      <protection hidden="1"/>
    </xf>
    <xf numFmtId="0" fontId="16" fillId="4" borderId="0" xfId="0" applyFont="1" applyFill="1" applyBorder="1" applyProtection="1">
      <protection hidden="1"/>
    </xf>
    <xf numFmtId="0" fontId="32" fillId="4" borderId="0" xfId="0" applyFont="1" applyFill="1" applyBorder="1" applyProtection="1">
      <protection hidden="1"/>
    </xf>
    <xf numFmtId="0" fontId="0" fillId="4" borderId="0" xfId="0" applyFill="1" applyBorder="1" applyProtection="1">
      <protection hidden="1"/>
    </xf>
    <xf numFmtId="0" fontId="0" fillId="4" borderId="12" xfId="0" applyFill="1" applyBorder="1" applyProtection="1">
      <protection hidden="1"/>
    </xf>
    <xf numFmtId="0" fontId="0" fillId="4" borderId="0" xfId="0" applyFill="1" applyProtection="1">
      <protection hidden="1"/>
    </xf>
    <xf numFmtId="0" fontId="2" fillId="4" borderId="0" xfId="0" applyFont="1" applyFill="1" applyBorder="1" applyProtection="1">
      <protection hidden="1"/>
    </xf>
    <xf numFmtId="0" fontId="29" fillId="2" borderId="0" xfId="0" applyFont="1" applyFill="1" applyProtection="1">
      <protection hidden="1"/>
    </xf>
    <xf numFmtId="0" fontId="0" fillId="6" borderId="13" xfId="0" applyFill="1" applyBorder="1" applyProtection="1">
      <protection hidden="1"/>
    </xf>
    <xf numFmtId="0" fontId="26" fillId="7" borderId="14" xfId="0" applyFont="1" applyFill="1" applyBorder="1" applyAlignment="1" applyProtection="1">
      <alignment horizontal="right"/>
      <protection hidden="1"/>
    </xf>
    <xf numFmtId="0" fontId="33" fillId="7" borderId="14" xfId="0" quotePrefix="1" applyFont="1" applyFill="1" applyBorder="1" applyProtection="1">
      <protection hidden="1"/>
    </xf>
    <xf numFmtId="0" fontId="2" fillId="7" borderId="15" xfId="0" applyFont="1" applyFill="1" applyBorder="1" applyProtection="1">
      <protection hidden="1"/>
    </xf>
    <xf numFmtId="0" fontId="0" fillId="6" borderId="16" xfId="0" applyFill="1" applyBorder="1" applyProtection="1">
      <protection hidden="1"/>
    </xf>
    <xf numFmtId="0" fontId="26" fillId="7" borderId="17" xfId="0" applyFont="1" applyFill="1" applyBorder="1" applyAlignment="1" applyProtection="1">
      <alignment horizontal="right"/>
      <protection hidden="1"/>
    </xf>
    <xf numFmtId="0" fontId="33" fillId="7" borderId="17" xfId="0" quotePrefix="1" applyFont="1" applyFill="1" applyBorder="1" applyProtection="1">
      <protection hidden="1"/>
    </xf>
    <xf numFmtId="0" fontId="2" fillId="7" borderId="18" xfId="0" applyFont="1" applyFill="1" applyBorder="1" applyProtection="1">
      <protection hidden="1"/>
    </xf>
    <xf numFmtId="0" fontId="0" fillId="4" borderId="0" xfId="0" applyFill="1" applyBorder="1" applyAlignment="1" applyProtection="1">
      <alignment horizontal="right"/>
      <protection hidden="1"/>
    </xf>
    <xf numFmtId="0" fontId="32" fillId="4" borderId="12" xfId="0" applyFont="1" applyFill="1" applyBorder="1" applyProtection="1">
      <protection hidden="1"/>
    </xf>
    <xf numFmtId="0" fontId="1" fillId="4" borderId="0" xfId="0" applyFont="1" applyFill="1" applyBorder="1" applyAlignment="1" applyProtection="1">
      <alignment horizontal="right"/>
      <protection hidden="1"/>
    </xf>
    <xf numFmtId="0" fontId="40" fillId="8" borderId="19" xfId="0" applyFont="1" applyFill="1" applyBorder="1" applyAlignment="1" applyProtection="1">
      <alignment horizontal="center"/>
      <protection hidden="1"/>
    </xf>
    <xf numFmtId="0" fontId="37" fillId="2" borderId="0" xfId="0" applyFont="1" applyFill="1" applyProtection="1">
      <protection hidden="1"/>
    </xf>
    <xf numFmtId="0" fontId="40" fillId="2" borderId="0" xfId="0" applyFont="1" applyFill="1" applyProtection="1">
      <protection hidden="1"/>
    </xf>
    <xf numFmtId="0" fontId="14" fillId="9" borderId="20" xfId="0" applyFont="1" applyFill="1" applyBorder="1" applyAlignment="1" applyProtection="1">
      <alignment horizontal="center"/>
      <protection hidden="1"/>
    </xf>
    <xf numFmtId="0" fontId="16" fillId="5" borderId="0" xfId="0" applyFont="1" applyFill="1" applyBorder="1" applyProtection="1">
      <protection hidden="1"/>
    </xf>
    <xf numFmtId="0" fontId="0" fillId="5" borderId="0" xfId="0" quotePrefix="1" applyFill="1" applyBorder="1" applyProtection="1">
      <protection hidden="1"/>
    </xf>
    <xf numFmtId="0" fontId="31" fillId="5" borderId="0" xfId="0" applyFont="1" applyFill="1" applyBorder="1" applyAlignment="1" applyProtection="1">
      <alignment wrapText="1"/>
      <protection hidden="1"/>
    </xf>
    <xf numFmtId="0" fontId="0" fillId="5" borderId="0" xfId="0" quotePrefix="1" applyFill="1" applyBorder="1" applyAlignment="1" applyProtection="1">
      <alignment vertical="center"/>
      <protection hidden="1"/>
    </xf>
    <xf numFmtId="0" fontId="39" fillId="2" borderId="0" xfId="0" applyFont="1" applyFill="1" applyProtection="1">
      <protection hidden="1"/>
    </xf>
    <xf numFmtId="0" fontId="0" fillId="4" borderId="11" xfId="0" applyFill="1" applyBorder="1" applyProtection="1">
      <protection hidden="1"/>
    </xf>
    <xf numFmtId="0" fontId="31" fillId="4" borderId="0" xfId="0" applyFont="1" applyFill="1" applyBorder="1" applyProtection="1">
      <protection hidden="1"/>
    </xf>
    <xf numFmtId="0" fontId="30" fillId="2" borderId="0" xfId="0" applyFont="1" applyFill="1" applyProtection="1">
      <protection hidden="1"/>
    </xf>
    <xf numFmtId="0" fontId="2" fillId="2" borderId="0" xfId="0" applyFont="1" applyFill="1" applyProtection="1">
      <protection hidden="1"/>
    </xf>
    <xf numFmtId="0" fontId="0" fillId="5" borderId="11" xfId="0" applyFill="1" applyBorder="1" applyProtection="1">
      <protection hidden="1"/>
    </xf>
    <xf numFmtId="0" fontId="0" fillId="4" borderId="11" xfId="0" applyFill="1" applyBorder="1" applyAlignment="1" applyProtection="1">
      <alignment horizontal="right"/>
      <protection hidden="1"/>
    </xf>
    <xf numFmtId="9" fontId="0" fillId="4" borderId="0" xfId="0" applyNumberFormat="1" applyFill="1" applyBorder="1" applyAlignment="1" applyProtection="1">
      <alignment horizontal="left"/>
      <protection hidden="1"/>
    </xf>
    <xf numFmtId="0" fontId="0" fillId="5" borderId="0" xfId="0" applyFill="1" applyBorder="1" applyAlignment="1" applyProtection="1">
      <alignment horizontal="right"/>
      <protection hidden="1"/>
    </xf>
    <xf numFmtId="0" fontId="3" fillId="6" borderId="21" xfId="0" applyFont="1" applyFill="1" applyBorder="1" applyAlignment="1" applyProtection="1">
      <alignment horizontal="center"/>
      <protection hidden="1"/>
    </xf>
    <xf numFmtId="0" fontId="17" fillId="2" borderId="0" xfId="0" applyFont="1" applyFill="1" applyBorder="1" applyAlignment="1" applyProtection="1">
      <alignment wrapText="1"/>
      <protection hidden="1"/>
    </xf>
    <xf numFmtId="0" fontId="31" fillId="4" borderId="0" xfId="0" applyFont="1" applyFill="1" applyBorder="1" applyAlignment="1" applyProtection="1">
      <alignment horizontal="right"/>
      <protection hidden="1"/>
    </xf>
    <xf numFmtId="0" fontId="0" fillId="2" borderId="22" xfId="0" applyFill="1" applyBorder="1" applyProtection="1">
      <protection hidden="1"/>
    </xf>
    <xf numFmtId="0" fontId="0" fillId="2" borderId="23" xfId="0" applyFill="1" applyBorder="1" applyProtection="1">
      <protection hidden="1"/>
    </xf>
    <xf numFmtId="0" fontId="49" fillId="2" borderId="0" xfId="0" applyFont="1" applyFill="1" applyBorder="1" applyProtection="1">
      <protection hidden="1"/>
    </xf>
    <xf numFmtId="0" fontId="53" fillId="2" borderId="0" xfId="0" applyFont="1" applyFill="1" applyBorder="1" applyProtection="1">
      <protection hidden="1"/>
    </xf>
    <xf numFmtId="0" fontId="48" fillId="2" borderId="0" xfId="0" applyFont="1" applyFill="1" applyBorder="1" applyProtection="1">
      <protection hidden="1"/>
    </xf>
    <xf numFmtId="0" fontId="46" fillId="2" borderId="0" xfId="0" applyFont="1" applyFill="1" applyBorder="1" applyAlignment="1" applyProtection="1">
      <alignment horizontal="right"/>
      <protection hidden="1"/>
    </xf>
    <xf numFmtId="0" fontId="46" fillId="2" borderId="0" xfId="0" applyFont="1" applyFill="1" applyBorder="1" applyProtection="1">
      <protection hidden="1"/>
    </xf>
    <xf numFmtId="0" fontId="55" fillId="2" borderId="0" xfId="0" applyFont="1" applyFill="1" applyBorder="1" applyProtection="1">
      <protection hidden="1"/>
    </xf>
    <xf numFmtId="0" fontId="53" fillId="2" borderId="0" xfId="0" applyFont="1" applyFill="1" applyBorder="1" applyAlignment="1" applyProtection="1">
      <alignment horizontal="left"/>
      <protection hidden="1"/>
    </xf>
    <xf numFmtId="0" fontId="56" fillId="2" borderId="0" xfId="0" applyFont="1" applyFill="1" applyBorder="1" applyProtection="1">
      <protection hidden="1"/>
    </xf>
    <xf numFmtId="0" fontId="48" fillId="2" borderId="0" xfId="0" applyFont="1" applyFill="1" applyBorder="1" applyAlignment="1" applyProtection="1">
      <alignment horizontal="left"/>
      <protection hidden="1"/>
    </xf>
    <xf numFmtId="0" fontId="58" fillId="2" borderId="0" xfId="0" applyFont="1" applyFill="1" applyProtection="1">
      <protection hidden="1"/>
    </xf>
    <xf numFmtId="0" fontId="2" fillId="2" borderId="0" xfId="0" applyFont="1" applyFill="1" applyAlignment="1" applyProtection="1">
      <alignment horizontal="right"/>
      <protection hidden="1"/>
    </xf>
    <xf numFmtId="0" fontId="16" fillId="2" borderId="0" xfId="0" applyFont="1" applyFill="1" applyProtection="1">
      <protection hidden="1"/>
    </xf>
    <xf numFmtId="0" fontId="57" fillId="2" borderId="0" xfId="0" applyFont="1" applyFill="1" applyAlignment="1" applyProtection="1">
      <alignment horizontal="left"/>
      <protection hidden="1"/>
    </xf>
    <xf numFmtId="0" fontId="2" fillId="4" borderId="20" xfId="0" applyFont="1" applyFill="1" applyBorder="1" applyAlignment="1" applyProtection="1">
      <alignment horizontal="center"/>
      <protection hidden="1"/>
    </xf>
    <xf numFmtId="0" fontId="2" fillId="10" borderId="20" xfId="0" applyFont="1" applyFill="1" applyBorder="1" applyAlignment="1" applyProtection="1">
      <alignment horizontal="center"/>
      <protection hidden="1"/>
    </xf>
    <xf numFmtId="0" fontId="35" fillId="3" borderId="24" xfId="0" applyFont="1" applyFill="1" applyBorder="1" applyAlignment="1" applyProtection="1">
      <protection hidden="1"/>
    </xf>
    <xf numFmtId="0" fontId="35" fillId="3" borderId="25" xfId="0" applyFont="1" applyFill="1" applyBorder="1" applyAlignment="1" applyProtection="1">
      <protection hidden="1"/>
    </xf>
    <xf numFmtId="0" fontId="2" fillId="4" borderId="26" xfId="0" applyFont="1" applyFill="1" applyBorder="1" applyProtection="1">
      <protection hidden="1"/>
    </xf>
    <xf numFmtId="0" fontId="30" fillId="4" borderId="27" xfId="0" applyFont="1" applyFill="1" applyBorder="1" applyProtection="1">
      <protection hidden="1"/>
    </xf>
    <xf numFmtId="0" fontId="27" fillId="4" borderId="27" xfId="0" quotePrefix="1" applyFont="1" applyFill="1" applyBorder="1" applyProtection="1">
      <protection hidden="1"/>
    </xf>
    <xf numFmtId="0" fontId="36" fillId="4" borderId="28" xfId="0" applyFont="1" applyFill="1" applyBorder="1" applyProtection="1">
      <protection hidden="1"/>
    </xf>
    <xf numFmtId="0" fontId="2" fillId="5" borderId="29" xfId="0" applyFont="1" applyFill="1" applyBorder="1" applyProtection="1">
      <protection hidden="1"/>
    </xf>
    <xf numFmtId="0" fontId="30" fillId="5" borderId="30" xfId="0" applyFont="1" applyFill="1" applyBorder="1" applyProtection="1">
      <protection hidden="1"/>
    </xf>
    <xf numFmtId="0" fontId="27" fillId="5" borderId="30" xfId="0" quotePrefix="1" applyFont="1" applyFill="1" applyBorder="1" applyProtection="1">
      <protection hidden="1"/>
    </xf>
    <xf numFmtId="0" fontId="36" fillId="5" borderId="31" xfId="0" applyFont="1" applyFill="1" applyBorder="1" applyProtection="1">
      <protection hidden="1"/>
    </xf>
    <xf numFmtId="0" fontId="2" fillId="4" borderId="29" xfId="0" applyFont="1" applyFill="1" applyBorder="1" applyProtection="1">
      <protection hidden="1"/>
    </xf>
    <xf numFmtId="0" fontId="30" fillId="4" borderId="30" xfId="0" applyFont="1" applyFill="1" applyBorder="1" applyProtection="1">
      <protection hidden="1"/>
    </xf>
    <xf numFmtId="0" fontId="27" fillId="4" borderId="30" xfId="0" quotePrefix="1" applyFont="1" applyFill="1" applyBorder="1" applyProtection="1">
      <protection hidden="1"/>
    </xf>
    <xf numFmtId="0" fontId="36" fillId="4" borderId="31" xfId="0" applyFont="1" applyFill="1" applyBorder="1" applyProtection="1">
      <protection hidden="1"/>
    </xf>
    <xf numFmtId="0" fontId="64" fillId="3" borderId="0" xfId="0" applyFont="1" applyFill="1" applyProtection="1">
      <protection hidden="1"/>
    </xf>
    <xf numFmtId="0" fontId="66" fillId="2" borderId="0" xfId="0" applyFont="1" applyFill="1" applyBorder="1" applyAlignment="1" applyProtection="1">
      <alignment vertical="center" wrapText="1"/>
      <protection hidden="1"/>
    </xf>
    <xf numFmtId="0" fontId="54" fillId="2" borderId="0" xfId="0" applyFont="1" applyFill="1" applyBorder="1" applyAlignment="1" applyProtection="1">
      <alignment vertical="center"/>
      <protection hidden="1"/>
    </xf>
    <xf numFmtId="0" fontId="7" fillId="2" borderId="0" xfId="0" applyFont="1" applyFill="1" applyBorder="1" applyAlignment="1" applyProtection="1">
      <alignment vertical="center"/>
      <protection hidden="1"/>
    </xf>
    <xf numFmtId="0" fontId="9" fillId="2" borderId="0" xfId="0" applyFont="1" applyFill="1" applyBorder="1" applyAlignment="1" applyProtection="1">
      <alignment vertical="center"/>
      <protection hidden="1"/>
    </xf>
    <xf numFmtId="0" fontId="2" fillId="2" borderId="0" xfId="0" applyFont="1" applyFill="1" applyBorder="1" applyAlignment="1" applyProtection="1">
      <alignment vertical="center"/>
      <protection hidden="1"/>
    </xf>
    <xf numFmtId="0" fontId="0" fillId="2" borderId="0" xfId="0" applyFill="1" applyBorder="1" applyAlignment="1" applyProtection="1">
      <alignment vertical="center"/>
      <protection hidden="1"/>
    </xf>
    <xf numFmtId="0" fontId="30" fillId="4" borderId="32" xfId="0" applyFont="1" applyFill="1" applyBorder="1" applyProtection="1">
      <protection hidden="1"/>
    </xf>
    <xf numFmtId="0" fontId="27" fillId="4" borderId="32" xfId="0" quotePrefix="1" applyFont="1" applyFill="1" applyBorder="1" applyProtection="1">
      <protection hidden="1"/>
    </xf>
    <xf numFmtId="0" fontId="36" fillId="4" borderId="33" xfId="0" applyFont="1" applyFill="1" applyBorder="1" applyProtection="1">
      <protection hidden="1"/>
    </xf>
    <xf numFmtId="0" fontId="30" fillId="5" borderId="34" xfId="0" applyFont="1" applyFill="1" applyBorder="1" applyProtection="1">
      <protection hidden="1"/>
    </xf>
    <xf numFmtId="0" fontId="36" fillId="5" borderId="35" xfId="0" applyFont="1" applyFill="1" applyBorder="1" applyProtection="1">
      <protection hidden="1"/>
    </xf>
    <xf numFmtId="164" fontId="70" fillId="4" borderId="36" xfId="1" applyFont="1" applyFill="1" applyBorder="1" applyProtection="1">
      <protection hidden="1"/>
    </xf>
    <xf numFmtId="0" fontId="8" fillId="2" borderId="0" xfId="0" applyFont="1" applyFill="1" applyBorder="1" applyAlignment="1" applyProtection="1">
      <protection hidden="1"/>
    </xf>
    <xf numFmtId="0" fontId="46" fillId="2" borderId="0" xfId="0" applyFont="1" applyFill="1" applyBorder="1" applyAlignment="1" applyProtection="1">
      <protection hidden="1"/>
    </xf>
    <xf numFmtId="0" fontId="74" fillId="2" borderId="0" xfId="0" applyFont="1" applyFill="1" applyBorder="1" applyAlignment="1" applyProtection="1">
      <alignment horizontal="right"/>
      <protection hidden="1"/>
    </xf>
    <xf numFmtId="0" fontId="0" fillId="3" borderId="3" xfId="0" applyFill="1" applyBorder="1" applyAlignment="1" applyProtection="1">
      <alignment shrinkToFit="1"/>
      <protection hidden="1"/>
    </xf>
    <xf numFmtId="0" fontId="0" fillId="0" borderId="2" xfId="0" applyBorder="1" applyProtection="1">
      <protection hidden="1"/>
    </xf>
    <xf numFmtId="0" fontId="0" fillId="0" borderId="4" xfId="0" applyBorder="1" applyProtection="1">
      <protection hidden="1"/>
    </xf>
    <xf numFmtId="0" fontId="7" fillId="0" borderId="5" xfId="0" applyFont="1" applyBorder="1" applyProtection="1">
      <protection hidden="1"/>
    </xf>
    <xf numFmtId="0" fontId="7" fillId="0" borderId="5" xfId="0" applyFont="1" applyFill="1" applyBorder="1" applyProtection="1">
      <protection hidden="1"/>
    </xf>
    <xf numFmtId="0" fontId="0" fillId="0" borderId="0" xfId="0" applyFill="1" applyBorder="1" applyProtection="1">
      <protection hidden="1"/>
    </xf>
    <xf numFmtId="0" fontId="9" fillId="0" borderId="5" xfId="0" applyFont="1" applyFill="1" applyBorder="1" applyAlignment="1" applyProtection="1">
      <alignment horizontal="left"/>
      <protection hidden="1"/>
    </xf>
    <xf numFmtId="0" fontId="0" fillId="0" borderId="0" xfId="0" applyBorder="1"/>
    <xf numFmtId="164" fontId="10" fillId="0" borderId="5" xfId="0" applyNumberFormat="1" applyFont="1" applyFill="1" applyBorder="1" applyProtection="1">
      <protection hidden="1"/>
    </xf>
    <xf numFmtId="0" fontId="10" fillId="0" borderId="5" xfId="0" applyFont="1" applyFill="1" applyBorder="1" applyProtection="1">
      <protection hidden="1"/>
    </xf>
    <xf numFmtId="2" fontId="10" fillId="0" borderId="5" xfId="0" applyNumberFormat="1" applyFont="1" applyFill="1" applyBorder="1" applyProtection="1">
      <protection hidden="1"/>
    </xf>
    <xf numFmtId="164" fontId="10" fillId="0" borderId="5" xfId="1" applyFont="1" applyFill="1" applyBorder="1" applyProtection="1">
      <protection hidden="1"/>
    </xf>
    <xf numFmtId="164" fontId="13" fillId="0" borderId="5" xfId="1" applyFont="1" applyFill="1" applyBorder="1" applyProtection="1">
      <protection hidden="1"/>
    </xf>
    <xf numFmtId="0" fontId="62" fillId="2" borderId="0" xfId="0" applyFont="1" applyFill="1" applyBorder="1" applyAlignment="1" applyProtection="1">
      <alignment vertical="top" wrapText="1"/>
      <protection hidden="1"/>
    </xf>
    <xf numFmtId="0" fontId="17" fillId="2" borderId="37" xfId="0" applyFont="1" applyFill="1" applyBorder="1" applyAlignment="1" applyProtection="1">
      <alignment wrapText="1"/>
      <protection hidden="1"/>
    </xf>
    <xf numFmtId="0" fontId="7" fillId="5" borderId="0" xfId="0" applyFont="1" applyFill="1" applyBorder="1" applyProtection="1">
      <protection hidden="1"/>
    </xf>
    <xf numFmtId="0" fontId="7" fillId="4" borderId="0" xfId="0" applyFont="1" applyFill="1" applyBorder="1" applyProtection="1">
      <protection hidden="1"/>
    </xf>
    <xf numFmtId="0" fontId="2" fillId="4" borderId="9" xfId="0" applyFont="1" applyFill="1" applyBorder="1" applyAlignment="1" applyProtection="1">
      <alignment vertical="center"/>
      <protection hidden="1"/>
    </xf>
    <xf numFmtId="0" fontId="0" fillId="11" borderId="0" xfId="0" applyFill="1" applyBorder="1" applyProtection="1">
      <protection hidden="1"/>
    </xf>
    <xf numFmtId="0" fontId="83" fillId="11" borderId="0" xfId="0" applyFont="1" applyFill="1" applyBorder="1" applyProtection="1">
      <protection hidden="1"/>
    </xf>
    <xf numFmtId="0" fontId="0" fillId="11" borderId="0" xfId="0" applyFill="1" applyProtection="1">
      <protection hidden="1"/>
    </xf>
    <xf numFmtId="0" fontId="24" fillId="11" borderId="0" xfId="0" applyFont="1" applyFill="1" applyProtection="1">
      <protection hidden="1"/>
    </xf>
    <xf numFmtId="0" fontId="85" fillId="11" borderId="0" xfId="0" applyFont="1" applyFill="1" applyBorder="1" applyAlignment="1" applyProtection="1">
      <alignment horizontal="left"/>
      <protection hidden="1"/>
    </xf>
    <xf numFmtId="0" fontId="86" fillId="11" borderId="0" xfId="0" applyFont="1" applyFill="1" applyProtection="1">
      <protection hidden="1"/>
    </xf>
    <xf numFmtId="0" fontId="83" fillId="11" borderId="0" xfId="0" applyFont="1" applyFill="1" applyProtection="1">
      <protection hidden="1"/>
    </xf>
    <xf numFmtId="0" fontId="0" fillId="6" borderId="38" xfId="0" applyFill="1" applyBorder="1" applyProtection="1">
      <protection hidden="1"/>
    </xf>
    <xf numFmtId="0" fontId="26" fillId="7" borderId="0" xfId="0" applyFont="1" applyFill="1" applyBorder="1" applyAlignment="1" applyProtection="1">
      <alignment horizontal="right"/>
      <protection hidden="1"/>
    </xf>
    <xf numFmtId="0" fontId="33" fillId="7" borderId="0" xfId="0" quotePrefix="1" applyFont="1" applyFill="1" applyBorder="1" applyProtection="1">
      <protection hidden="1"/>
    </xf>
    <xf numFmtId="1" fontId="32" fillId="4" borderId="27" xfId="0" applyNumberFormat="1" applyFont="1" applyFill="1" applyBorder="1" applyAlignment="1" applyProtection="1">
      <alignment horizontal="right"/>
      <protection hidden="1"/>
    </xf>
    <xf numFmtId="0" fontId="36" fillId="4" borderId="26" xfId="0" applyFont="1" applyFill="1" applyBorder="1" applyAlignment="1" applyProtection="1">
      <alignment horizontal="center"/>
      <protection hidden="1"/>
    </xf>
    <xf numFmtId="0" fontId="32" fillId="4" borderId="9" xfId="0" applyFont="1" applyFill="1" applyBorder="1" applyProtection="1">
      <protection hidden="1"/>
    </xf>
    <xf numFmtId="1" fontId="32" fillId="5" borderId="30" xfId="0" applyNumberFormat="1" applyFont="1" applyFill="1" applyBorder="1" applyAlignment="1" applyProtection="1">
      <alignment horizontal="right"/>
      <protection hidden="1"/>
    </xf>
    <xf numFmtId="0" fontId="36" fillId="5" borderId="29" xfId="0" applyFont="1" applyFill="1" applyBorder="1" applyAlignment="1" applyProtection="1">
      <alignment horizontal="center"/>
      <protection hidden="1"/>
    </xf>
    <xf numFmtId="0" fontId="3" fillId="4" borderId="39" xfId="0" applyFont="1" applyFill="1" applyBorder="1" applyAlignment="1" applyProtection="1">
      <alignment horizontal="center"/>
      <protection hidden="1"/>
    </xf>
    <xf numFmtId="0" fontId="3" fillId="10" borderId="39" xfId="0" applyFont="1" applyFill="1" applyBorder="1" applyAlignment="1" applyProtection="1">
      <alignment horizontal="center"/>
      <protection hidden="1"/>
    </xf>
    <xf numFmtId="1" fontId="32" fillId="4" borderId="30" xfId="0" applyNumberFormat="1" applyFont="1" applyFill="1" applyBorder="1" applyAlignment="1" applyProtection="1">
      <alignment horizontal="right"/>
      <protection hidden="1"/>
    </xf>
    <xf numFmtId="0" fontId="36" fillId="4" borderId="29" xfId="0" applyFont="1" applyFill="1" applyBorder="1" applyAlignment="1" applyProtection="1">
      <alignment horizontal="center"/>
      <protection hidden="1"/>
    </xf>
    <xf numFmtId="0" fontId="32" fillId="5" borderId="0" xfId="0" applyFont="1" applyFill="1" applyBorder="1" applyProtection="1">
      <protection hidden="1"/>
    </xf>
    <xf numFmtId="0" fontId="3" fillId="4" borderId="40" xfId="0" applyFont="1" applyFill="1" applyBorder="1" applyAlignment="1" applyProtection="1">
      <alignment horizontal="center"/>
      <protection hidden="1"/>
    </xf>
    <xf numFmtId="0" fontId="3" fillId="10" borderId="40" xfId="0" applyFont="1" applyFill="1" applyBorder="1" applyAlignment="1" applyProtection="1">
      <alignment horizontal="center"/>
      <protection hidden="1"/>
    </xf>
    <xf numFmtId="2" fontId="32" fillId="5" borderId="30" xfId="0" applyNumberFormat="1" applyFont="1" applyFill="1" applyBorder="1" applyAlignment="1" applyProtection="1">
      <alignment horizontal="right"/>
      <protection hidden="1"/>
    </xf>
    <xf numFmtId="0" fontId="3" fillId="4" borderId="41" xfId="0" applyFont="1" applyFill="1" applyBorder="1" applyAlignment="1" applyProtection="1">
      <alignment horizontal="center"/>
      <protection hidden="1"/>
    </xf>
    <xf numFmtId="0" fontId="3" fillId="10" borderId="41" xfId="0" applyFont="1" applyFill="1" applyBorder="1" applyAlignment="1" applyProtection="1">
      <alignment horizontal="center"/>
      <protection hidden="1"/>
    </xf>
    <xf numFmtId="1" fontId="32" fillId="4" borderId="32" xfId="0" applyNumberFormat="1" applyFont="1" applyFill="1" applyBorder="1" applyAlignment="1" applyProtection="1">
      <alignment horizontal="right"/>
      <protection hidden="1"/>
    </xf>
    <xf numFmtId="0" fontId="36" fillId="4" borderId="42" xfId="0" applyFont="1" applyFill="1" applyBorder="1" applyAlignment="1" applyProtection="1">
      <alignment horizontal="center"/>
      <protection hidden="1"/>
    </xf>
    <xf numFmtId="2" fontId="32" fillId="5" borderId="43" xfId="0" applyNumberFormat="1" applyFont="1" applyFill="1" applyBorder="1" applyAlignment="1" applyProtection="1">
      <alignment horizontal="right"/>
      <protection hidden="1"/>
    </xf>
    <xf numFmtId="0" fontId="36" fillId="5" borderId="44" xfId="0" applyFont="1" applyFill="1" applyBorder="1" applyAlignment="1" applyProtection="1">
      <alignment horizontal="center"/>
      <protection hidden="1"/>
    </xf>
    <xf numFmtId="0" fontId="32" fillId="4" borderId="0" xfId="0" applyFont="1" applyFill="1" applyBorder="1" applyAlignment="1" applyProtection="1">
      <alignment horizontal="left"/>
      <protection hidden="1"/>
    </xf>
    <xf numFmtId="0" fontId="3" fillId="7" borderId="14" xfId="0" applyFont="1" applyFill="1" applyBorder="1" applyProtection="1">
      <protection hidden="1"/>
    </xf>
    <xf numFmtId="0" fontId="3" fillId="7" borderId="0" xfId="0" applyFont="1" applyFill="1" applyBorder="1" applyProtection="1">
      <protection hidden="1"/>
    </xf>
    <xf numFmtId="0" fontId="3" fillId="7" borderId="17" xfId="0" applyFont="1" applyFill="1" applyBorder="1" applyProtection="1">
      <protection hidden="1"/>
    </xf>
    <xf numFmtId="4" fontId="38" fillId="6" borderId="45" xfId="0" applyNumberFormat="1" applyFont="1" applyFill="1" applyBorder="1" applyProtection="1">
      <protection hidden="1"/>
    </xf>
    <xf numFmtId="0" fontId="32" fillId="5" borderId="0" xfId="0" applyFont="1" applyFill="1" applyBorder="1" applyAlignment="1" applyProtection="1">
      <alignment vertical="center"/>
      <protection hidden="1"/>
    </xf>
    <xf numFmtId="1" fontId="32" fillId="4" borderId="0" xfId="0" applyNumberFormat="1" applyFont="1" applyFill="1" applyBorder="1" applyAlignment="1" applyProtection="1">
      <alignment horizontal="right"/>
      <protection hidden="1"/>
    </xf>
    <xf numFmtId="0" fontId="3" fillId="4" borderId="0" xfId="0" applyFont="1" applyFill="1" applyBorder="1" applyProtection="1">
      <protection hidden="1"/>
    </xf>
    <xf numFmtId="0" fontId="3" fillId="4" borderId="0" xfId="0" applyFont="1" applyFill="1" applyProtection="1">
      <protection hidden="1"/>
    </xf>
    <xf numFmtId="0" fontId="0" fillId="2" borderId="1" xfId="0" applyFill="1" applyBorder="1" applyProtection="1">
      <protection hidden="1"/>
    </xf>
    <xf numFmtId="0" fontId="7" fillId="2" borderId="2" xfId="0" applyFont="1" applyFill="1" applyBorder="1" applyProtection="1">
      <protection hidden="1"/>
    </xf>
    <xf numFmtId="0" fontId="7" fillId="2" borderId="46" xfId="0" applyFont="1" applyFill="1" applyBorder="1" applyProtection="1">
      <protection hidden="1"/>
    </xf>
    <xf numFmtId="0" fontId="42" fillId="2" borderId="0" xfId="0" applyFont="1" applyFill="1" applyBorder="1" applyAlignment="1" applyProtection="1">
      <protection hidden="1"/>
    </xf>
    <xf numFmtId="0" fontId="23" fillId="2" borderId="0" xfId="0" applyFont="1" applyFill="1" applyBorder="1" applyProtection="1">
      <protection hidden="1"/>
    </xf>
    <xf numFmtId="0" fontId="25" fillId="2" borderId="0" xfId="0" applyFont="1" applyFill="1" applyBorder="1" applyProtection="1">
      <protection hidden="1"/>
    </xf>
    <xf numFmtId="170" fontId="54" fillId="2" borderId="0" xfId="0" applyNumberFormat="1" applyFont="1" applyFill="1" applyBorder="1" applyAlignment="1" applyProtection="1">
      <alignment horizontal="center"/>
      <protection hidden="1"/>
    </xf>
    <xf numFmtId="0" fontId="0" fillId="2" borderId="47" xfId="0" applyFill="1" applyBorder="1" applyProtection="1">
      <protection hidden="1"/>
    </xf>
    <xf numFmtId="0" fontId="0" fillId="2" borderId="48" xfId="0" applyFill="1" applyBorder="1" applyAlignment="1" applyProtection="1">
      <alignment vertical="top" wrapText="1"/>
      <protection hidden="1"/>
    </xf>
    <xf numFmtId="0" fontId="0" fillId="2" borderId="49" xfId="0" applyFill="1" applyBorder="1" applyAlignment="1" applyProtection="1">
      <alignment vertical="top" wrapText="1"/>
      <protection hidden="1"/>
    </xf>
    <xf numFmtId="0" fontId="12" fillId="2" borderId="0" xfId="0" applyFont="1" applyFill="1" applyBorder="1" applyProtection="1">
      <protection hidden="1"/>
    </xf>
    <xf numFmtId="164" fontId="7" fillId="2" borderId="0" xfId="1" applyFont="1" applyFill="1" applyBorder="1" applyProtection="1">
      <protection hidden="1"/>
    </xf>
    <xf numFmtId="0" fontId="55" fillId="2" borderId="0" xfId="0" quotePrefix="1" applyFont="1" applyFill="1" applyBorder="1" applyProtection="1">
      <protection hidden="1"/>
    </xf>
    <xf numFmtId="164" fontId="46" fillId="2" borderId="5" xfId="1" applyFont="1" applyFill="1" applyBorder="1" applyProtection="1">
      <protection hidden="1"/>
    </xf>
    <xf numFmtId="0" fontId="9" fillId="2" borderId="0" xfId="0" applyFont="1" applyFill="1" applyBorder="1" applyProtection="1">
      <protection hidden="1"/>
    </xf>
    <xf numFmtId="164" fontId="46" fillId="2" borderId="5" xfId="0" applyNumberFormat="1" applyFont="1" applyFill="1" applyBorder="1" applyProtection="1">
      <protection hidden="1"/>
    </xf>
    <xf numFmtId="0" fontId="49" fillId="2" borderId="0" xfId="0" applyFont="1" applyFill="1" applyBorder="1" applyAlignment="1" applyProtection="1">
      <alignment horizontal="left"/>
      <protection hidden="1"/>
    </xf>
    <xf numFmtId="43" fontId="46" fillId="2" borderId="5" xfId="1" applyNumberFormat="1" applyFont="1" applyFill="1" applyBorder="1" applyProtection="1">
      <protection hidden="1"/>
    </xf>
    <xf numFmtId="0" fontId="46" fillId="2" borderId="5" xfId="0" applyFont="1" applyFill="1" applyBorder="1" applyProtection="1">
      <protection hidden="1"/>
    </xf>
    <xf numFmtId="40" fontId="46" fillId="2" borderId="5" xfId="0" applyNumberFormat="1" applyFont="1" applyFill="1" applyBorder="1" applyProtection="1">
      <protection hidden="1"/>
    </xf>
    <xf numFmtId="0" fontId="16" fillId="2" borderId="5" xfId="0" applyFont="1" applyFill="1" applyBorder="1" applyAlignment="1" applyProtection="1">
      <alignment horizontal="right"/>
      <protection hidden="1"/>
    </xf>
    <xf numFmtId="164" fontId="45" fillId="2" borderId="5" xfId="0" applyNumberFormat="1" applyFont="1" applyFill="1" applyBorder="1" applyAlignment="1" applyProtection="1">
      <alignment horizontal="right"/>
      <protection hidden="1"/>
    </xf>
    <xf numFmtId="164" fontId="71" fillId="2" borderId="5" xfId="0" applyNumberFormat="1" applyFont="1" applyFill="1" applyBorder="1" applyAlignment="1" applyProtection="1">
      <alignment horizontal="right"/>
      <protection hidden="1"/>
    </xf>
    <xf numFmtId="40" fontId="46" fillId="2" borderId="5" xfId="1" applyNumberFormat="1" applyFont="1" applyFill="1" applyBorder="1" applyProtection="1">
      <protection hidden="1"/>
    </xf>
    <xf numFmtId="164" fontId="46" fillId="2" borderId="50" xfId="1" applyFont="1" applyFill="1" applyBorder="1" applyProtection="1">
      <protection hidden="1"/>
    </xf>
    <xf numFmtId="0" fontId="3" fillId="2" borderId="0" xfId="0" applyFont="1" applyFill="1" applyBorder="1" applyProtection="1">
      <protection hidden="1"/>
    </xf>
    <xf numFmtId="0" fontId="76" fillId="2" borderId="0" xfId="0" applyFont="1" applyFill="1" applyBorder="1" applyAlignment="1" applyProtection="1">
      <alignment horizontal="left"/>
      <protection hidden="1"/>
    </xf>
    <xf numFmtId="0" fontId="44" fillId="2" borderId="0" xfId="0" applyFont="1" applyFill="1" applyBorder="1" applyAlignment="1" applyProtection="1">
      <alignment horizontal="left"/>
      <protection hidden="1"/>
    </xf>
    <xf numFmtId="0" fontId="93" fillId="2" borderId="0" xfId="0" applyFont="1" applyFill="1" applyBorder="1" applyProtection="1">
      <protection hidden="1"/>
    </xf>
    <xf numFmtId="164" fontId="18" fillId="2" borderId="0" xfId="1" applyFont="1" applyFill="1" applyBorder="1" applyProtection="1">
      <protection hidden="1"/>
    </xf>
    <xf numFmtId="0" fontId="17" fillId="2" borderId="0" xfId="0" applyFont="1" applyFill="1" applyBorder="1" applyAlignment="1" applyProtection="1">
      <alignment vertical="center"/>
      <protection hidden="1"/>
    </xf>
    <xf numFmtId="0" fontId="92" fillId="2" borderId="0" xfId="0" applyFont="1" applyFill="1" applyBorder="1" applyAlignment="1" applyProtection="1">
      <alignment vertical="center" wrapText="1"/>
      <protection hidden="1"/>
    </xf>
    <xf numFmtId="0" fontId="64" fillId="11" borderId="0" xfId="0" applyFont="1" applyFill="1" applyProtection="1">
      <protection hidden="1"/>
    </xf>
    <xf numFmtId="164" fontId="96" fillId="11" borderId="0" xfId="1" applyFont="1" applyFill="1" applyBorder="1" applyProtection="1">
      <protection hidden="1"/>
    </xf>
    <xf numFmtId="164" fontId="97" fillId="11" borderId="0" xfId="1" applyFont="1" applyFill="1" applyBorder="1" applyProtection="1">
      <protection hidden="1"/>
    </xf>
    <xf numFmtId="0" fontId="24" fillId="11" borderId="0" xfId="0" applyFont="1" applyFill="1" applyBorder="1" applyProtection="1">
      <protection hidden="1"/>
    </xf>
    <xf numFmtId="0" fontId="73" fillId="12" borderId="51" xfId="3" applyFont="1" applyFill="1" applyBorder="1" applyAlignment="1" applyProtection="1">
      <alignment horizontal="center" vertical="center"/>
      <protection hidden="1"/>
    </xf>
    <xf numFmtId="0" fontId="73" fillId="12" borderId="52" xfId="3" applyFont="1" applyFill="1" applyBorder="1" applyAlignment="1" applyProtection="1">
      <alignment horizontal="center" vertical="center"/>
      <protection hidden="1"/>
    </xf>
    <xf numFmtId="0" fontId="3" fillId="3" borderId="0" xfId="0" applyFont="1" applyFill="1" applyBorder="1" applyAlignment="1" applyProtection="1">
      <alignment vertical="top" wrapText="1" shrinkToFit="1"/>
      <protection hidden="1"/>
    </xf>
    <xf numFmtId="0" fontId="24" fillId="11" borderId="0" xfId="0" applyFont="1" applyFill="1" applyBorder="1" applyAlignment="1" applyProtection="1">
      <alignment vertical="top" wrapText="1"/>
      <protection hidden="1"/>
    </xf>
    <xf numFmtId="0" fontId="87" fillId="11" borderId="53" xfId="0" applyFont="1" applyFill="1" applyBorder="1" applyProtection="1">
      <protection hidden="1"/>
    </xf>
    <xf numFmtId="0" fontId="98" fillId="9" borderId="45" xfId="0" applyFont="1" applyFill="1" applyBorder="1" applyAlignment="1" applyProtection="1">
      <alignment horizontal="center"/>
      <protection hidden="1"/>
    </xf>
    <xf numFmtId="0" fontId="56" fillId="2" borderId="0" xfId="0" applyFont="1" applyFill="1" applyProtection="1">
      <protection hidden="1"/>
    </xf>
    <xf numFmtId="0" fontId="99" fillId="11" borderId="0" xfId="0" applyFont="1" applyFill="1" applyProtection="1">
      <protection hidden="1"/>
    </xf>
    <xf numFmtId="0" fontId="48" fillId="2" borderId="0" xfId="0" applyFont="1" applyFill="1" applyProtection="1">
      <protection hidden="1"/>
    </xf>
    <xf numFmtId="0" fontId="22" fillId="11" borderId="0" xfId="0" applyFont="1" applyFill="1" applyProtection="1">
      <protection hidden="1"/>
    </xf>
    <xf numFmtId="0" fontId="50" fillId="5" borderId="54" xfId="0" applyFont="1" applyFill="1" applyBorder="1" applyAlignment="1" applyProtection="1">
      <alignment horizontal="center" wrapText="1"/>
      <protection hidden="1"/>
    </xf>
    <xf numFmtId="0" fontId="101" fillId="2" borderId="0" xfId="0" applyFont="1" applyFill="1" applyBorder="1" applyProtection="1">
      <protection hidden="1"/>
    </xf>
    <xf numFmtId="0" fontId="103" fillId="11" borderId="0" xfId="0" applyFont="1" applyFill="1" applyProtection="1">
      <protection hidden="1"/>
    </xf>
    <xf numFmtId="0" fontId="22" fillId="3" borderId="0" xfId="0" applyFont="1" applyFill="1" applyAlignment="1" applyProtection="1">
      <alignment shrinkToFit="1"/>
      <protection hidden="1"/>
    </xf>
    <xf numFmtId="0" fontId="22" fillId="3" borderId="0" xfId="0" applyFont="1" applyFill="1" applyProtection="1">
      <protection hidden="1"/>
    </xf>
    <xf numFmtId="0" fontId="104" fillId="11" borderId="0" xfId="0" applyFont="1" applyFill="1" applyProtection="1">
      <protection hidden="1"/>
    </xf>
    <xf numFmtId="0" fontId="105" fillId="11" borderId="55" xfId="3" applyFont="1" applyFill="1" applyBorder="1" applyAlignment="1" applyProtection="1">
      <alignment horizontal="center" vertical="center"/>
      <protection hidden="1"/>
    </xf>
    <xf numFmtId="0" fontId="10" fillId="4" borderId="0" xfId="0" quotePrefix="1" applyFont="1" applyFill="1" applyBorder="1" applyProtection="1">
      <protection hidden="1"/>
    </xf>
    <xf numFmtId="0" fontId="56" fillId="2" borderId="0" xfId="0" applyFont="1" applyFill="1" applyBorder="1" applyAlignment="1" applyProtection="1">
      <alignment horizontal="left" vertical="top" wrapText="1"/>
      <protection hidden="1"/>
    </xf>
    <xf numFmtId="0" fontId="87" fillId="11" borderId="0" xfId="0" applyFont="1" applyFill="1" applyProtection="1">
      <protection hidden="1"/>
    </xf>
    <xf numFmtId="165" fontId="83" fillId="11" borderId="0" xfId="1" applyNumberFormat="1" applyFont="1" applyFill="1" applyProtection="1">
      <protection hidden="1"/>
    </xf>
    <xf numFmtId="0" fontId="85" fillId="11" borderId="0" xfId="0" applyFont="1" applyFill="1" applyProtection="1">
      <protection hidden="1"/>
    </xf>
    <xf numFmtId="0" fontId="83" fillId="11" borderId="0" xfId="0" applyFont="1" applyFill="1" applyAlignment="1" applyProtection="1">
      <alignment horizontal="center"/>
      <protection hidden="1"/>
    </xf>
    <xf numFmtId="164" fontId="107" fillId="11" borderId="0" xfId="0" applyNumberFormat="1" applyFont="1" applyFill="1" applyProtection="1">
      <protection hidden="1"/>
    </xf>
    <xf numFmtId="0" fontId="85" fillId="11" borderId="0" xfId="0" applyFont="1" applyFill="1" applyBorder="1" applyAlignment="1" applyProtection="1">
      <alignment horizontal="center"/>
      <protection hidden="1"/>
    </xf>
    <xf numFmtId="0" fontId="108" fillId="11" borderId="0" xfId="0" applyFont="1" applyFill="1" applyBorder="1" applyAlignment="1" applyProtection="1">
      <alignment horizontal="right"/>
      <protection hidden="1"/>
    </xf>
    <xf numFmtId="164" fontId="102" fillId="11" borderId="0" xfId="0" applyNumberFormat="1" applyFont="1" applyFill="1" applyBorder="1" applyProtection="1">
      <protection hidden="1"/>
    </xf>
    <xf numFmtId="4" fontId="109" fillId="11" borderId="0" xfId="0" applyNumberFormat="1" applyFont="1" applyFill="1" applyBorder="1" applyProtection="1">
      <protection hidden="1"/>
    </xf>
    <xf numFmtId="0" fontId="110" fillId="11" borderId="0" xfId="0" applyFont="1" applyFill="1" applyBorder="1" applyProtection="1">
      <protection hidden="1"/>
    </xf>
    <xf numFmtId="164" fontId="102" fillId="11" borderId="0" xfId="1" applyFont="1" applyFill="1" applyBorder="1" applyProtection="1">
      <protection hidden="1"/>
    </xf>
    <xf numFmtId="0" fontId="102" fillId="11" borderId="0" xfId="0" applyFont="1" applyFill="1" applyBorder="1" applyProtection="1">
      <protection hidden="1"/>
    </xf>
    <xf numFmtId="0" fontId="84" fillId="11" borderId="0" xfId="0" applyFont="1" applyFill="1" applyProtection="1">
      <protection hidden="1"/>
    </xf>
    <xf numFmtId="1" fontId="85" fillId="11" borderId="0" xfId="0" applyNumberFormat="1" applyFont="1" applyFill="1" applyProtection="1">
      <protection hidden="1"/>
    </xf>
    <xf numFmtId="2" fontId="107" fillId="11" borderId="0" xfId="0" applyNumberFormat="1" applyFont="1" applyFill="1" applyProtection="1">
      <protection hidden="1"/>
    </xf>
    <xf numFmtId="0" fontId="84" fillId="11" borderId="0" xfId="0" applyFont="1" applyFill="1" applyBorder="1" applyAlignment="1" applyProtection="1">
      <alignment horizontal="center"/>
      <protection hidden="1"/>
    </xf>
    <xf numFmtId="0" fontId="87" fillId="11" borderId="0" xfId="0" applyFont="1" applyFill="1" applyAlignment="1" applyProtection="1">
      <alignment horizontal="center"/>
      <protection hidden="1"/>
    </xf>
    <xf numFmtId="43" fontId="85" fillId="11" borderId="0" xfId="0" applyNumberFormat="1" applyFont="1" applyFill="1" applyProtection="1">
      <protection hidden="1"/>
    </xf>
    <xf numFmtId="0" fontId="87" fillId="11" borderId="0" xfId="0" applyFont="1" applyFill="1" applyBorder="1" applyProtection="1">
      <protection hidden="1"/>
    </xf>
    <xf numFmtId="0" fontId="56" fillId="0" borderId="0" xfId="0" applyFont="1" applyProtection="1">
      <protection hidden="1"/>
    </xf>
    <xf numFmtId="0" fontId="56" fillId="0" borderId="0" xfId="0" applyFont="1" applyAlignment="1" applyProtection="1">
      <alignment horizontal="center"/>
      <protection hidden="1"/>
    </xf>
    <xf numFmtId="0" fontId="53" fillId="0" borderId="0" xfId="0" applyFont="1" applyProtection="1">
      <protection hidden="1"/>
    </xf>
    <xf numFmtId="0" fontId="82" fillId="9" borderId="45" xfId="0" applyFont="1" applyFill="1" applyBorder="1" applyAlignment="1" applyProtection="1">
      <alignment horizontal="center"/>
      <protection hidden="1"/>
    </xf>
    <xf numFmtId="0" fontId="54" fillId="0" borderId="0" xfId="0" applyFont="1" applyProtection="1">
      <protection hidden="1"/>
    </xf>
    <xf numFmtId="0" fontId="48" fillId="0" borderId="0" xfId="0" applyFont="1" applyProtection="1">
      <protection hidden="1"/>
    </xf>
    <xf numFmtId="0" fontId="111" fillId="2" borderId="0" xfId="0" applyFont="1" applyFill="1" applyProtection="1">
      <protection hidden="1"/>
    </xf>
    <xf numFmtId="15" fontId="111" fillId="2" borderId="0" xfId="0" applyNumberFormat="1" applyFont="1" applyFill="1" applyProtection="1">
      <protection hidden="1"/>
    </xf>
    <xf numFmtId="2" fontId="111" fillId="2" borderId="0" xfId="0" applyNumberFormat="1" applyFont="1" applyFill="1" applyProtection="1">
      <protection hidden="1"/>
    </xf>
    <xf numFmtId="164" fontId="112" fillId="2" borderId="5" xfId="1" applyFont="1" applyFill="1" applyBorder="1" applyProtection="1">
      <protection hidden="1"/>
    </xf>
    <xf numFmtId="0" fontId="90" fillId="2" borderId="0" xfId="0" applyFont="1" applyFill="1" applyProtection="1">
      <protection hidden="1"/>
    </xf>
    <xf numFmtId="0" fontId="99" fillId="0" borderId="0" xfId="0" applyFont="1" applyProtection="1">
      <protection hidden="1"/>
    </xf>
    <xf numFmtId="0" fontId="113" fillId="0" borderId="0" xfId="0" applyFont="1" applyProtection="1">
      <protection hidden="1"/>
    </xf>
    <xf numFmtId="0" fontId="10" fillId="2" borderId="0" xfId="0" applyFont="1" applyFill="1" applyBorder="1" applyAlignment="1" applyProtection="1">
      <protection hidden="1"/>
    </xf>
    <xf numFmtId="0" fontId="115" fillId="2" borderId="0" xfId="0" applyFont="1" applyFill="1" applyBorder="1" applyProtection="1">
      <protection hidden="1"/>
    </xf>
    <xf numFmtId="3" fontId="22" fillId="11" borderId="0" xfId="0" applyNumberFormat="1" applyFont="1" applyFill="1" applyProtection="1">
      <protection hidden="1"/>
    </xf>
    <xf numFmtId="0" fontId="20" fillId="2" borderId="0" xfId="0" applyFont="1" applyFill="1" applyBorder="1" applyAlignment="1" applyProtection="1">
      <alignment vertical="top" wrapText="1"/>
      <protection hidden="1"/>
    </xf>
    <xf numFmtId="2" fontId="46" fillId="2" borderId="0" xfId="0" applyNumberFormat="1" applyFont="1" applyFill="1" applyBorder="1" applyProtection="1">
      <protection hidden="1"/>
    </xf>
    <xf numFmtId="4" fontId="46" fillId="2" borderId="0" xfId="0" applyNumberFormat="1" applyFont="1" applyFill="1" applyBorder="1" applyAlignment="1" applyProtection="1">
      <protection hidden="1"/>
    </xf>
    <xf numFmtId="0" fontId="71" fillId="2" borderId="0" xfId="0" applyFont="1" applyFill="1" applyBorder="1" applyProtection="1">
      <protection hidden="1"/>
    </xf>
    <xf numFmtId="0" fontId="48" fillId="2" borderId="0" xfId="0" applyFont="1" applyFill="1" applyBorder="1" applyAlignment="1" applyProtection="1">
      <protection hidden="1"/>
    </xf>
    <xf numFmtId="0" fontId="18" fillId="11" borderId="0" xfId="0" applyFont="1" applyFill="1" applyProtection="1">
      <protection hidden="1"/>
    </xf>
    <xf numFmtId="0" fontId="71" fillId="2" borderId="0" xfId="0" applyFont="1" applyFill="1" applyProtection="1">
      <protection hidden="1"/>
    </xf>
    <xf numFmtId="0" fontId="117" fillId="2" borderId="0" xfId="0" quotePrefix="1" applyFont="1" applyFill="1" applyAlignment="1" applyProtection="1">
      <alignment horizontal="center"/>
      <protection hidden="1"/>
    </xf>
    <xf numFmtId="0" fontId="15" fillId="2" borderId="0" xfId="0" applyFont="1" applyFill="1" applyProtection="1">
      <protection hidden="1"/>
    </xf>
    <xf numFmtId="0" fontId="20" fillId="2" borderId="0" xfId="0" applyFont="1" applyFill="1" applyBorder="1" applyAlignment="1" applyProtection="1">
      <alignment horizontal="left" vertical="center" wrapText="1"/>
      <protection hidden="1"/>
    </xf>
    <xf numFmtId="0" fontId="20" fillId="2" borderId="0" xfId="0" applyFont="1" applyFill="1" applyBorder="1" applyAlignment="1" applyProtection="1">
      <alignment horizontal="left" vertical="center"/>
      <protection hidden="1"/>
    </xf>
    <xf numFmtId="2" fontId="56" fillId="2" borderId="0" xfId="0" applyNumberFormat="1" applyFont="1" applyFill="1" applyBorder="1" applyAlignment="1" applyProtection="1">
      <alignment horizontal="left" vertical="center" wrapText="1"/>
      <protection hidden="1"/>
    </xf>
    <xf numFmtId="0" fontId="71" fillId="2" borderId="0" xfId="0" applyFont="1" applyFill="1" applyBorder="1" applyAlignment="1" applyProtection="1">
      <alignment horizontal="left"/>
      <protection hidden="1"/>
    </xf>
    <xf numFmtId="0" fontId="44" fillId="9" borderId="56" xfId="0" applyFont="1" applyFill="1" applyBorder="1" applyAlignment="1" applyProtection="1">
      <alignment horizontal="center"/>
      <protection hidden="1"/>
    </xf>
    <xf numFmtId="0" fontId="114" fillId="2" borderId="0" xfId="0" applyFont="1" applyFill="1" applyBorder="1" applyAlignment="1" applyProtection="1">
      <alignment vertical="center"/>
      <protection hidden="1"/>
    </xf>
    <xf numFmtId="0" fontId="7" fillId="2" borderId="57" xfId="0" applyFont="1" applyFill="1" applyBorder="1" applyProtection="1">
      <protection hidden="1"/>
    </xf>
    <xf numFmtId="0" fontId="54" fillId="2" borderId="0" xfId="0" applyFont="1" applyFill="1" applyBorder="1" applyAlignment="1" applyProtection="1">
      <protection hidden="1"/>
    </xf>
    <xf numFmtId="0" fontId="83" fillId="11" borderId="0" xfId="0" applyFont="1" applyFill="1" applyAlignment="1" applyProtection="1">
      <alignment horizontal="left"/>
      <protection hidden="1"/>
    </xf>
    <xf numFmtId="0" fontId="118" fillId="11" borderId="0" xfId="0" applyFont="1" applyFill="1" applyBorder="1" applyAlignment="1" applyProtection="1">
      <alignment horizontal="left"/>
      <protection hidden="1"/>
    </xf>
    <xf numFmtId="1" fontId="83" fillId="11" borderId="0" xfId="0" applyNumberFormat="1" applyFont="1" applyFill="1" applyProtection="1">
      <protection hidden="1"/>
    </xf>
    <xf numFmtId="0" fontId="119" fillId="11" borderId="0" xfId="0" applyFont="1" applyFill="1" applyProtection="1">
      <protection hidden="1"/>
    </xf>
    <xf numFmtId="0" fontId="120" fillId="11" borderId="0" xfId="0" applyFont="1" applyFill="1" applyProtection="1">
      <protection hidden="1"/>
    </xf>
    <xf numFmtId="0" fontId="86" fillId="11" borderId="0" xfId="0" applyFont="1" applyFill="1" applyBorder="1" applyProtection="1">
      <protection hidden="1"/>
    </xf>
    <xf numFmtId="0" fontId="86" fillId="11" borderId="0" xfId="0" applyFont="1" applyFill="1" applyAlignment="1" applyProtection="1">
      <alignment horizontal="left"/>
      <protection hidden="1"/>
    </xf>
    <xf numFmtId="0" fontId="0" fillId="11" borderId="58" xfId="0" applyFill="1" applyBorder="1" applyProtection="1">
      <protection hidden="1"/>
    </xf>
    <xf numFmtId="0" fontId="0" fillId="11" borderId="3" xfId="0" applyFill="1" applyBorder="1" applyProtection="1">
      <protection hidden="1"/>
    </xf>
    <xf numFmtId="0" fontId="62" fillId="0" borderId="0" xfId="0" applyFont="1" applyFill="1" applyBorder="1" applyProtection="1">
      <protection hidden="1"/>
    </xf>
    <xf numFmtId="0" fontId="13" fillId="2" borderId="0" xfId="0" applyFont="1" applyFill="1" applyBorder="1" applyAlignment="1" applyProtection="1">
      <alignment horizontal="center"/>
      <protection hidden="1"/>
    </xf>
    <xf numFmtId="0" fontId="46" fillId="0" borderId="0" xfId="0" applyFont="1" applyBorder="1"/>
    <xf numFmtId="0" fontId="48" fillId="0" borderId="0" xfId="0" applyFont="1" applyBorder="1"/>
    <xf numFmtId="0" fontId="71" fillId="0" borderId="0" xfId="0" applyFont="1" applyBorder="1"/>
    <xf numFmtId="0" fontId="83" fillId="2" borderId="0" xfId="0" applyFont="1" applyFill="1" applyProtection="1">
      <protection hidden="1"/>
    </xf>
    <xf numFmtId="0" fontId="51" fillId="2" borderId="0" xfId="0" applyFont="1" applyFill="1" applyAlignment="1" applyProtection="1">
      <alignment horizontal="center"/>
      <protection hidden="1"/>
    </xf>
    <xf numFmtId="0" fontId="104" fillId="11" borderId="0" xfId="0" applyFont="1" applyFill="1" applyBorder="1" applyProtection="1">
      <protection hidden="1"/>
    </xf>
    <xf numFmtId="0" fontId="123" fillId="11" borderId="0" xfId="0" applyFont="1" applyFill="1" applyProtection="1">
      <protection hidden="1"/>
    </xf>
    <xf numFmtId="0" fontId="125" fillId="11" borderId="0" xfId="0" applyFont="1" applyFill="1" applyBorder="1" applyProtection="1">
      <protection hidden="1"/>
    </xf>
    <xf numFmtId="4" fontId="87" fillId="11" borderId="0" xfId="0" applyNumberFormat="1" applyFont="1" applyFill="1" applyProtection="1">
      <protection hidden="1"/>
    </xf>
    <xf numFmtId="1" fontId="83" fillId="11" borderId="0" xfId="1" applyNumberFormat="1" applyFont="1" applyFill="1" applyProtection="1">
      <protection hidden="1"/>
    </xf>
    <xf numFmtId="0" fontId="60" fillId="2" borderId="0" xfId="0" applyFont="1" applyFill="1" applyBorder="1" applyProtection="1">
      <protection hidden="1"/>
    </xf>
    <xf numFmtId="0" fontId="117" fillId="2" borderId="0" xfId="0" applyFont="1" applyFill="1" applyBorder="1" applyProtection="1">
      <protection hidden="1"/>
    </xf>
    <xf numFmtId="0" fontId="127" fillId="2" borderId="0" xfId="0" applyFont="1" applyFill="1" applyBorder="1" applyProtection="1">
      <protection hidden="1"/>
    </xf>
    <xf numFmtId="1" fontId="87" fillId="11" borderId="0" xfId="0" applyNumberFormat="1" applyFont="1" applyFill="1" applyBorder="1" applyProtection="1">
      <protection hidden="1"/>
    </xf>
    <xf numFmtId="164" fontId="87" fillId="11" borderId="0" xfId="0" applyNumberFormat="1" applyFont="1" applyFill="1" applyProtection="1">
      <protection hidden="1"/>
    </xf>
    <xf numFmtId="0" fontId="129" fillId="2" borderId="0" xfId="0" applyFont="1" applyFill="1" applyBorder="1" applyAlignment="1" applyProtection="1">
      <alignment horizontal="left"/>
      <protection hidden="1"/>
    </xf>
    <xf numFmtId="175" fontId="130" fillId="11" borderId="0" xfId="0" applyNumberFormat="1" applyFont="1" applyFill="1" applyBorder="1" applyProtection="1">
      <protection hidden="1"/>
    </xf>
    <xf numFmtId="0" fontId="46" fillId="2" borderId="50" xfId="0" applyFont="1" applyFill="1" applyBorder="1" applyProtection="1">
      <protection hidden="1"/>
    </xf>
    <xf numFmtId="0" fontId="71" fillId="2" borderId="0" xfId="0" applyFont="1" applyFill="1" applyBorder="1" applyAlignment="1" applyProtection="1">
      <alignment horizontal="right"/>
      <protection hidden="1"/>
    </xf>
    <xf numFmtId="164" fontId="56" fillId="2" borderId="0" xfId="1" applyFont="1" applyFill="1" applyBorder="1" applyProtection="1">
      <protection hidden="1"/>
    </xf>
    <xf numFmtId="0" fontId="128" fillId="2" borderId="0" xfId="0" applyFont="1" applyFill="1" applyBorder="1" applyProtection="1">
      <protection hidden="1"/>
    </xf>
    <xf numFmtId="0" fontId="84" fillId="2" borderId="4" xfId="0" applyFont="1" applyFill="1" applyBorder="1" applyProtection="1">
      <protection hidden="1"/>
    </xf>
    <xf numFmtId="0" fontId="23" fillId="2" borderId="4" xfId="0" applyFont="1" applyFill="1" applyBorder="1" applyProtection="1">
      <protection hidden="1"/>
    </xf>
    <xf numFmtId="0" fontId="117" fillId="2" borderId="4" xfId="0" applyFont="1" applyFill="1" applyBorder="1" applyProtection="1">
      <protection hidden="1"/>
    </xf>
    <xf numFmtId="0" fontId="47" fillId="2" borderId="59" xfId="0" applyFont="1" applyFill="1" applyBorder="1" applyAlignment="1" applyProtection="1">
      <alignment horizontal="right"/>
      <protection hidden="1"/>
    </xf>
    <xf numFmtId="0" fontId="133" fillId="2" borderId="0" xfId="0" applyFont="1" applyFill="1" applyBorder="1" applyAlignment="1" applyProtection="1">
      <alignment horizontal="center"/>
      <protection hidden="1"/>
    </xf>
    <xf numFmtId="0" fontId="47" fillId="2" borderId="0" xfId="0" applyFont="1" applyFill="1" applyBorder="1" applyAlignment="1" applyProtection="1">
      <alignment horizontal="right"/>
      <protection hidden="1"/>
    </xf>
    <xf numFmtId="0" fontId="12" fillId="4" borderId="0" xfId="0" applyFont="1" applyFill="1" applyBorder="1" applyProtection="1">
      <protection hidden="1"/>
    </xf>
    <xf numFmtId="0" fontId="56" fillId="4" borderId="12" xfId="0" applyFont="1" applyFill="1" applyBorder="1" applyProtection="1">
      <protection hidden="1"/>
    </xf>
    <xf numFmtId="0" fontId="134" fillId="2" borderId="4" xfId="0" applyFont="1" applyFill="1" applyBorder="1" applyAlignment="1" applyProtection="1">
      <alignment horizontal="center"/>
      <protection hidden="1"/>
    </xf>
    <xf numFmtId="0" fontId="60" fillId="2" borderId="0" xfId="0" applyFont="1" applyFill="1" applyBorder="1" applyAlignment="1" applyProtection="1">
      <alignment vertical="top" wrapText="1"/>
      <protection hidden="1"/>
    </xf>
    <xf numFmtId="0" fontId="70" fillId="0" borderId="0" xfId="0" applyFont="1" applyBorder="1" applyAlignment="1" applyProtection="1">
      <alignment horizontal="center" vertical="center"/>
      <protection hidden="1"/>
    </xf>
    <xf numFmtId="0" fontId="48" fillId="2" borderId="60" xfId="0" applyFont="1" applyFill="1" applyBorder="1" applyAlignment="1" applyProtection="1">
      <alignment vertical="center"/>
      <protection hidden="1"/>
    </xf>
    <xf numFmtId="0" fontId="46" fillId="2" borderId="6" xfId="0" applyFont="1" applyFill="1" applyBorder="1" applyAlignment="1" applyProtection="1">
      <alignment vertical="top" wrapText="1"/>
      <protection hidden="1"/>
    </xf>
    <xf numFmtId="174" fontId="49" fillId="2" borderId="0" xfId="0" applyNumberFormat="1" applyFont="1" applyFill="1" applyBorder="1" applyAlignment="1" applyProtection="1">
      <alignment vertical="center"/>
      <protection hidden="1"/>
    </xf>
    <xf numFmtId="0" fontId="54" fillId="2" borderId="0" xfId="0" quotePrefix="1" applyFont="1" applyFill="1" applyBorder="1" applyAlignment="1" applyProtection="1">
      <alignment horizontal="left" vertical="center"/>
      <protection hidden="1"/>
    </xf>
    <xf numFmtId="0" fontId="91" fillId="2" borderId="0" xfId="0" applyFont="1" applyFill="1" applyBorder="1" applyAlignment="1" applyProtection="1">
      <alignment horizontal="right"/>
      <protection hidden="1"/>
    </xf>
    <xf numFmtId="0" fontId="46" fillId="2" borderId="0" xfId="0" applyFont="1" applyFill="1" applyBorder="1" applyAlignment="1" applyProtection="1">
      <alignment vertical="center"/>
      <protection hidden="1"/>
    </xf>
    <xf numFmtId="0" fontId="135" fillId="2" borderId="0" xfId="0" applyFont="1" applyFill="1" applyBorder="1" applyAlignment="1" applyProtection="1">
      <alignment horizontal="right"/>
      <protection hidden="1"/>
    </xf>
    <xf numFmtId="0" fontId="54" fillId="2" borderId="0" xfId="0" applyFont="1" applyFill="1" applyBorder="1" applyProtection="1">
      <protection hidden="1"/>
    </xf>
    <xf numFmtId="0" fontId="54" fillId="2" borderId="0" xfId="0" applyFont="1" applyFill="1" applyBorder="1" applyAlignment="1" applyProtection="1">
      <alignment horizontal="left"/>
      <protection hidden="1"/>
    </xf>
    <xf numFmtId="0" fontId="49" fillId="2" borderId="60" xfId="0" applyFont="1" applyFill="1" applyBorder="1" applyAlignment="1" applyProtection="1">
      <alignment vertical="center"/>
      <protection hidden="1"/>
    </xf>
    <xf numFmtId="0" fontId="49" fillId="2" borderId="0" xfId="0" applyFont="1" applyFill="1" applyBorder="1" applyAlignment="1" applyProtection="1">
      <alignment vertical="center"/>
      <protection hidden="1"/>
    </xf>
    <xf numFmtId="174" fontId="48" fillId="2" borderId="0" xfId="0" applyNumberFormat="1" applyFont="1" applyFill="1" applyBorder="1" applyAlignment="1" applyProtection="1">
      <alignment vertical="center"/>
      <protection hidden="1"/>
    </xf>
    <xf numFmtId="174" fontId="46" fillId="2" borderId="0" xfId="0" applyNumberFormat="1" applyFont="1" applyFill="1" applyBorder="1" applyAlignment="1" applyProtection="1">
      <protection hidden="1"/>
    </xf>
    <xf numFmtId="174" fontId="48" fillId="2" borderId="0" xfId="0" applyNumberFormat="1" applyFont="1" applyFill="1" applyBorder="1" applyAlignment="1" applyProtection="1">
      <alignment horizontal="right" vertical="center"/>
      <protection hidden="1"/>
    </xf>
    <xf numFmtId="14" fontId="0" fillId="2" borderId="0" xfId="0" applyNumberFormat="1" applyFill="1" applyProtection="1">
      <protection hidden="1"/>
    </xf>
    <xf numFmtId="0" fontId="45" fillId="2" borderId="0" xfId="0" applyFont="1" applyFill="1" applyBorder="1" applyProtection="1">
      <protection hidden="1"/>
    </xf>
    <xf numFmtId="164" fontId="79" fillId="2" borderId="0" xfId="1" applyFont="1" applyFill="1" applyBorder="1" applyProtection="1">
      <protection hidden="1"/>
    </xf>
    <xf numFmtId="0" fontId="83" fillId="2" borderId="5" xfId="0" applyFont="1" applyFill="1" applyBorder="1" applyProtection="1">
      <protection hidden="1"/>
    </xf>
    <xf numFmtId="0" fontId="141" fillId="2" borderId="61" xfId="0" applyFont="1" applyFill="1" applyBorder="1" applyAlignment="1" applyProtection="1">
      <alignment vertical="center" wrapText="1"/>
      <protection hidden="1"/>
    </xf>
    <xf numFmtId="0" fontId="141" fillId="2" borderId="0" xfId="0" applyFont="1" applyFill="1" applyBorder="1" applyAlignment="1" applyProtection="1">
      <alignment vertical="center" wrapText="1"/>
      <protection hidden="1"/>
    </xf>
    <xf numFmtId="0" fontId="142" fillId="2" borderId="0" xfId="0" applyFont="1" applyFill="1" applyAlignment="1" applyProtection="1">
      <alignment vertical="center"/>
      <protection hidden="1"/>
    </xf>
    <xf numFmtId="0" fontId="85" fillId="11" borderId="62" xfId="0" applyFont="1" applyFill="1" applyBorder="1" applyAlignment="1" applyProtection="1">
      <alignment horizontal="center"/>
      <protection hidden="1"/>
    </xf>
    <xf numFmtId="0" fontId="2" fillId="7" borderId="0" xfId="0" applyFont="1" applyFill="1" applyBorder="1" applyProtection="1">
      <protection hidden="1"/>
    </xf>
    <xf numFmtId="0" fontId="144" fillId="4" borderId="63" xfId="0" applyFont="1" applyFill="1" applyBorder="1" applyAlignment="1" applyProtection="1">
      <alignment horizontal="center"/>
      <protection hidden="1"/>
    </xf>
    <xf numFmtId="0" fontId="46" fillId="2" borderId="0" xfId="0" applyFont="1" applyFill="1" applyBorder="1" applyAlignment="1" applyProtection="1">
      <alignment vertical="center" wrapText="1"/>
      <protection hidden="1"/>
    </xf>
    <xf numFmtId="0" fontId="56" fillId="0" borderId="0" xfId="0" applyFont="1" applyBorder="1"/>
    <xf numFmtId="0" fontId="136" fillId="2" borderId="5" xfId="0" applyFont="1" applyFill="1" applyBorder="1" applyAlignment="1" applyProtection="1">
      <protection hidden="1"/>
    </xf>
    <xf numFmtId="0" fontId="56" fillId="0" borderId="5" xfId="0" applyFont="1" applyFill="1" applyBorder="1" applyAlignment="1" applyProtection="1">
      <protection hidden="1"/>
    </xf>
    <xf numFmtId="164" fontId="46" fillId="0" borderId="5" xfId="0" applyNumberFormat="1" applyFont="1" applyFill="1" applyBorder="1" applyAlignment="1" applyProtection="1">
      <protection hidden="1"/>
    </xf>
    <xf numFmtId="0" fontId="121" fillId="2" borderId="5" xfId="0" applyFont="1" applyFill="1" applyBorder="1" applyProtection="1">
      <protection hidden="1"/>
    </xf>
    <xf numFmtId="177" fontId="32" fillId="5" borderId="0" xfId="0" applyNumberFormat="1" applyFont="1" applyFill="1" applyBorder="1" applyProtection="1">
      <protection hidden="1"/>
    </xf>
    <xf numFmtId="174" fontId="46" fillId="2" borderId="0" xfId="0" applyNumberFormat="1" applyFont="1" applyFill="1" applyBorder="1" applyAlignment="1" applyProtection="1">
      <alignment vertical="center"/>
      <protection hidden="1"/>
    </xf>
    <xf numFmtId="178" fontId="32" fillId="5" borderId="0" xfId="0" applyNumberFormat="1" applyFont="1" applyFill="1" applyBorder="1" applyProtection="1">
      <protection hidden="1"/>
    </xf>
    <xf numFmtId="0" fontId="46" fillId="2" borderId="57" xfId="0" applyFont="1" applyFill="1" applyBorder="1" applyAlignment="1" applyProtection="1">
      <alignment horizontal="left" vertical="center" wrapText="1"/>
      <protection hidden="1"/>
    </xf>
    <xf numFmtId="0" fontId="147" fillId="0" borderId="0" xfId="0" applyFont="1" applyProtection="1">
      <protection hidden="1"/>
    </xf>
    <xf numFmtId="0" fontId="147" fillId="2" borderId="0" xfId="0" applyFont="1" applyFill="1" applyProtection="1">
      <protection hidden="1"/>
    </xf>
    <xf numFmtId="0" fontId="147" fillId="0" borderId="0" xfId="0" applyFont="1" applyAlignment="1" applyProtection="1">
      <protection hidden="1"/>
    </xf>
    <xf numFmtId="0" fontId="125" fillId="11" borderId="0" xfId="0" applyFont="1" applyFill="1" applyBorder="1" applyAlignment="1" applyProtection="1">
      <alignment horizontal="left"/>
      <protection hidden="1"/>
    </xf>
    <xf numFmtId="0" fontId="88" fillId="11" borderId="0" xfId="0" applyFont="1" applyFill="1" applyBorder="1" applyProtection="1">
      <protection hidden="1"/>
    </xf>
    <xf numFmtId="0" fontId="2" fillId="4" borderId="64" xfId="0" applyFont="1" applyFill="1" applyBorder="1" applyProtection="1">
      <protection hidden="1"/>
    </xf>
    <xf numFmtId="0" fontId="30" fillId="4" borderId="65" xfId="0" applyFont="1" applyFill="1" applyBorder="1" applyProtection="1">
      <protection hidden="1"/>
    </xf>
    <xf numFmtId="0" fontId="27" fillId="4" borderId="66" xfId="0" quotePrefix="1" applyFont="1" applyFill="1" applyBorder="1" applyProtection="1">
      <protection hidden="1"/>
    </xf>
    <xf numFmtId="0" fontId="36" fillId="4" borderId="64" xfId="0" applyFont="1" applyFill="1" applyBorder="1" applyAlignment="1" applyProtection="1">
      <alignment horizontal="center"/>
      <protection hidden="1"/>
    </xf>
    <xf numFmtId="38" fontId="148" fillId="2" borderId="0" xfId="0" applyNumberFormat="1" applyFont="1" applyFill="1" applyBorder="1" applyAlignment="1" applyProtection="1">
      <alignment horizontal="center"/>
      <protection hidden="1"/>
    </xf>
    <xf numFmtId="0" fontId="106" fillId="3" borderId="67" xfId="0" applyFont="1" applyFill="1" applyBorder="1" applyAlignment="1" applyProtection="1">
      <alignment horizontal="center"/>
      <protection hidden="1"/>
    </xf>
    <xf numFmtId="2" fontId="32" fillId="5" borderId="32" xfId="0" applyNumberFormat="1" applyFont="1" applyFill="1" applyBorder="1" applyAlignment="1" applyProtection="1">
      <alignment horizontal="right"/>
      <protection hidden="1"/>
    </xf>
    <xf numFmtId="0" fontId="36" fillId="5" borderId="68" xfId="0" applyFont="1" applyFill="1" applyBorder="1" applyProtection="1">
      <protection hidden="1"/>
    </xf>
    <xf numFmtId="0" fontId="0" fillId="4" borderId="69" xfId="0" applyFill="1" applyBorder="1" applyProtection="1">
      <protection hidden="1"/>
    </xf>
    <xf numFmtId="0" fontId="36" fillId="4" borderId="70" xfId="0" applyFont="1" applyFill="1" applyBorder="1" applyProtection="1">
      <protection hidden="1"/>
    </xf>
    <xf numFmtId="164" fontId="117" fillId="2" borderId="0" xfId="1" applyFont="1" applyFill="1" applyBorder="1" applyAlignment="1" applyProtection="1">
      <alignment horizontal="left"/>
      <protection hidden="1"/>
    </xf>
    <xf numFmtId="2" fontId="149" fillId="2" borderId="0" xfId="0" applyNumberFormat="1" applyFont="1" applyFill="1" applyBorder="1" applyProtection="1">
      <protection hidden="1"/>
    </xf>
    <xf numFmtId="0" fontId="141" fillId="2" borderId="71" xfId="0" applyFont="1" applyFill="1" applyBorder="1" applyAlignment="1" applyProtection="1">
      <alignment vertical="center" wrapText="1"/>
      <protection hidden="1"/>
    </xf>
    <xf numFmtId="39" fontId="46" fillId="2" borderId="7" xfId="0" applyNumberFormat="1" applyFont="1" applyFill="1" applyBorder="1" applyAlignment="1" applyProtection="1">
      <alignment horizontal="right"/>
      <protection hidden="1"/>
    </xf>
    <xf numFmtId="0" fontId="60" fillId="2" borderId="0" xfId="0" applyFont="1" applyFill="1" applyBorder="1" applyAlignment="1" applyProtection="1">
      <alignment vertical="top"/>
      <protection hidden="1"/>
    </xf>
    <xf numFmtId="0" fontId="47" fillId="2" borderId="0" xfId="0" applyFont="1" applyFill="1" applyBorder="1" applyAlignment="1" applyProtection="1">
      <alignment vertical="top"/>
      <protection hidden="1"/>
    </xf>
    <xf numFmtId="0" fontId="154" fillId="11" borderId="0" xfId="0" applyFont="1" applyFill="1" applyAlignment="1" applyProtection="1">
      <alignment horizontal="center"/>
      <protection hidden="1"/>
    </xf>
    <xf numFmtId="0" fontId="80" fillId="11" borderId="0" xfId="0" applyFont="1" applyFill="1" applyBorder="1" applyAlignment="1" applyProtection="1">
      <alignment horizontal="center"/>
      <protection hidden="1"/>
    </xf>
    <xf numFmtId="0" fontId="121" fillId="11" borderId="0" xfId="0" applyFont="1" applyFill="1" applyProtection="1">
      <protection hidden="1"/>
    </xf>
    <xf numFmtId="0" fontId="121" fillId="11" borderId="0" xfId="0" applyFont="1" applyFill="1" applyAlignment="1" applyProtection="1">
      <alignment horizontal="left"/>
      <protection hidden="1"/>
    </xf>
    <xf numFmtId="0" fontId="86" fillId="2" borderId="0" xfId="0" applyFont="1" applyFill="1" applyProtection="1">
      <protection hidden="1"/>
    </xf>
    <xf numFmtId="0" fontId="145" fillId="2" borderId="0" xfId="0" applyFont="1" applyFill="1" applyBorder="1" applyAlignment="1" applyProtection="1">
      <alignment horizontal="left"/>
      <protection hidden="1"/>
    </xf>
    <xf numFmtId="0" fontId="117" fillId="2" borderId="0" xfId="0" applyFont="1" applyFill="1" applyProtection="1">
      <protection hidden="1"/>
    </xf>
    <xf numFmtId="0" fontId="117" fillId="2" borderId="0" xfId="0" applyFont="1" applyFill="1" applyAlignment="1" applyProtection="1">
      <alignment horizontal="right"/>
      <protection hidden="1"/>
    </xf>
    <xf numFmtId="0" fontId="117" fillId="2" borderId="0" xfId="0" applyFont="1" applyFill="1" applyBorder="1" applyAlignment="1" applyProtection="1">
      <alignment horizontal="right"/>
      <protection hidden="1"/>
    </xf>
    <xf numFmtId="0" fontId="67" fillId="2" borderId="0" xfId="0" applyFont="1" applyFill="1" applyBorder="1" applyAlignment="1" applyProtection="1">
      <alignment horizontal="left"/>
      <protection hidden="1"/>
    </xf>
    <xf numFmtId="0" fontId="22" fillId="2" borderId="4" xfId="0" applyFont="1" applyFill="1" applyBorder="1" applyProtection="1">
      <protection hidden="1"/>
    </xf>
    <xf numFmtId="0" fontId="83" fillId="11" borderId="0" xfId="0" applyFont="1" applyFill="1" applyAlignment="1" applyProtection="1">
      <alignment horizontal="right"/>
      <protection hidden="1"/>
    </xf>
    <xf numFmtId="169" fontId="85" fillId="11" borderId="0" xfId="0" applyNumberFormat="1" applyFont="1" applyFill="1" applyAlignment="1" applyProtection="1">
      <alignment horizontal="left"/>
      <protection hidden="1"/>
    </xf>
    <xf numFmtId="0" fontId="83" fillId="11" borderId="0" xfId="0" applyFont="1" applyFill="1" applyAlignment="1" applyProtection="1">
      <protection hidden="1"/>
    </xf>
    <xf numFmtId="9" fontId="85" fillId="11" borderId="0" xfId="0" applyNumberFormat="1" applyFont="1" applyFill="1" applyProtection="1">
      <protection hidden="1"/>
    </xf>
    <xf numFmtId="0" fontId="121" fillId="11" borderId="0" xfId="0" applyFont="1" applyFill="1" applyAlignment="1" applyProtection="1">
      <alignment horizontal="center"/>
      <protection hidden="1"/>
    </xf>
    <xf numFmtId="14" fontId="121" fillId="11" borderId="0" xfId="0" applyNumberFormat="1" applyFont="1" applyFill="1" applyProtection="1">
      <protection hidden="1"/>
    </xf>
    <xf numFmtId="14" fontId="155" fillId="11" borderId="72" xfId="0" applyNumberFormat="1" applyFont="1" applyFill="1" applyBorder="1" applyAlignment="1" applyProtection="1">
      <alignment vertical="top" wrapText="1"/>
      <protection hidden="1"/>
    </xf>
    <xf numFmtId="0" fontId="156" fillId="11" borderId="0" xfId="0" applyFont="1" applyFill="1" applyProtection="1">
      <protection hidden="1"/>
    </xf>
    <xf numFmtId="0" fontId="155" fillId="11" borderId="0" xfId="0" applyFont="1" applyFill="1" applyBorder="1" applyAlignment="1" applyProtection="1">
      <alignment vertical="top" wrapText="1"/>
      <protection hidden="1"/>
    </xf>
    <xf numFmtId="1" fontId="121" fillId="11" borderId="0" xfId="0" applyNumberFormat="1" applyFont="1" applyFill="1" applyProtection="1">
      <protection hidden="1"/>
    </xf>
    <xf numFmtId="0" fontId="121" fillId="11" borderId="0" xfId="0" applyFont="1" applyFill="1" applyAlignment="1" applyProtection="1">
      <alignment horizontal="right"/>
      <protection hidden="1"/>
    </xf>
    <xf numFmtId="0" fontId="126" fillId="11" borderId="0" xfId="0" applyFont="1" applyFill="1" applyProtection="1">
      <protection hidden="1"/>
    </xf>
    <xf numFmtId="0" fontId="121" fillId="11" borderId="72" xfId="0" applyFont="1" applyFill="1" applyBorder="1" applyProtection="1">
      <protection hidden="1"/>
    </xf>
    <xf numFmtId="0" fontId="83" fillId="11" borderId="0" xfId="0" applyFont="1" applyFill="1"/>
    <xf numFmtId="0" fontId="121" fillId="11" borderId="0" xfId="0" applyFont="1" applyFill="1" applyBorder="1" applyProtection="1">
      <protection hidden="1"/>
    </xf>
    <xf numFmtId="0" fontId="121" fillId="11" borderId="57" xfId="0" applyFont="1" applyFill="1" applyBorder="1" applyProtection="1">
      <protection hidden="1"/>
    </xf>
    <xf numFmtId="0" fontId="126" fillId="11" borderId="0" xfId="0" applyFont="1" applyFill="1" applyBorder="1" applyAlignment="1" applyProtection="1">
      <alignment horizontal="center"/>
      <protection hidden="1"/>
    </xf>
    <xf numFmtId="0" fontId="155" fillId="11" borderId="45" xfId="0" applyFont="1" applyFill="1" applyBorder="1" applyAlignment="1" applyProtection="1">
      <alignment horizontal="center"/>
      <protection hidden="1"/>
    </xf>
    <xf numFmtId="0" fontId="156" fillId="11" borderId="0" xfId="0" applyFont="1" applyFill="1" applyBorder="1" applyAlignment="1" applyProtection="1">
      <alignment vertical="top"/>
      <protection hidden="1"/>
    </xf>
    <xf numFmtId="0" fontId="155" fillId="11" borderId="57" xfId="0" applyFont="1" applyFill="1" applyBorder="1" applyAlignment="1" applyProtection="1">
      <alignment vertical="top"/>
      <protection hidden="1"/>
    </xf>
    <xf numFmtId="0" fontId="126" fillId="11" borderId="0" xfId="0" applyFont="1" applyFill="1" applyBorder="1" applyProtection="1">
      <protection hidden="1"/>
    </xf>
    <xf numFmtId="0" fontId="121" fillId="11" borderId="0" xfId="0" applyFont="1" applyFill="1" applyBorder="1" applyAlignment="1" applyProtection="1">
      <alignment vertical="top" wrapText="1"/>
      <protection hidden="1"/>
    </xf>
    <xf numFmtId="0" fontId="156" fillId="11" borderId="0" xfId="0" applyFont="1" applyFill="1" applyBorder="1" applyProtection="1">
      <protection hidden="1"/>
    </xf>
    <xf numFmtId="1" fontId="155" fillId="11" borderId="45" xfId="0" applyNumberFormat="1" applyFont="1" applyFill="1" applyBorder="1" applyAlignment="1" applyProtection="1">
      <alignment horizontal="center"/>
      <protection hidden="1"/>
    </xf>
    <xf numFmtId="1" fontId="157" fillId="11" borderId="45" xfId="0" applyNumberFormat="1" applyFont="1" applyFill="1" applyBorder="1" applyAlignment="1" applyProtection="1">
      <alignment horizontal="center"/>
      <protection hidden="1"/>
    </xf>
    <xf numFmtId="176" fontId="126" fillId="11" borderId="45" xfId="0" applyNumberFormat="1" applyFont="1" applyFill="1" applyBorder="1" applyAlignment="1" applyProtection="1">
      <alignment horizontal="center" vertical="top" wrapText="1"/>
      <protection hidden="1"/>
    </xf>
    <xf numFmtId="0" fontId="155" fillId="11" borderId="0" xfId="0" applyFont="1" applyFill="1" applyBorder="1" applyProtection="1">
      <protection hidden="1"/>
    </xf>
    <xf numFmtId="0" fontId="126" fillId="11" borderId="73" xfId="0" applyFont="1" applyFill="1" applyBorder="1" applyProtection="1">
      <protection hidden="1"/>
    </xf>
    <xf numFmtId="0" fontId="121" fillId="11" borderId="6" xfId="0" applyFont="1" applyFill="1" applyBorder="1" applyProtection="1">
      <protection hidden="1"/>
    </xf>
    <xf numFmtId="0" fontId="124" fillId="11" borderId="60" xfId="0" applyFont="1" applyFill="1" applyBorder="1" applyAlignment="1" applyProtection="1">
      <protection hidden="1"/>
    </xf>
    <xf numFmtId="0" fontId="121" fillId="11" borderId="74" xfId="0" applyFont="1" applyFill="1" applyBorder="1" applyProtection="1">
      <protection hidden="1"/>
    </xf>
    <xf numFmtId="0" fontId="106" fillId="11" borderId="0" xfId="0" applyFont="1" applyFill="1" applyAlignment="1" applyProtection="1">
      <alignment horizontal="center"/>
      <protection hidden="1"/>
    </xf>
    <xf numFmtId="168" fontId="128" fillId="2" borderId="59" xfId="1" applyNumberFormat="1" applyFont="1" applyFill="1" applyBorder="1" applyProtection="1">
      <protection hidden="1"/>
    </xf>
    <xf numFmtId="0" fontId="163" fillId="0" borderId="0" xfId="0" applyFont="1" applyAlignment="1" applyProtection="1">
      <alignment horizontal="right"/>
      <protection hidden="1"/>
    </xf>
    <xf numFmtId="0" fontId="85" fillId="11" borderId="75" xfId="0" applyFont="1" applyFill="1" applyBorder="1" applyAlignment="1" applyProtection="1">
      <alignment horizontal="center"/>
      <protection hidden="1"/>
    </xf>
    <xf numFmtId="0" fontId="2" fillId="9" borderId="0" xfId="0" applyFont="1" applyFill="1" applyAlignment="1" applyProtection="1">
      <alignment horizontal="center"/>
      <protection hidden="1"/>
    </xf>
    <xf numFmtId="0" fontId="165" fillId="2" borderId="0" xfId="0" applyFont="1" applyFill="1" applyAlignment="1" applyProtection="1">
      <alignment horizontal="right"/>
      <protection hidden="1"/>
    </xf>
    <xf numFmtId="0" fontId="13" fillId="2" borderId="0" xfId="0" applyFont="1" applyFill="1" applyProtection="1">
      <protection hidden="1"/>
    </xf>
    <xf numFmtId="0" fontId="166" fillId="2" borderId="0" xfId="0" applyFont="1" applyFill="1" applyProtection="1">
      <protection hidden="1"/>
    </xf>
    <xf numFmtId="167" fontId="47" fillId="2" borderId="0" xfId="0" applyNumberFormat="1" applyFont="1" applyFill="1" applyBorder="1" applyAlignment="1" applyProtection="1">
      <alignment horizontal="right"/>
      <protection hidden="1"/>
    </xf>
    <xf numFmtId="0" fontId="148" fillId="2" borderId="4" xfId="0" applyFont="1" applyFill="1" applyBorder="1" applyProtection="1">
      <protection hidden="1"/>
    </xf>
    <xf numFmtId="0" fontId="153" fillId="2" borderId="0" xfId="0" applyFont="1" applyFill="1" applyBorder="1" applyAlignment="1" applyProtection="1">
      <alignment horizontal="center"/>
      <protection hidden="1"/>
    </xf>
    <xf numFmtId="0" fontId="7" fillId="2" borderId="76" xfId="0" applyFont="1" applyFill="1" applyBorder="1" applyProtection="1">
      <protection hidden="1"/>
    </xf>
    <xf numFmtId="0" fontId="0" fillId="2" borderId="77" xfId="0" applyFill="1" applyBorder="1" applyProtection="1">
      <protection hidden="1"/>
    </xf>
    <xf numFmtId="0" fontId="47" fillId="2" borderId="0" xfId="0" applyFont="1" applyFill="1" applyBorder="1" applyAlignment="1" applyProtection="1">
      <protection hidden="1"/>
    </xf>
    <xf numFmtId="0" fontId="86" fillId="2" borderId="0" xfId="0" applyFont="1" applyFill="1" applyBorder="1" applyProtection="1">
      <protection hidden="1"/>
    </xf>
    <xf numFmtId="0" fontId="47" fillId="2" borderId="78" xfId="0" applyFont="1" applyFill="1" applyBorder="1" applyAlignment="1" applyProtection="1">
      <alignment horizontal="left"/>
      <protection hidden="1"/>
    </xf>
    <xf numFmtId="4" fontId="45" fillId="2" borderId="79" xfId="0" applyNumberFormat="1" applyFont="1" applyFill="1" applyBorder="1" applyProtection="1">
      <protection hidden="1"/>
    </xf>
    <xf numFmtId="164" fontId="49" fillId="2" borderId="80" xfId="1" applyFont="1" applyFill="1" applyBorder="1" applyProtection="1">
      <protection hidden="1"/>
    </xf>
    <xf numFmtId="0" fontId="72" fillId="2" borderId="0" xfId="0" applyFont="1" applyFill="1" applyBorder="1" applyAlignment="1" applyProtection="1">
      <alignment horizontal="left"/>
      <protection hidden="1"/>
    </xf>
    <xf numFmtId="168" fontId="128" fillId="2" borderId="0" xfId="1" applyNumberFormat="1" applyFont="1" applyFill="1" applyBorder="1" applyProtection="1">
      <protection hidden="1"/>
    </xf>
    <xf numFmtId="0" fontId="94" fillId="2" borderId="4" xfId="0" applyFont="1" applyFill="1" applyBorder="1" applyProtection="1">
      <protection hidden="1"/>
    </xf>
    <xf numFmtId="0" fontId="170" fillId="2" borderId="0" xfId="0" applyFont="1" applyFill="1" applyBorder="1" applyProtection="1">
      <protection hidden="1"/>
    </xf>
    <xf numFmtId="0" fontId="170" fillId="2" borderId="0" xfId="0" applyFont="1" applyFill="1" applyBorder="1" applyAlignment="1" applyProtection="1">
      <alignment vertical="center"/>
      <protection hidden="1"/>
    </xf>
    <xf numFmtId="0" fontId="143" fillId="2" borderId="0" xfId="0" applyFont="1" applyFill="1" applyBorder="1" applyAlignment="1" applyProtection="1">
      <alignment horizontal="left" vertical="top"/>
      <protection hidden="1"/>
    </xf>
    <xf numFmtId="0" fontId="171" fillId="2" borderId="0" xfId="0" applyFont="1" applyFill="1" applyBorder="1" applyProtection="1">
      <protection hidden="1"/>
    </xf>
    <xf numFmtId="0" fontId="0" fillId="2" borderId="81" xfId="0" applyFill="1" applyBorder="1" applyProtection="1">
      <protection hidden="1"/>
    </xf>
    <xf numFmtId="0" fontId="141" fillId="2" borderId="82" xfId="0" applyFont="1" applyFill="1" applyBorder="1" applyAlignment="1" applyProtection="1">
      <alignment vertical="center" wrapText="1"/>
      <protection hidden="1"/>
    </xf>
    <xf numFmtId="0" fontId="13" fillId="2" borderId="83" xfId="0" applyFont="1" applyFill="1" applyBorder="1" applyProtection="1">
      <protection hidden="1"/>
    </xf>
    <xf numFmtId="0" fontId="49" fillId="2" borderId="83" xfId="0" applyFont="1" applyFill="1" applyBorder="1" applyAlignment="1" applyProtection="1">
      <alignment horizontal="left"/>
      <protection hidden="1"/>
    </xf>
    <xf numFmtId="0" fontId="9" fillId="2" borderId="83" xfId="0" applyFont="1" applyFill="1" applyBorder="1" applyProtection="1">
      <protection hidden="1"/>
    </xf>
    <xf numFmtId="0" fontId="7" fillId="2" borderId="83" xfId="0" applyFont="1" applyFill="1" applyBorder="1" applyProtection="1">
      <protection hidden="1"/>
    </xf>
    <xf numFmtId="164" fontId="7" fillId="2" borderId="83" xfId="1" applyFont="1" applyFill="1" applyBorder="1" applyProtection="1">
      <protection hidden="1"/>
    </xf>
    <xf numFmtId="2" fontId="172" fillId="3" borderId="84" xfId="0" applyNumberFormat="1" applyFont="1" applyFill="1" applyBorder="1" applyAlignment="1" applyProtection="1">
      <alignment horizontal="center"/>
      <protection hidden="1"/>
    </xf>
    <xf numFmtId="0" fontId="0" fillId="2" borderId="0" xfId="0" applyFill="1" applyAlignment="1" applyProtection="1">
      <alignment horizontal="left"/>
      <protection hidden="1"/>
    </xf>
    <xf numFmtId="0" fontId="173" fillId="0" borderId="0" xfId="0" applyFont="1" applyAlignment="1" applyProtection="1">
      <alignment horizontal="right"/>
      <protection hidden="1"/>
    </xf>
    <xf numFmtId="40" fontId="71" fillId="2" borderId="5" xfId="0" applyNumberFormat="1" applyFont="1" applyFill="1" applyBorder="1" applyProtection="1">
      <protection hidden="1"/>
    </xf>
    <xf numFmtId="0" fontId="46" fillId="2" borderId="0" xfId="0" applyFont="1" applyFill="1" applyBorder="1" applyAlignment="1" applyProtection="1">
      <alignment horizontal="left" shrinkToFit="1"/>
      <protection hidden="1"/>
    </xf>
    <xf numFmtId="0" fontId="174" fillId="11" borderId="0" xfId="0" applyFont="1" applyFill="1" applyAlignment="1" applyProtection="1">
      <alignment horizontal="left"/>
      <protection hidden="1"/>
    </xf>
    <xf numFmtId="165" fontId="84" fillId="11" borderId="0" xfId="1" applyNumberFormat="1" applyFont="1" applyFill="1" applyAlignment="1" applyProtection="1">
      <alignment horizontal="center"/>
      <protection hidden="1"/>
    </xf>
    <xf numFmtId="0" fontId="84" fillId="11" borderId="0" xfId="0" applyFont="1" applyFill="1" applyAlignment="1" applyProtection="1">
      <alignment horizontal="right"/>
      <protection hidden="1"/>
    </xf>
    <xf numFmtId="0" fontId="175" fillId="11" borderId="0" xfId="0" applyFont="1" applyFill="1" applyAlignment="1" applyProtection="1">
      <alignment horizontal="left"/>
      <protection hidden="1"/>
    </xf>
    <xf numFmtId="165" fontId="86" fillId="11" borderId="0" xfId="1" applyNumberFormat="1" applyFont="1" applyFill="1" applyProtection="1">
      <protection hidden="1"/>
    </xf>
    <xf numFmtId="172" fontId="85" fillId="11" borderId="0" xfId="0" applyNumberFormat="1" applyFont="1" applyFill="1" applyAlignment="1" applyProtection="1">
      <alignment horizontal="left"/>
      <protection hidden="1"/>
    </xf>
    <xf numFmtId="172" fontId="175" fillId="11" borderId="0" xfId="0" applyNumberFormat="1" applyFont="1" applyFill="1" applyBorder="1" applyAlignment="1" applyProtection="1">
      <alignment vertical="top" wrapText="1"/>
      <protection hidden="1"/>
    </xf>
    <xf numFmtId="10" fontId="85" fillId="11" borderId="0" xfId="5" applyNumberFormat="1" applyFont="1" applyFill="1" applyProtection="1">
      <protection hidden="1"/>
    </xf>
    <xf numFmtId="1" fontId="85" fillId="11" borderId="0" xfId="0" applyNumberFormat="1" applyFont="1" applyFill="1" applyBorder="1" applyAlignment="1" applyProtection="1">
      <alignment horizontal="center"/>
      <protection hidden="1"/>
    </xf>
    <xf numFmtId="0" fontId="176" fillId="11" borderId="0" xfId="0" applyFont="1" applyFill="1" applyBorder="1" applyAlignment="1" applyProtection="1">
      <alignment horizontal="center"/>
      <protection hidden="1"/>
    </xf>
    <xf numFmtId="0" fontId="85" fillId="11" borderId="0" xfId="0" applyFont="1" applyFill="1" applyAlignment="1" applyProtection="1">
      <alignment horizontal="right"/>
      <protection hidden="1"/>
    </xf>
    <xf numFmtId="0" fontId="85" fillId="11" borderId="0" xfId="0" applyFont="1" applyFill="1" applyBorder="1" applyAlignment="1" applyProtection="1">
      <alignment horizontal="right"/>
      <protection hidden="1"/>
    </xf>
    <xf numFmtId="0" fontId="84" fillId="11" borderId="0" xfId="0" applyFont="1" applyFill="1" applyBorder="1" applyAlignment="1" applyProtection="1">
      <alignment horizontal="right"/>
      <protection hidden="1"/>
    </xf>
    <xf numFmtId="0" fontId="162" fillId="11" borderId="0" xfId="0" applyFont="1" applyFill="1" applyProtection="1">
      <protection hidden="1"/>
    </xf>
    <xf numFmtId="0" fontId="86" fillId="11" borderId="0" xfId="0" applyFont="1" applyFill="1" applyAlignment="1" applyProtection="1">
      <alignment horizontal="center"/>
      <protection hidden="1"/>
    </xf>
    <xf numFmtId="164" fontId="83" fillId="11" borderId="0" xfId="0" applyNumberFormat="1" applyFont="1" applyFill="1" applyProtection="1">
      <protection hidden="1"/>
    </xf>
    <xf numFmtId="0" fontId="84" fillId="11" borderId="0" xfId="0" applyFont="1" applyFill="1" applyAlignment="1" applyProtection="1">
      <alignment horizontal="center"/>
      <protection hidden="1"/>
    </xf>
    <xf numFmtId="0" fontId="84" fillId="11" borderId="5" xfId="0" applyFont="1" applyFill="1" applyBorder="1" applyAlignment="1" applyProtection="1">
      <alignment horizontal="center"/>
      <protection hidden="1"/>
    </xf>
    <xf numFmtId="0" fontId="46" fillId="2" borderId="0" xfId="0" applyFont="1" applyFill="1" applyBorder="1" applyAlignment="1" applyProtection="1">
      <alignment horizontal="left" vertical="top"/>
      <protection hidden="1"/>
    </xf>
    <xf numFmtId="0" fontId="169" fillId="2" borderId="0" xfId="0" applyFont="1" applyFill="1" applyBorder="1" applyAlignment="1" applyProtection="1">
      <alignment horizontal="left"/>
      <protection hidden="1"/>
    </xf>
    <xf numFmtId="0" fontId="47" fillId="2" borderId="59" xfId="0" applyFont="1" applyFill="1" applyBorder="1" applyAlignment="1" applyProtection="1">
      <alignment horizontal="left"/>
      <protection hidden="1"/>
    </xf>
    <xf numFmtId="0" fontId="3" fillId="11" borderId="0" xfId="0" applyFont="1" applyFill="1" applyProtection="1">
      <protection hidden="1"/>
    </xf>
    <xf numFmtId="0" fontId="34" fillId="11" borderId="0" xfId="0" applyFont="1" applyFill="1" applyProtection="1">
      <protection hidden="1"/>
    </xf>
    <xf numFmtId="1" fontId="64" fillId="11" borderId="0" xfId="0" applyNumberFormat="1" applyFont="1" applyFill="1" applyBorder="1" applyProtection="1">
      <protection hidden="1"/>
    </xf>
    <xf numFmtId="43" fontId="3" fillId="11" borderId="0" xfId="0" applyNumberFormat="1" applyFont="1" applyFill="1" applyProtection="1">
      <protection hidden="1"/>
    </xf>
    <xf numFmtId="14" fontId="0" fillId="2" borderId="85" xfId="0" applyNumberFormat="1" applyFill="1" applyBorder="1" applyAlignment="1" applyProtection="1">
      <protection hidden="1"/>
    </xf>
    <xf numFmtId="0" fontId="164" fillId="2" borderId="0" xfId="0" applyFont="1" applyFill="1" applyBorder="1" applyAlignment="1" applyProtection="1">
      <alignment vertical="center"/>
      <protection hidden="1"/>
    </xf>
    <xf numFmtId="0" fontId="112" fillId="11" borderId="0" xfId="0" applyFont="1" applyFill="1" applyProtection="1">
      <protection hidden="1"/>
    </xf>
    <xf numFmtId="0" fontId="71" fillId="2" borderId="0" xfId="0" applyFont="1" applyFill="1" applyAlignment="1">
      <alignment vertical="top" wrapText="1"/>
    </xf>
    <xf numFmtId="0" fontId="46" fillId="11" borderId="0" xfId="0" applyFont="1" applyFill="1" applyProtection="1">
      <protection hidden="1"/>
    </xf>
    <xf numFmtId="9" fontId="162" fillId="11" borderId="0" xfId="0" applyNumberFormat="1" applyFont="1" applyFill="1" applyBorder="1" applyProtection="1">
      <protection hidden="1"/>
    </xf>
    <xf numFmtId="0" fontId="85" fillId="11" borderId="0" xfId="0" applyFont="1" applyFill="1" applyAlignment="1" applyProtection="1">
      <alignment horizontal="center"/>
      <protection hidden="1"/>
    </xf>
    <xf numFmtId="0" fontId="162" fillId="11" borderId="0" xfId="0" applyFont="1" applyFill="1" applyBorder="1" applyAlignment="1" applyProtection="1">
      <alignment horizontal="center"/>
      <protection hidden="1"/>
    </xf>
    <xf numFmtId="0" fontId="107" fillId="11" borderId="0" xfId="0" applyNumberFormat="1" applyFont="1" applyFill="1" applyProtection="1">
      <protection hidden="1"/>
    </xf>
    <xf numFmtId="0" fontId="162" fillId="11" borderId="0" xfId="0" applyFont="1" applyFill="1" applyAlignment="1" applyProtection="1">
      <alignment horizontal="right"/>
      <protection hidden="1"/>
    </xf>
    <xf numFmtId="2" fontId="181" fillId="11" borderId="0" xfId="0" applyNumberFormat="1" applyFont="1" applyFill="1" applyBorder="1" applyAlignment="1" applyProtection="1">
      <alignment horizontal="center"/>
      <protection hidden="1"/>
    </xf>
    <xf numFmtId="0" fontId="67" fillId="2" borderId="5" xfId="0" applyFont="1" applyFill="1" applyBorder="1" applyAlignment="1" applyProtection="1">
      <alignment horizontal="left"/>
      <protection hidden="1"/>
    </xf>
    <xf numFmtId="164" fontId="47" fillId="2" borderId="0" xfId="1" applyFont="1" applyFill="1" applyBorder="1" applyAlignment="1" applyProtection="1">
      <alignment horizontal="center"/>
      <protection hidden="1"/>
    </xf>
    <xf numFmtId="0" fontId="182" fillId="2" borderId="78" xfId="0" applyFont="1" applyFill="1" applyBorder="1" applyAlignment="1" applyProtection="1">
      <protection hidden="1"/>
    </xf>
    <xf numFmtId="0" fontId="132" fillId="2" borderId="0" xfId="0" applyFont="1" applyFill="1" applyBorder="1" applyAlignment="1" applyProtection="1">
      <alignment horizontal="center"/>
      <protection hidden="1"/>
    </xf>
    <xf numFmtId="0" fontId="80" fillId="2" borderId="0" xfId="0" applyFont="1" applyFill="1" applyBorder="1" applyAlignment="1" applyProtection="1">
      <alignment horizontal="center"/>
      <protection hidden="1"/>
    </xf>
    <xf numFmtId="0" fontId="71" fillId="2" borderId="59" xfId="0" applyFont="1" applyFill="1" applyBorder="1" applyAlignment="1" applyProtection="1">
      <alignment horizontal="left" vertical="center"/>
      <protection hidden="1"/>
    </xf>
    <xf numFmtId="0" fontId="23" fillId="2" borderId="86" xfId="0" applyFont="1" applyFill="1" applyBorder="1" applyProtection="1">
      <protection hidden="1"/>
    </xf>
    <xf numFmtId="0" fontId="89" fillId="2" borderId="87" xfId="0" applyFont="1" applyFill="1" applyBorder="1" applyProtection="1">
      <protection hidden="1"/>
    </xf>
    <xf numFmtId="0" fontId="83" fillId="2" borderId="87" xfId="0" applyFont="1" applyFill="1" applyBorder="1" applyProtection="1">
      <protection hidden="1"/>
    </xf>
    <xf numFmtId="0" fontId="8" fillId="2" borderId="87" xfId="0" applyFont="1" applyFill="1" applyBorder="1" applyProtection="1">
      <protection hidden="1"/>
    </xf>
    <xf numFmtId="0" fontId="149" fillId="2" borderId="87" xfId="0" applyFont="1" applyFill="1" applyBorder="1" applyProtection="1">
      <protection hidden="1"/>
    </xf>
    <xf numFmtId="164" fontId="9" fillId="2" borderId="87" xfId="0" applyNumberFormat="1" applyFont="1" applyFill="1" applyBorder="1" applyProtection="1">
      <protection hidden="1"/>
    </xf>
    <xf numFmtId="0" fontId="135" fillId="2" borderId="87" xfId="0" applyFont="1" applyFill="1" applyBorder="1" applyAlignment="1" applyProtection="1">
      <alignment horizontal="right"/>
      <protection hidden="1"/>
    </xf>
    <xf numFmtId="4" fontId="49" fillId="2" borderId="88" xfId="0" applyNumberFormat="1" applyFont="1" applyFill="1" applyBorder="1" applyProtection="1">
      <protection hidden="1"/>
    </xf>
    <xf numFmtId="0" fontId="141" fillId="2" borderId="89" xfId="0" applyFont="1" applyFill="1" applyBorder="1" applyAlignment="1" applyProtection="1">
      <alignment vertical="center" wrapText="1"/>
      <protection hidden="1"/>
    </xf>
    <xf numFmtId="0" fontId="117" fillId="2" borderId="86" xfId="0" applyFont="1" applyFill="1" applyBorder="1" applyProtection="1">
      <protection hidden="1"/>
    </xf>
    <xf numFmtId="0" fontId="94" fillId="2" borderId="87" xfId="0" applyFont="1" applyFill="1" applyBorder="1" applyAlignment="1" applyProtection="1">
      <alignment vertical="center"/>
      <protection hidden="1"/>
    </xf>
    <xf numFmtId="0" fontId="69" fillId="2" borderId="87" xfId="0" applyFont="1" applyFill="1" applyBorder="1" applyProtection="1">
      <protection hidden="1"/>
    </xf>
    <xf numFmtId="0" fontId="123" fillId="2" borderId="87" xfId="0" applyFont="1" applyFill="1" applyBorder="1" applyAlignment="1" applyProtection="1">
      <alignment horizontal="center"/>
      <protection hidden="1"/>
    </xf>
    <xf numFmtId="0" fontId="88" fillId="2" borderId="90" xfId="0" applyFont="1" applyFill="1" applyBorder="1" applyAlignment="1" applyProtection="1">
      <alignment horizontal="center" vertical="center"/>
      <protection hidden="1"/>
    </xf>
    <xf numFmtId="0" fontId="88" fillId="2" borderId="91" xfId="0" applyFont="1" applyFill="1" applyBorder="1" applyAlignment="1" applyProtection="1">
      <alignment horizontal="center" vertical="center"/>
      <protection hidden="1"/>
    </xf>
    <xf numFmtId="0" fontId="135" fillId="2" borderId="87" xfId="0" applyFont="1" applyFill="1" applyBorder="1" applyAlignment="1" applyProtection="1">
      <alignment horizontal="center"/>
      <protection hidden="1"/>
    </xf>
    <xf numFmtId="38" fontId="196" fillId="2" borderId="0" xfId="0" applyNumberFormat="1" applyFont="1" applyFill="1" applyBorder="1" applyAlignment="1" applyProtection="1">
      <alignment horizontal="center"/>
      <protection hidden="1"/>
    </xf>
    <xf numFmtId="2" fontId="197" fillId="11" borderId="0" xfId="0" applyNumberFormat="1" applyFont="1" applyFill="1" applyBorder="1" applyAlignment="1" applyProtection="1">
      <alignment horizontal="center"/>
      <protection hidden="1"/>
    </xf>
    <xf numFmtId="0" fontId="197" fillId="11" borderId="0" xfId="0" applyFont="1" applyFill="1" applyProtection="1">
      <protection hidden="1"/>
    </xf>
    <xf numFmtId="0" fontId="198" fillId="11" borderId="0" xfId="0" applyFont="1" applyFill="1" applyProtection="1">
      <protection hidden="1"/>
    </xf>
    <xf numFmtId="1" fontId="199" fillId="11" borderId="0" xfId="0" applyNumberFormat="1" applyFont="1" applyFill="1" applyBorder="1" applyProtection="1">
      <protection hidden="1"/>
    </xf>
    <xf numFmtId="43" fontId="197" fillId="11" borderId="0" xfId="0" applyNumberFormat="1" applyFont="1" applyFill="1" applyProtection="1">
      <protection hidden="1"/>
    </xf>
    <xf numFmtId="0" fontId="153" fillId="2" borderId="0" xfId="0" applyFont="1" applyFill="1" applyBorder="1" applyAlignment="1" applyProtection="1">
      <alignment horizontal="right"/>
      <protection hidden="1"/>
    </xf>
    <xf numFmtId="0" fontId="200" fillId="2" borderId="76" xfId="0" applyFont="1" applyFill="1" applyBorder="1" applyAlignment="1" applyProtection="1">
      <alignment vertical="center"/>
      <protection hidden="1"/>
    </xf>
    <xf numFmtId="0" fontId="47" fillId="2" borderId="0" xfId="0" applyFont="1" applyFill="1" applyBorder="1" applyAlignment="1" applyProtection="1">
      <alignment vertical="center"/>
      <protection hidden="1"/>
    </xf>
    <xf numFmtId="0" fontId="167" fillId="2" borderId="0" xfId="0" applyFont="1" applyFill="1" applyBorder="1" applyAlignment="1" applyProtection="1">
      <alignment vertical="center"/>
      <protection hidden="1"/>
    </xf>
    <xf numFmtId="0" fontId="168" fillId="2" borderId="0" xfId="0" applyFont="1" applyFill="1" applyBorder="1" applyAlignment="1" applyProtection="1">
      <alignment vertical="center"/>
      <protection hidden="1"/>
    </xf>
    <xf numFmtId="0" fontId="47" fillId="2" borderId="0" xfId="0" applyFont="1" applyFill="1" applyBorder="1" applyAlignment="1" applyProtection="1">
      <alignment horizontal="left" vertical="center"/>
      <protection hidden="1"/>
    </xf>
    <xf numFmtId="0" fontId="43" fillId="2" borderId="0" xfId="0" applyFont="1" applyFill="1" applyBorder="1" applyAlignment="1" applyProtection="1">
      <alignment vertical="center"/>
      <protection hidden="1"/>
    </xf>
    <xf numFmtId="0" fontId="83" fillId="16" borderId="0" xfId="0" applyFont="1" applyFill="1" applyBorder="1" applyProtection="1">
      <protection hidden="1"/>
    </xf>
    <xf numFmtId="0" fontId="83" fillId="16" borderId="57" xfId="0" applyFont="1" applyFill="1" applyBorder="1" applyProtection="1">
      <protection hidden="1"/>
    </xf>
    <xf numFmtId="0" fontId="197" fillId="17" borderId="75" xfId="0" applyFont="1" applyFill="1" applyBorder="1" applyAlignment="1" applyProtection="1">
      <alignment horizontal="center"/>
      <protection hidden="1"/>
    </xf>
    <xf numFmtId="4" fontId="198" fillId="17" borderId="92" xfId="0" applyNumberFormat="1" applyFont="1" applyFill="1" applyBorder="1" applyProtection="1">
      <protection hidden="1"/>
    </xf>
    <xf numFmtId="0" fontId="6" fillId="2" borderId="0" xfId="0" applyFont="1" applyFill="1" applyProtection="1">
      <protection hidden="1"/>
    </xf>
    <xf numFmtId="0" fontId="197" fillId="11" borderId="0" xfId="0" applyFont="1" applyFill="1" applyBorder="1" applyAlignment="1" applyProtection="1">
      <alignment horizontal="center"/>
      <protection hidden="1"/>
    </xf>
    <xf numFmtId="0" fontId="46" fillId="2" borderId="0" xfId="0" applyFont="1" applyFill="1" applyAlignment="1" applyProtection="1">
      <protection hidden="1"/>
    </xf>
    <xf numFmtId="0" fontId="201" fillId="11" borderId="0" xfId="0" applyFont="1" applyFill="1" applyProtection="1">
      <protection hidden="1"/>
    </xf>
    <xf numFmtId="0" fontId="202" fillId="11" borderId="0" xfId="0" applyFont="1" applyFill="1" applyProtection="1">
      <protection hidden="1"/>
    </xf>
    <xf numFmtId="0" fontId="203" fillId="11" borderId="0" xfId="0" applyFont="1" applyFill="1" applyProtection="1">
      <protection hidden="1"/>
    </xf>
    <xf numFmtId="1" fontId="197" fillId="11" borderId="0" xfId="0" applyNumberFormat="1" applyFont="1" applyFill="1" applyProtection="1">
      <protection hidden="1"/>
    </xf>
    <xf numFmtId="3" fontId="197" fillId="11" borderId="0" xfId="0" applyNumberFormat="1" applyFont="1" applyFill="1" applyProtection="1">
      <protection hidden="1"/>
    </xf>
    <xf numFmtId="1" fontId="198" fillId="11" borderId="0" xfId="0" applyNumberFormat="1" applyFont="1" applyFill="1" applyProtection="1">
      <protection hidden="1"/>
    </xf>
    <xf numFmtId="0" fontId="185" fillId="2" borderId="0" xfId="0" applyFont="1" applyFill="1" applyAlignment="1" applyProtection="1">
      <alignment vertical="top"/>
      <protection hidden="1"/>
    </xf>
    <xf numFmtId="0" fontId="7" fillId="2" borderId="0" xfId="0" applyFont="1" applyFill="1" applyAlignment="1" applyProtection="1">
      <alignment horizontal="right"/>
      <protection hidden="1"/>
    </xf>
    <xf numFmtId="0" fontId="7" fillId="4" borderId="0" xfId="0" applyFont="1" applyFill="1" applyProtection="1">
      <protection hidden="1"/>
    </xf>
    <xf numFmtId="0" fontId="204" fillId="11" borderId="0" xfId="0" applyFont="1" applyFill="1" applyProtection="1">
      <protection hidden="1"/>
    </xf>
    <xf numFmtId="0" fontId="205" fillId="11" borderId="0" xfId="0" applyFont="1" applyFill="1" applyAlignment="1" applyProtection="1">
      <alignment horizontal="left"/>
      <protection hidden="1"/>
    </xf>
    <xf numFmtId="164" fontId="198" fillId="11" borderId="0" xfId="1" applyFont="1" applyFill="1" applyProtection="1">
      <protection hidden="1"/>
    </xf>
    <xf numFmtId="0" fontId="206" fillId="11" borderId="0" xfId="0" applyFont="1" applyFill="1" applyBorder="1" applyAlignment="1" applyProtection="1">
      <alignment horizontal="center"/>
      <protection hidden="1"/>
    </xf>
    <xf numFmtId="0" fontId="166" fillId="2" borderId="0" xfId="0" applyFont="1" applyFill="1" applyAlignment="1" applyProtection="1">
      <alignment vertical="center"/>
      <protection hidden="1"/>
    </xf>
    <xf numFmtId="0" fontId="7" fillId="2" borderId="0" xfId="0" applyFont="1" applyFill="1" applyProtection="1">
      <protection hidden="1"/>
    </xf>
    <xf numFmtId="0" fontId="16" fillId="2" borderId="0" xfId="0" applyFont="1" applyFill="1" applyAlignment="1" applyProtection="1">
      <alignment horizontal="center"/>
      <protection hidden="1"/>
    </xf>
    <xf numFmtId="0" fontId="2" fillId="9" borderId="0" xfId="0" applyFont="1" applyFill="1" applyAlignment="1" applyProtection="1">
      <alignment horizontal="center" vertical="center"/>
      <protection hidden="1"/>
    </xf>
    <xf numFmtId="0" fontId="0" fillId="2" borderId="0" xfId="0" applyFill="1" applyAlignment="1" applyProtection="1">
      <alignment horizontal="center" vertical="center"/>
      <protection hidden="1"/>
    </xf>
    <xf numFmtId="176" fontId="207" fillId="11" borderId="0" xfId="0" applyNumberFormat="1" applyFont="1" applyFill="1" applyBorder="1" applyAlignment="1" applyProtection="1">
      <alignment horizontal="left"/>
      <protection hidden="1"/>
    </xf>
    <xf numFmtId="176" fontId="197" fillId="11" borderId="0" xfId="0" applyNumberFormat="1" applyFont="1" applyFill="1" applyBorder="1" applyAlignment="1" applyProtection="1">
      <alignment horizontal="left"/>
      <protection hidden="1"/>
    </xf>
    <xf numFmtId="2" fontId="207" fillId="16" borderId="93" xfId="0" applyNumberFormat="1" applyFont="1" applyFill="1" applyBorder="1" applyAlignment="1" applyProtection="1">
      <alignment horizontal="right"/>
      <protection hidden="1"/>
    </xf>
    <xf numFmtId="2" fontId="208" fillId="16" borderId="62" xfId="0" applyNumberFormat="1" applyFont="1" applyFill="1" applyBorder="1" applyProtection="1">
      <protection hidden="1"/>
    </xf>
    <xf numFmtId="173" fontId="65" fillId="16" borderId="62" xfId="0" applyNumberFormat="1" applyFont="1" applyFill="1" applyBorder="1" applyProtection="1">
      <protection hidden="1"/>
    </xf>
    <xf numFmtId="0" fontId="83" fillId="17" borderId="0" xfId="0" applyFont="1" applyFill="1" applyProtection="1">
      <protection hidden="1"/>
    </xf>
    <xf numFmtId="0" fontId="0" fillId="2" borderId="0" xfId="0" applyFill="1" applyAlignment="1" applyProtection="1">
      <alignment horizontal="right"/>
      <protection hidden="1"/>
    </xf>
    <xf numFmtId="0" fontId="21" fillId="2" borderId="0" xfId="0" applyFont="1" applyFill="1" applyBorder="1" applyAlignment="1" applyProtection="1">
      <alignment horizontal="center"/>
      <protection hidden="1"/>
    </xf>
    <xf numFmtId="4" fontId="209" fillId="0" borderId="0" xfId="0" applyNumberFormat="1" applyFont="1" applyFill="1" applyBorder="1" applyProtection="1">
      <protection hidden="1"/>
    </xf>
    <xf numFmtId="164" fontId="47" fillId="13" borderId="62" xfId="1" applyFont="1" applyFill="1" applyBorder="1" applyAlignment="1" applyProtection="1">
      <alignment horizontal="center"/>
      <protection hidden="1"/>
    </xf>
    <xf numFmtId="0" fontId="0" fillId="2" borderId="60" xfId="0" applyFill="1" applyBorder="1" applyProtection="1">
      <protection hidden="1"/>
    </xf>
    <xf numFmtId="0" fontId="16" fillId="2" borderId="60" xfId="0" applyFont="1" applyFill="1" applyBorder="1" applyAlignment="1" applyProtection="1">
      <alignment horizontal="center"/>
      <protection hidden="1"/>
    </xf>
    <xf numFmtId="0" fontId="0" fillId="2" borderId="6" xfId="0" applyFill="1" applyBorder="1" applyAlignment="1" applyProtection="1">
      <alignment horizontal="right"/>
      <protection hidden="1"/>
    </xf>
    <xf numFmtId="0" fontId="7" fillId="2" borderId="60" xfId="0" applyFont="1" applyFill="1" applyBorder="1" applyProtection="1">
      <protection hidden="1"/>
    </xf>
    <xf numFmtId="0" fontId="210" fillId="2" borderId="0" xfId="0" applyFont="1" applyFill="1" applyProtection="1">
      <protection hidden="1"/>
    </xf>
    <xf numFmtId="0" fontId="187" fillId="2" borderId="0" xfId="0" applyFont="1" applyFill="1" applyAlignment="1" applyProtection="1">
      <alignment horizontal="left"/>
      <protection hidden="1"/>
    </xf>
    <xf numFmtId="0" fontId="187" fillId="2" borderId="0" xfId="0" applyFont="1" applyFill="1" applyAlignment="1" applyProtection="1">
      <alignment horizontal="right"/>
      <protection hidden="1"/>
    </xf>
    <xf numFmtId="0" fontId="11" fillId="2" borderId="60" xfId="0" applyFont="1" applyFill="1" applyBorder="1" applyAlignment="1" applyProtection="1">
      <alignment wrapText="1"/>
      <protection hidden="1"/>
    </xf>
    <xf numFmtId="0" fontId="188" fillId="18" borderId="0" xfId="0" applyFont="1" applyFill="1" applyAlignment="1">
      <alignment vertical="top" wrapText="1"/>
    </xf>
    <xf numFmtId="0" fontId="54" fillId="0" borderId="0" xfId="0" applyFont="1" applyAlignment="1" applyProtection="1">
      <alignment horizontal="right" vertical="center"/>
      <protection hidden="1"/>
    </xf>
    <xf numFmtId="0" fontId="7" fillId="0" borderId="47" xfId="4" applyBorder="1" applyProtection="1">
      <protection hidden="1"/>
    </xf>
    <xf numFmtId="0" fontId="11" fillId="0" borderId="48" xfId="4" applyFont="1" applyBorder="1" applyProtection="1">
      <protection hidden="1"/>
    </xf>
    <xf numFmtId="0" fontId="51" fillId="0" borderId="48" xfId="4" applyFont="1" applyBorder="1" applyProtection="1">
      <protection hidden="1"/>
    </xf>
    <xf numFmtId="173" fontId="11" fillId="0" borderId="48" xfId="4" applyNumberFormat="1" applyFont="1" applyBorder="1" applyAlignment="1" applyProtection="1">
      <alignment horizontal="right"/>
      <protection hidden="1"/>
    </xf>
    <xf numFmtId="0" fontId="11" fillId="0" borderId="48" xfId="4" applyFont="1" applyBorder="1" applyAlignment="1" applyProtection="1">
      <alignment horizontal="left"/>
      <protection hidden="1"/>
    </xf>
    <xf numFmtId="173" fontId="11" fillId="0" borderId="48" xfId="4" applyNumberFormat="1" applyFont="1" applyBorder="1" applyAlignment="1" applyProtection="1">
      <alignment horizontal="center"/>
      <protection hidden="1"/>
    </xf>
    <xf numFmtId="0" fontId="81" fillId="0" borderId="48" xfId="4" applyFont="1" applyBorder="1" applyAlignment="1" applyProtection="1">
      <alignment horizontal="right"/>
      <protection hidden="1"/>
    </xf>
    <xf numFmtId="0" fontId="189" fillId="0" borderId="49" xfId="4" applyFont="1" applyBorder="1" applyAlignment="1" applyProtection="1">
      <alignment horizontal="right"/>
      <protection hidden="1"/>
    </xf>
    <xf numFmtId="0" fontId="46" fillId="2" borderId="0" xfId="0" applyFont="1" applyFill="1" applyBorder="1" applyAlignment="1" applyProtection="1">
      <alignment horizontal="left"/>
      <protection hidden="1"/>
    </xf>
    <xf numFmtId="0" fontId="211" fillId="18" borderId="0" xfId="0" applyFont="1" applyFill="1" applyBorder="1" applyAlignment="1" applyProtection="1">
      <alignment horizontal="center"/>
      <protection hidden="1"/>
    </xf>
    <xf numFmtId="0" fontId="162" fillId="17" borderId="0" xfId="0" applyFont="1" applyFill="1" applyBorder="1" applyAlignment="1" applyProtection="1">
      <alignment horizontal="center"/>
      <protection hidden="1"/>
    </xf>
    <xf numFmtId="0" fontId="85" fillId="17" borderId="0" xfId="0" applyFont="1" applyFill="1" applyBorder="1" applyAlignment="1" applyProtection="1">
      <alignment horizontal="center"/>
      <protection hidden="1"/>
    </xf>
    <xf numFmtId="0" fontId="85" fillId="17" borderId="0" xfId="0" applyFont="1" applyFill="1" applyProtection="1">
      <protection hidden="1"/>
    </xf>
    <xf numFmtId="0" fontId="162" fillId="17" borderId="0" xfId="0" applyFont="1" applyFill="1" applyProtection="1">
      <protection hidden="1"/>
    </xf>
    <xf numFmtId="0" fontId="84" fillId="17" borderId="0" xfId="0" applyFont="1" applyFill="1" applyProtection="1">
      <protection hidden="1"/>
    </xf>
    <xf numFmtId="0" fontId="87" fillId="17" borderId="0" xfId="0" applyFont="1" applyFill="1" applyProtection="1">
      <protection hidden="1"/>
    </xf>
    <xf numFmtId="0" fontId="86" fillId="17" borderId="0" xfId="0" applyFont="1" applyFill="1" applyProtection="1">
      <protection hidden="1"/>
    </xf>
    <xf numFmtId="1" fontId="86" fillId="17" borderId="0" xfId="0" applyNumberFormat="1" applyFont="1" applyFill="1" applyProtection="1">
      <protection hidden="1"/>
    </xf>
    <xf numFmtId="0" fontId="87" fillId="17" borderId="0" xfId="0" applyFont="1" applyFill="1" applyAlignment="1" applyProtection="1">
      <alignment horizontal="center"/>
      <protection hidden="1"/>
    </xf>
    <xf numFmtId="0" fontId="177" fillId="17" borderId="0" xfId="0" applyFont="1" applyFill="1" applyAlignment="1" applyProtection="1">
      <alignment horizontal="right"/>
      <protection hidden="1"/>
    </xf>
    <xf numFmtId="0" fontId="178" fillId="17" borderId="0" xfId="0" applyFont="1" applyFill="1" applyAlignment="1" applyProtection="1">
      <alignment horizontal="center" wrapText="1"/>
      <protection hidden="1"/>
    </xf>
    <xf numFmtId="0" fontId="179" fillId="17" borderId="0" xfId="0" applyFont="1" applyFill="1" applyAlignment="1" applyProtection="1">
      <alignment horizontal="center" wrapText="1"/>
      <protection hidden="1"/>
    </xf>
    <xf numFmtId="0" fontId="83" fillId="17" borderId="0" xfId="0" applyFont="1" applyFill="1" applyAlignment="1" applyProtection="1">
      <alignment horizontal="center"/>
      <protection hidden="1"/>
    </xf>
    <xf numFmtId="43" fontId="83" fillId="17" borderId="0" xfId="0" applyNumberFormat="1" applyFont="1" applyFill="1" applyAlignment="1" applyProtection="1">
      <alignment horizontal="right"/>
      <protection hidden="1"/>
    </xf>
    <xf numFmtId="0" fontId="84" fillId="17" borderId="0" xfId="0" applyFont="1" applyFill="1" applyAlignment="1" applyProtection="1">
      <alignment horizontal="right"/>
      <protection hidden="1"/>
    </xf>
    <xf numFmtId="38" fontId="61" fillId="9" borderId="62" xfId="0" applyNumberFormat="1" applyFont="1" applyFill="1" applyBorder="1" applyAlignment="1" applyProtection="1">
      <alignment horizontal="right"/>
      <protection hidden="1"/>
    </xf>
    <xf numFmtId="0" fontId="3" fillId="9" borderId="75" xfId="0" applyFont="1" applyFill="1" applyBorder="1" applyAlignment="1" applyProtection="1">
      <alignment horizontal="center"/>
      <protection hidden="1"/>
    </xf>
    <xf numFmtId="4" fontId="61" fillId="9" borderId="62" xfId="0" applyNumberFormat="1" applyFont="1" applyFill="1" applyBorder="1" applyProtection="1">
      <protection hidden="1"/>
    </xf>
    <xf numFmtId="0" fontId="198" fillId="17" borderId="0" xfId="0" applyFont="1" applyFill="1" applyProtection="1">
      <protection hidden="1"/>
    </xf>
    <xf numFmtId="168" fontId="61" fillId="9" borderId="62" xfId="1" applyNumberFormat="1" applyFont="1" applyFill="1" applyBorder="1" applyProtection="1">
      <protection hidden="1"/>
    </xf>
    <xf numFmtId="164" fontId="47" fillId="9" borderId="62" xfId="1" applyNumberFormat="1" applyFont="1" applyFill="1" applyBorder="1" applyAlignment="1" applyProtection="1">
      <alignment horizontal="right" vertical="center"/>
      <protection hidden="1"/>
    </xf>
    <xf numFmtId="0" fontId="83" fillId="0" borderId="0" xfId="0" applyFont="1" applyFill="1" applyProtection="1">
      <protection hidden="1"/>
    </xf>
    <xf numFmtId="0" fontId="17" fillId="0" borderId="0" xfId="0" applyFont="1" applyFill="1" applyBorder="1" applyAlignment="1" applyProtection="1">
      <alignment wrapText="1"/>
      <protection hidden="1"/>
    </xf>
    <xf numFmtId="0" fontId="7" fillId="0" borderId="0" xfId="0" applyFont="1" applyFill="1" applyBorder="1" applyProtection="1">
      <protection hidden="1"/>
    </xf>
    <xf numFmtId="0" fontId="83" fillId="17" borderId="0" xfId="0" applyFont="1" applyFill="1" applyAlignment="1" applyProtection="1">
      <alignment horizontal="left"/>
      <protection hidden="1"/>
    </xf>
    <xf numFmtId="0" fontId="46" fillId="0" borderId="0" xfId="0" applyFont="1" applyFill="1" applyBorder="1" applyProtection="1">
      <protection hidden="1"/>
    </xf>
    <xf numFmtId="0" fontId="212" fillId="0" borderId="62" xfId="0" applyFont="1" applyFill="1" applyBorder="1" applyProtection="1">
      <protection hidden="1"/>
    </xf>
    <xf numFmtId="0" fontId="212" fillId="16" borderId="93" xfId="0" applyFont="1" applyFill="1" applyBorder="1" applyProtection="1">
      <protection hidden="1"/>
    </xf>
    <xf numFmtId="0" fontId="47" fillId="9" borderId="45" xfId="1" applyNumberFormat="1" applyFont="1" applyFill="1" applyBorder="1" applyAlignment="1" applyProtection="1">
      <alignment horizontal="center"/>
      <protection hidden="1"/>
    </xf>
    <xf numFmtId="0" fontId="11" fillId="2" borderId="0" xfId="0" applyFont="1" applyFill="1" applyAlignment="1" applyProtection="1">
      <alignment horizontal="center"/>
      <protection hidden="1"/>
    </xf>
    <xf numFmtId="0" fontId="183" fillId="14" borderId="0" xfId="0" applyFont="1" applyFill="1" applyBorder="1" applyAlignment="1" applyProtection="1">
      <alignment horizontal="center"/>
      <protection hidden="1"/>
    </xf>
    <xf numFmtId="2" fontId="213" fillId="0" borderId="45" xfId="0" applyNumberFormat="1" applyFont="1" applyFill="1" applyBorder="1" applyAlignment="1" applyProtection="1">
      <alignment horizontal="center"/>
      <protection hidden="1"/>
    </xf>
    <xf numFmtId="4" fontId="214" fillId="0" borderId="0" xfId="0" applyNumberFormat="1" applyFont="1" applyFill="1" applyBorder="1" applyProtection="1">
      <protection hidden="1"/>
    </xf>
    <xf numFmtId="164" fontId="215" fillId="0" borderId="0" xfId="1" applyFont="1" applyFill="1" applyBorder="1" applyAlignment="1" applyProtection="1">
      <protection hidden="1"/>
    </xf>
    <xf numFmtId="0" fontId="85" fillId="17" borderId="0" xfId="0" applyFont="1" applyFill="1" applyAlignment="1" applyProtection="1">
      <alignment horizontal="center"/>
      <protection hidden="1"/>
    </xf>
    <xf numFmtId="0" fontId="83" fillId="17" borderId="0" xfId="0" applyFont="1" applyFill="1" applyAlignment="1" applyProtection="1">
      <protection hidden="1"/>
    </xf>
    <xf numFmtId="165" fontId="83" fillId="17" borderId="0" xfId="1" applyNumberFormat="1" applyFont="1" applyFill="1" applyProtection="1">
      <protection hidden="1"/>
    </xf>
    <xf numFmtId="9" fontId="85" fillId="17" borderId="0" xfId="0" applyNumberFormat="1" applyFont="1" applyFill="1" applyProtection="1">
      <protection hidden="1"/>
    </xf>
    <xf numFmtId="164" fontId="86" fillId="17" borderId="0" xfId="1" applyFont="1" applyFill="1" applyAlignment="1" applyProtection="1">
      <alignment horizontal="center"/>
      <protection hidden="1"/>
    </xf>
    <xf numFmtId="4" fontId="86" fillId="17" borderId="0" xfId="0" applyNumberFormat="1" applyFont="1" applyFill="1" applyProtection="1">
      <protection hidden="1"/>
    </xf>
    <xf numFmtId="0" fontId="197" fillId="17" borderId="0" xfId="0" applyFont="1" applyFill="1" applyProtection="1">
      <protection hidden="1"/>
    </xf>
    <xf numFmtId="0" fontId="197" fillId="17" borderId="0" xfId="0" applyFont="1" applyFill="1" applyBorder="1" applyAlignment="1" applyProtection="1">
      <alignment horizontal="center"/>
      <protection hidden="1"/>
    </xf>
    <xf numFmtId="0" fontId="138" fillId="17" borderId="0" xfId="0" applyFont="1" applyFill="1" applyProtection="1">
      <protection hidden="1"/>
    </xf>
    <xf numFmtId="0" fontId="80" fillId="17" borderId="0" xfId="0" applyFont="1" applyFill="1" applyBorder="1" applyAlignment="1" applyProtection="1">
      <alignment horizontal="center"/>
      <protection hidden="1"/>
    </xf>
    <xf numFmtId="0" fontId="18" fillId="17" borderId="0" xfId="0" applyFont="1" applyFill="1" applyProtection="1">
      <protection hidden="1"/>
    </xf>
    <xf numFmtId="0" fontId="122" fillId="2" borderId="0" xfId="0" applyFont="1" applyFill="1" applyBorder="1" applyAlignment="1" applyProtection="1">
      <alignment wrapText="1"/>
      <protection hidden="1"/>
    </xf>
    <xf numFmtId="0" fontId="122" fillId="0" borderId="0" xfId="0" applyFont="1" applyFill="1" applyBorder="1" applyAlignment="1" applyProtection="1">
      <alignment wrapText="1"/>
      <protection hidden="1"/>
    </xf>
    <xf numFmtId="0" fontId="10" fillId="0" borderId="0" xfId="0" applyFont="1" applyFill="1" applyBorder="1" applyProtection="1">
      <protection hidden="1"/>
    </xf>
    <xf numFmtId="0" fontId="75" fillId="0" borderId="0" xfId="0" applyFont="1" applyFill="1" applyBorder="1" applyAlignment="1" applyProtection="1">
      <protection hidden="1"/>
    </xf>
    <xf numFmtId="0" fontId="24" fillId="17" borderId="0" xfId="0" applyFont="1" applyFill="1" applyProtection="1">
      <protection hidden="1"/>
    </xf>
    <xf numFmtId="173" fontId="112" fillId="17" borderId="0" xfId="0" applyNumberFormat="1" applyFont="1" applyFill="1" applyBorder="1" applyAlignment="1" applyProtection="1">
      <alignment horizontal="right"/>
      <protection hidden="1"/>
    </xf>
    <xf numFmtId="0" fontId="112" fillId="17" borderId="0" xfId="0" applyFont="1" applyFill="1" applyBorder="1" applyAlignment="1" applyProtection="1">
      <alignment horizontal="left"/>
      <protection hidden="1"/>
    </xf>
    <xf numFmtId="173" fontId="112" fillId="17" borderId="0" xfId="0" applyNumberFormat="1" applyFont="1" applyFill="1" applyBorder="1" applyAlignment="1" applyProtection="1">
      <alignment horizontal="center"/>
      <protection hidden="1"/>
    </xf>
    <xf numFmtId="4" fontId="112" fillId="17" borderId="0" xfId="0" applyNumberFormat="1" applyFont="1" applyFill="1" applyBorder="1" applyAlignment="1" applyProtection="1">
      <alignment horizontal="left"/>
      <protection hidden="1"/>
    </xf>
    <xf numFmtId="173" fontId="97" fillId="17" borderId="0" xfId="0" applyNumberFormat="1" applyFont="1" applyFill="1" applyBorder="1" applyAlignment="1" applyProtection="1">
      <alignment horizontal="right"/>
      <protection hidden="1"/>
    </xf>
    <xf numFmtId="0" fontId="97" fillId="17" borderId="0" xfId="0" applyFont="1" applyFill="1" applyBorder="1" applyAlignment="1" applyProtection="1">
      <alignment horizontal="left"/>
      <protection hidden="1"/>
    </xf>
    <xf numFmtId="173" fontId="97" fillId="17" borderId="0" xfId="0" applyNumberFormat="1" applyFont="1" applyFill="1" applyBorder="1" applyAlignment="1" applyProtection="1">
      <alignment horizontal="center"/>
      <protection hidden="1"/>
    </xf>
    <xf numFmtId="4" fontId="97" fillId="17" borderId="0" xfId="0" applyNumberFormat="1" applyFont="1" applyFill="1" applyBorder="1" applyAlignment="1" applyProtection="1">
      <alignment horizontal="left"/>
      <protection hidden="1"/>
    </xf>
    <xf numFmtId="0" fontId="46" fillId="17" borderId="0" xfId="0" applyFont="1" applyFill="1" applyBorder="1" applyProtection="1">
      <protection hidden="1"/>
    </xf>
    <xf numFmtId="4" fontId="46" fillId="17" borderId="0" xfId="0" applyNumberFormat="1" applyFont="1" applyFill="1" applyBorder="1" applyProtection="1">
      <protection hidden="1"/>
    </xf>
    <xf numFmtId="0" fontId="61" fillId="9" borderId="94" xfId="0" applyFont="1" applyFill="1" applyBorder="1" applyAlignment="1" applyProtection="1">
      <alignment horizontal="center"/>
      <protection hidden="1"/>
    </xf>
    <xf numFmtId="0" fontId="46" fillId="2" borderId="5" xfId="0" applyFont="1" applyFill="1" applyBorder="1" applyAlignment="1" applyProtection="1">
      <alignment shrinkToFit="1"/>
      <protection hidden="1"/>
    </xf>
    <xf numFmtId="0" fontId="216" fillId="11" borderId="0" xfId="0" applyFont="1" applyFill="1" applyAlignment="1" applyProtection="1">
      <alignment horizontal="center" vertical="center"/>
      <protection hidden="1"/>
    </xf>
    <xf numFmtId="0" fontId="217" fillId="0" borderId="0" xfId="0" applyFont="1" applyFill="1" applyBorder="1" applyProtection="1">
      <protection hidden="1"/>
    </xf>
    <xf numFmtId="0" fontId="217" fillId="0" borderId="0" xfId="0" applyFont="1" applyFill="1" applyBorder="1" applyAlignment="1" applyProtection="1">
      <alignment horizontal="left"/>
      <protection hidden="1"/>
    </xf>
    <xf numFmtId="164" fontId="46" fillId="2" borderId="7" xfId="1" applyFont="1" applyFill="1" applyBorder="1" applyProtection="1">
      <protection hidden="1"/>
    </xf>
    <xf numFmtId="0" fontId="69" fillId="2" borderId="0" xfId="0" applyFont="1" applyFill="1" applyBorder="1" applyAlignment="1" applyProtection="1">
      <alignment vertical="center" wrapText="1"/>
      <protection hidden="1"/>
    </xf>
    <xf numFmtId="0" fontId="70" fillId="16" borderId="60" xfId="0" applyFont="1" applyFill="1" applyBorder="1" applyAlignment="1" applyProtection="1">
      <alignment horizontal="center" vertical="center" wrapText="1"/>
      <protection hidden="1"/>
    </xf>
    <xf numFmtId="0" fontId="70" fillId="16" borderId="0" xfId="0" applyFont="1" applyFill="1" applyAlignment="1">
      <alignment horizontal="center" vertical="center"/>
    </xf>
    <xf numFmtId="164" fontId="218" fillId="2" borderId="0" xfId="1" applyFont="1" applyFill="1" applyBorder="1" applyAlignment="1" applyProtection="1">
      <alignment horizontal="left"/>
      <protection hidden="1"/>
    </xf>
    <xf numFmtId="0" fontId="218" fillId="11" borderId="0" xfId="0" applyFont="1" applyFill="1" applyAlignment="1" applyProtection="1">
      <alignment horizontal="center" vertical="center"/>
      <protection hidden="1"/>
    </xf>
    <xf numFmtId="0" fontId="219" fillId="11" borderId="0" xfId="0" applyFont="1" applyFill="1" applyAlignment="1" applyProtection="1">
      <alignment horizontal="center" vertical="center"/>
      <protection hidden="1"/>
    </xf>
    <xf numFmtId="2" fontId="25" fillId="2" borderId="95" xfId="0" applyNumberFormat="1" applyFont="1" applyFill="1" applyBorder="1" applyProtection="1">
      <protection hidden="1"/>
    </xf>
    <xf numFmtId="0" fontId="153" fillId="2" borderId="167" xfId="0" applyFont="1" applyFill="1" applyBorder="1" applyAlignment="1" applyProtection="1">
      <alignment horizontal="center" vertical="center"/>
      <protection hidden="1"/>
    </xf>
    <xf numFmtId="0" fontId="152" fillId="3" borderId="45" xfId="0" applyFont="1" applyFill="1" applyBorder="1" applyAlignment="1" applyProtection="1">
      <alignment horizontal="center"/>
      <protection hidden="1"/>
    </xf>
    <xf numFmtId="0" fontId="129" fillId="3" borderId="45" xfId="0" applyFont="1" applyFill="1" applyBorder="1" applyAlignment="1" applyProtection="1">
      <alignment horizontal="center"/>
      <protection hidden="1"/>
    </xf>
    <xf numFmtId="0" fontId="129" fillId="2" borderId="0" xfId="0" applyFont="1" applyFill="1" applyBorder="1" applyAlignment="1" applyProtection="1">
      <alignment horizontal="center"/>
      <protection hidden="1"/>
    </xf>
    <xf numFmtId="0" fontId="129" fillId="3" borderId="96" xfId="0" applyFont="1" applyFill="1" applyBorder="1" applyAlignment="1" applyProtection="1">
      <alignment horizontal="center"/>
      <protection hidden="1"/>
    </xf>
    <xf numFmtId="0" fontId="45" fillId="3" borderId="97" xfId="0" applyFont="1" applyFill="1" applyBorder="1" applyAlignment="1" applyProtection="1">
      <alignment horizontal="center" vertical="center" wrapText="1"/>
      <protection hidden="1"/>
    </xf>
    <xf numFmtId="10" fontId="153" fillId="2" borderId="0" xfId="0" applyNumberFormat="1" applyFont="1" applyFill="1" applyBorder="1" applyAlignment="1" applyProtection="1">
      <alignment horizontal="right"/>
      <protection hidden="1"/>
    </xf>
    <xf numFmtId="0" fontId="219" fillId="16" borderId="78" xfId="0" applyFont="1" applyFill="1" applyBorder="1" applyAlignment="1" applyProtection="1">
      <alignment horizontal="center" vertical="center"/>
      <protection hidden="1"/>
    </xf>
    <xf numFmtId="0" fontId="45" fillId="16" borderId="98" xfId="0" applyFont="1" applyFill="1" applyBorder="1" applyAlignment="1" applyProtection="1">
      <alignment horizontal="center"/>
      <protection hidden="1"/>
    </xf>
    <xf numFmtId="164" fontId="114" fillId="2" borderId="76" xfId="1" applyFont="1" applyFill="1" applyBorder="1" applyAlignment="1" applyProtection="1">
      <alignment horizontal="center"/>
      <protection hidden="1"/>
    </xf>
    <xf numFmtId="0" fontId="4" fillId="9" borderId="75" xfId="0" applyFont="1" applyFill="1" applyBorder="1" applyAlignment="1" applyProtection="1">
      <alignment horizontal="center" shrinkToFit="1"/>
      <protection hidden="1"/>
    </xf>
    <xf numFmtId="3" fontId="151" fillId="2" borderId="0" xfId="0" applyNumberFormat="1" applyFont="1" applyFill="1" applyBorder="1" applyProtection="1">
      <protection hidden="1"/>
    </xf>
    <xf numFmtId="0" fontId="85" fillId="11" borderId="61" xfId="0" applyFont="1" applyFill="1" applyBorder="1" applyAlignment="1" applyProtection="1">
      <alignment horizontal="center"/>
      <protection hidden="1"/>
    </xf>
    <xf numFmtId="0" fontId="139" fillId="17" borderId="0" xfId="0" applyFont="1" applyFill="1" applyProtection="1">
      <protection hidden="1"/>
    </xf>
    <xf numFmtId="0" fontId="71" fillId="2" borderId="0" xfId="0" applyFont="1" applyFill="1" applyAlignment="1" applyProtection="1">
      <alignment vertical="top" wrapText="1"/>
      <protection hidden="1"/>
    </xf>
    <xf numFmtId="0" fontId="71" fillId="0" borderId="0" xfId="0" applyFont="1" applyFill="1" applyAlignment="1" applyProtection="1">
      <alignment vertical="top" wrapText="1"/>
      <protection hidden="1"/>
    </xf>
    <xf numFmtId="38" fontId="128" fillId="2" borderId="0" xfId="0" applyNumberFormat="1" applyFont="1" applyFill="1" applyBorder="1" applyAlignment="1" applyProtection="1">
      <alignment horizontal="center" vertical="center"/>
      <protection hidden="1"/>
    </xf>
    <xf numFmtId="0" fontId="4" fillId="9" borderId="99" xfId="0" applyFont="1" applyFill="1" applyBorder="1" applyAlignment="1" applyProtection="1">
      <alignment horizontal="center"/>
      <protection hidden="1"/>
    </xf>
    <xf numFmtId="164" fontId="56" fillId="2" borderId="0" xfId="1" applyFont="1" applyFill="1" applyBorder="1" applyAlignment="1" applyProtection="1">
      <alignment vertical="top"/>
      <protection hidden="1"/>
    </xf>
    <xf numFmtId="2" fontId="152" fillId="16" borderId="62" xfId="0" applyNumberFormat="1" applyFont="1" applyFill="1" applyBorder="1" applyAlignment="1" applyProtection="1">
      <alignment horizontal="right"/>
      <protection hidden="1"/>
    </xf>
    <xf numFmtId="164" fontId="150" fillId="11" borderId="0" xfId="0" applyNumberFormat="1" applyFont="1" applyFill="1" applyBorder="1" applyProtection="1">
      <protection hidden="1"/>
    </xf>
    <xf numFmtId="0" fontId="71" fillId="17" borderId="0" xfId="0" applyFont="1" applyFill="1" applyAlignment="1" applyProtection="1">
      <alignment vertical="top" wrapText="1"/>
      <protection hidden="1"/>
    </xf>
    <xf numFmtId="0" fontId="3" fillId="16" borderId="75" xfId="0" applyFont="1" applyFill="1" applyBorder="1" applyAlignment="1" applyProtection="1">
      <alignment horizontal="center"/>
      <protection hidden="1"/>
    </xf>
    <xf numFmtId="164" fontId="102" fillId="11" borderId="4" xfId="0" applyNumberFormat="1" applyFont="1" applyFill="1" applyBorder="1" applyProtection="1">
      <protection hidden="1"/>
    </xf>
    <xf numFmtId="167" fontId="112" fillId="11" borderId="0" xfId="0" applyNumberFormat="1" applyFont="1" applyFill="1" applyBorder="1" applyProtection="1">
      <protection hidden="1"/>
    </xf>
    <xf numFmtId="167" fontId="112" fillId="17" borderId="0" xfId="0" applyNumberFormat="1" applyFont="1" applyFill="1" applyBorder="1" applyProtection="1">
      <protection hidden="1"/>
    </xf>
    <xf numFmtId="164" fontId="102" fillId="17" borderId="0" xfId="0" applyNumberFormat="1" applyFont="1" applyFill="1" applyBorder="1" applyProtection="1">
      <protection hidden="1"/>
    </xf>
    <xf numFmtId="0" fontId="41" fillId="9" borderId="100" xfId="0" applyFont="1" applyFill="1" applyBorder="1" applyAlignment="1" applyProtection="1">
      <alignment horizontal="center" shrinkToFit="1"/>
      <protection hidden="1"/>
    </xf>
    <xf numFmtId="0" fontId="41" fillId="9" borderId="3" xfId="0" applyFont="1" applyFill="1" applyBorder="1" applyAlignment="1" applyProtection="1">
      <alignment horizontal="center" shrinkToFit="1"/>
      <protection hidden="1"/>
    </xf>
    <xf numFmtId="0" fontId="220" fillId="0" borderId="0" xfId="1" applyNumberFormat="1" applyFont="1" applyFill="1" applyBorder="1" applyAlignment="1" applyProtection="1">
      <alignment horizontal="center"/>
      <protection hidden="1"/>
    </xf>
    <xf numFmtId="4" fontId="212" fillId="0" borderId="0" xfId="0" applyNumberFormat="1" applyFont="1" applyFill="1" applyBorder="1" applyProtection="1">
      <protection hidden="1"/>
    </xf>
    <xf numFmtId="0" fontId="61" fillId="9" borderId="45" xfId="0" applyFont="1" applyFill="1" applyBorder="1" applyProtection="1">
      <protection hidden="1"/>
    </xf>
    <xf numFmtId="164" fontId="221" fillId="11" borderId="0" xfId="0" applyNumberFormat="1" applyFont="1" applyFill="1" applyBorder="1" applyProtection="1">
      <protection hidden="1"/>
    </xf>
    <xf numFmtId="0" fontId="77" fillId="11" borderId="0" xfId="3" applyFont="1" applyFill="1" applyBorder="1" applyAlignment="1" applyProtection="1">
      <alignment horizontal="center"/>
      <protection hidden="1"/>
    </xf>
    <xf numFmtId="0" fontId="71" fillId="18" borderId="0" xfId="0" applyFont="1" applyFill="1" applyAlignment="1" applyProtection="1">
      <alignment vertical="top" wrapText="1"/>
      <protection hidden="1"/>
    </xf>
    <xf numFmtId="0" fontId="0" fillId="0" borderId="0" xfId="0" applyProtection="1">
      <protection hidden="1"/>
    </xf>
    <xf numFmtId="0" fontId="22" fillId="0" borderId="0" xfId="0" applyFont="1" applyProtection="1">
      <protection hidden="1"/>
    </xf>
    <xf numFmtId="0" fontId="83" fillId="0" borderId="0" xfId="0" applyFont="1" applyProtection="1">
      <protection hidden="1"/>
    </xf>
    <xf numFmtId="0" fontId="46" fillId="0" borderId="0" xfId="0" applyFont="1" applyProtection="1">
      <protection hidden="1"/>
    </xf>
    <xf numFmtId="4" fontId="71" fillId="19" borderId="62" xfId="0" applyNumberFormat="1" applyFont="1" applyFill="1" applyBorder="1" applyProtection="1">
      <protection locked="0" hidden="1"/>
    </xf>
    <xf numFmtId="4" fontId="61" fillId="16" borderId="62" xfId="0" applyNumberFormat="1" applyFont="1" applyFill="1" applyBorder="1" applyProtection="1">
      <protection hidden="1"/>
    </xf>
    <xf numFmtId="4" fontId="46" fillId="19" borderId="45" xfId="0" applyNumberFormat="1" applyFont="1" applyFill="1" applyBorder="1" applyProtection="1">
      <protection locked="0" hidden="1"/>
    </xf>
    <xf numFmtId="0" fontId="45" fillId="16" borderId="62" xfId="1" applyNumberFormat="1" applyFont="1" applyFill="1" applyBorder="1" applyAlignment="1" applyProtection="1">
      <alignment horizontal="left"/>
      <protection hidden="1"/>
    </xf>
    <xf numFmtId="0" fontId="129" fillId="13" borderId="101" xfId="0" applyFont="1" applyFill="1" applyBorder="1" applyAlignment="1" applyProtection="1">
      <alignment horizontal="center" vertical="center"/>
      <protection hidden="1"/>
    </xf>
    <xf numFmtId="0" fontId="129" fillId="15" borderId="45" xfId="0" applyFont="1" applyFill="1" applyBorder="1" applyAlignment="1" applyProtection="1">
      <alignment vertical="center"/>
      <protection hidden="1"/>
    </xf>
    <xf numFmtId="0" fontId="190" fillId="2" borderId="102" xfId="0" applyFont="1" applyFill="1" applyBorder="1" applyAlignment="1" applyProtection="1">
      <alignment horizontal="left" vertical="center"/>
      <protection hidden="1"/>
    </xf>
    <xf numFmtId="0" fontId="222" fillId="2" borderId="0" xfId="0" applyFont="1" applyFill="1" applyBorder="1" applyAlignment="1" applyProtection="1">
      <alignment horizontal="left"/>
      <protection hidden="1"/>
    </xf>
    <xf numFmtId="0" fontId="223" fillId="2" borderId="6" xfId="0" applyFont="1" applyFill="1" applyBorder="1" applyAlignment="1" applyProtection="1">
      <alignment horizontal="right" vertical="center"/>
      <protection hidden="1"/>
    </xf>
    <xf numFmtId="0" fontId="224" fillId="17" borderId="103" xfId="0" applyFont="1" applyFill="1" applyBorder="1" applyAlignment="1" applyProtection="1">
      <alignment horizontal="center" vertical="center" shrinkToFit="1"/>
      <protection hidden="1"/>
    </xf>
    <xf numFmtId="0" fontId="225" fillId="2" borderId="0" xfId="0" applyFont="1" applyFill="1" applyBorder="1" applyAlignment="1" applyProtection="1">
      <alignment wrapText="1"/>
      <protection hidden="1"/>
    </xf>
    <xf numFmtId="0" fontId="226" fillId="20" borderId="7" xfId="0" applyFont="1" applyFill="1" applyBorder="1" applyAlignment="1" applyProtection="1">
      <alignment horizontal="left" vertical="center"/>
      <protection locked="0" hidden="1"/>
    </xf>
    <xf numFmtId="0" fontId="69" fillId="2" borderId="0" xfId="0" applyFont="1" applyFill="1" applyBorder="1" applyAlignment="1" applyProtection="1">
      <alignment vertical="top"/>
      <protection hidden="1"/>
    </xf>
    <xf numFmtId="0" fontId="192" fillId="2" borderId="0" xfId="0" applyFont="1" applyFill="1" applyBorder="1" applyProtection="1">
      <protection hidden="1"/>
    </xf>
    <xf numFmtId="0" fontId="83" fillId="16" borderId="0" xfId="0" applyFont="1" applyFill="1" applyProtection="1">
      <protection hidden="1"/>
    </xf>
    <xf numFmtId="0" fontId="201" fillId="2" borderId="0" xfId="0" applyFont="1" applyFill="1" applyAlignment="1" applyProtection="1">
      <alignment vertical="top"/>
      <protection hidden="1"/>
    </xf>
    <xf numFmtId="0" fontId="227" fillId="2" borderId="0" xfId="0" applyFont="1" applyFill="1" applyAlignment="1" applyProtection="1">
      <alignment vertical="center"/>
      <protection hidden="1"/>
    </xf>
    <xf numFmtId="0" fontId="204" fillId="17" borderId="0" xfId="0" applyFont="1" applyFill="1" applyAlignment="1" applyProtection="1">
      <alignment horizontal="left"/>
      <protection hidden="1"/>
    </xf>
    <xf numFmtId="0" fontId="204" fillId="17" borderId="0" xfId="0" applyFont="1" applyFill="1" applyProtection="1">
      <protection hidden="1"/>
    </xf>
    <xf numFmtId="0" fontId="228" fillId="17" borderId="0" xfId="0" applyFont="1" applyFill="1" applyBorder="1" applyProtection="1">
      <protection hidden="1"/>
    </xf>
    <xf numFmtId="39" fontId="228" fillId="17" borderId="0" xfId="0" applyNumberFormat="1" applyFont="1" applyFill="1" applyBorder="1" applyAlignment="1" applyProtection="1">
      <alignment horizontal="right"/>
      <protection hidden="1"/>
    </xf>
    <xf numFmtId="0" fontId="229" fillId="17" borderId="0" xfId="0" applyFont="1" applyFill="1"/>
    <xf numFmtId="0" fontId="230" fillId="17" borderId="0" xfId="0" applyFont="1" applyFill="1" applyAlignment="1" applyProtection="1">
      <alignment horizontal="left"/>
      <protection hidden="1"/>
    </xf>
    <xf numFmtId="0" fontId="70" fillId="16" borderId="0" xfId="0" applyFont="1" applyFill="1" applyBorder="1" applyAlignment="1" applyProtection="1">
      <alignment horizontal="center" vertical="center" wrapText="1"/>
      <protection hidden="1"/>
    </xf>
    <xf numFmtId="0" fontId="231" fillId="17" borderId="104" xfId="0" applyFont="1" applyFill="1" applyBorder="1" applyAlignment="1" applyProtection="1">
      <alignment horizontal="center" vertical="center"/>
      <protection hidden="1"/>
    </xf>
    <xf numFmtId="4" fontId="212" fillId="16" borderId="62" xfId="0" applyNumberFormat="1" applyFont="1" applyFill="1" applyBorder="1" applyProtection="1">
      <protection hidden="1"/>
    </xf>
    <xf numFmtId="4" fontId="48" fillId="2" borderId="105" xfId="0" applyNumberFormat="1" applyFont="1" applyFill="1" applyBorder="1" applyAlignment="1" applyProtection="1">
      <protection hidden="1"/>
    </xf>
    <xf numFmtId="0" fontId="46" fillId="16" borderId="0" xfId="0" applyFont="1" applyFill="1" applyBorder="1" applyAlignment="1" applyProtection="1">
      <alignment vertical="center" shrinkToFit="1"/>
      <protection hidden="1"/>
    </xf>
    <xf numFmtId="0" fontId="46" fillId="2" borderId="5" xfId="0" applyFont="1" applyFill="1" applyBorder="1" applyAlignment="1" applyProtection="1">
      <alignment vertical="center" shrinkToFit="1"/>
      <protection hidden="1"/>
    </xf>
    <xf numFmtId="0" fontId="48" fillId="16" borderId="0" xfId="0" applyFont="1" applyFill="1" applyBorder="1" applyAlignment="1" applyProtection="1">
      <alignment vertical="center"/>
      <protection hidden="1"/>
    </xf>
    <xf numFmtId="0" fontId="228" fillId="20" borderId="0" xfId="0" applyFont="1" applyFill="1" applyBorder="1" applyProtection="1">
      <protection hidden="1"/>
    </xf>
    <xf numFmtId="0" fontId="116" fillId="2" borderId="0" xfId="0" applyFont="1" applyFill="1" applyBorder="1" applyAlignment="1" applyProtection="1">
      <alignment horizontal="left" vertical="center"/>
      <protection hidden="1"/>
    </xf>
    <xf numFmtId="0" fontId="115" fillId="2" borderId="0" xfId="4" applyFont="1" applyFill="1" applyBorder="1" applyAlignment="1" applyProtection="1">
      <alignment vertical="center"/>
      <protection hidden="1"/>
    </xf>
    <xf numFmtId="0" fontId="56" fillId="2" borderId="0" xfId="4" applyFont="1" applyFill="1" applyBorder="1" applyAlignment="1" applyProtection="1">
      <alignment vertical="top"/>
      <protection hidden="1"/>
    </xf>
    <xf numFmtId="0" fontId="56" fillId="2" borderId="0" xfId="4" applyFont="1" applyFill="1" applyBorder="1" applyAlignment="1" applyProtection="1">
      <protection hidden="1"/>
    </xf>
    <xf numFmtId="0" fontId="46" fillId="2" borderId="0" xfId="4" applyFont="1" applyFill="1" applyBorder="1" applyAlignment="1" applyProtection="1">
      <alignment vertical="center"/>
      <protection hidden="1"/>
    </xf>
    <xf numFmtId="0" fontId="46" fillId="2" borderId="0" xfId="4" applyFont="1" applyFill="1" applyBorder="1" applyAlignment="1" applyProtection="1">
      <alignment vertical="top"/>
      <protection hidden="1"/>
    </xf>
    <xf numFmtId="0" fontId="46" fillId="2" borderId="0" xfId="4" applyFont="1" applyFill="1" applyBorder="1" applyAlignment="1" applyProtection="1">
      <protection hidden="1"/>
    </xf>
    <xf numFmtId="0" fontId="228" fillId="2" borderId="0" xfId="0" applyFont="1" applyFill="1" applyAlignment="1" applyProtection="1">
      <protection hidden="1"/>
    </xf>
    <xf numFmtId="0" fontId="228" fillId="0" borderId="0" xfId="0" applyFont="1" applyBorder="1"/>
    <xf numFmtId="0" fontId="218" fillId="2" borderId="0" xfId="0" quotePrefix="1" applyFont="1" applyFill="1" applyAlignment="1" applyProtection="1">
      <alignment horizontal="center"/>
      <protection hidden="1"/>
    </xf>
    <xf numFmtId="0" fontId="220" fillId="0" borderId="0" xfId="0" applyFont="1" applyBorder="1"/>
    <xf numFmtId="0" fontId="46" fillId="16" borderId="0" xfId="0" applyFont="1" applyFill="1" applyBorder="1" applyAlignment="1" applyProtection="1">
      <protection hidden="1"/>
    </xf>
    <xf numFmtId="0" fontId="223" fillId="2" borderId="5" xfId="0" applyFont="1" applyFill="1" applyBorder="1" applyAlignment="1" applyProtection="1">
      <alignment vertical="center" wrapText="1"/>
      <protection hidden="1"/>
    </xf>
    <xf numFmtId="0" fontId="0" fillId="0" borderId="0" xfId="0" applyAlignment="1">
      <alignment vertical="center"/>
    </xf>
    <xf numFmtId="0" fontId="204" fillId="21" borderId="0" xfId="0" applyFont="1" applyFill="1" applyAlignment="1">
      <alignment vertical="center"/>
    </xf>
    <xf numFmtId="43" fontId="0" fillId="22" borderId="0" xfId="0" applyNumberFormat="1" applyFill="1" applyAlignment="1">
      <alignment vertical="center"/>
    </xf>
    <xf numFmtId="10" fontId="1" fillId="0" borderId="0" xfId="5" applyNumberFormat="1" applyAlignment="1">
      <alignment vertical="center"/>
    </xf>
    <xf numFmtId="0" fontId="0" fillId="0" borderId="106" xfId="0" applyBorder="1" applyAlignment="1">
      <alignment vertical="center"/>
    </xf>
    <xf numFmtId="43" fontId="0" fillId="23" borderId="0" xfId="0" applyNumberFormat="1" applyFill="1" applyAlignment="1">
      <alignment vertical="center"/>
    </xf>
    <xf numFmtId="43" fontId="0" fillId="0" borderId="0" xfId="0" applyNumberFormat="1" applyAlignment="1">
      <alignment vertical="center"/>
    </xf>
    <xf numFmtId="164" fontId="1" fillId="0" borderId="106" xfId="1" applyBorder="1" applyAlignment="1">
      <alignment vertical="center"/>
    </xf>
    <xf numFmtId="43" fontId="0" fillId="0" borderId="106" xfId="0" applyNumberFormat="1" applyBorder="1" applyAlignment="1">
      <alignment vertical="center"/>
    </xf>
    <xf numFmtId="43" fontId="232" fillId="24" borderId="106" xfId="0" applyNumberFormat="1" applyFont="1" applyFill="1" applyBorder="1" applyAlignment="1">
      <alignment vertical="center"/>
    </xf>
    <xf numFmtId="43" fontId="1" fillId="22" borderId="0" xfId="1" applyNumberFormat="1" applyFill="1" applyAlignment="1">
      <alignment vertical="center"/>
    </xf>
    <xf numFmtId="43" fontId="204" fillId="25" borderId="0" xfId="0" applyNumberFormat="1" applyFont="1" applyFill="1" applyAlignment="1">
      <alignment vertical="center"/>
    </xf>
    <xf numFmtId="43" fontId="204" fillId="26" borderId="0" xfId="0" applyNumberFormat="1" applyFont="1" applyFill="1" applyAlignment="1">
      <alignment vertical="center"/>
    </xf>
    <xf numFmtId="0" fontId="233" fillId="18" borderId="0" xfId="0" applyFont="1" applyFill="1" applyAlignment="1">
      <alignment horizontal="center" vertical="center"/>
    </xf>
    <xf numFmtId="0" fontId="234" fillId="18" borderId="104" xfId="0" applyFont="1" applyFill="1" applyBorder="1" applyAlignment="1" applyProtection="1">
      <alignment horizontal="left" vertical="center"/>
      <protection hidden="1"/>
    </xf>
    <xf numFmtId="164" fontId="194" fillId="22" borderId="0" xfId="1" applyFont="1" applyFill="1"/>
    <xf numFmtId="166" fontId="6" fillId="16" borderId="106" xfId="5" applyNumberFormat="1" applyFont="1" applyFill="1" applyBorder="1" applyAlignment="1">
      <alignment vertical="center"/>
    </xf>
    <xf numFmtId="181" fontId="1" fillId="0" borderId="0" xfId="5" applyNumberFormat="1" applyAlignment="1">
      <alignment vertical="center"/>
    </xf>
    <xf numFmtId="0" fontId="235" fillId="0" borderId="0" xfId="0" applyFont="1" applyAlignment="1">
      <alignment horizontal="left" vertical="center"/>
    </xf>
    <xf numFmtId="14" fontId="56" fillId="0" borderId="0" xfId="0" applyNumberFormat="1" applyFont="1" applyProtection="1">
      <protection hidden="1"/>
    </xf>
    <xf numFmtId="0" fontId="48" fillId="27" borderId="7" xfId="0" applyFont="1" applyFill="1" applyBorder="1" applyAlignment="1" applyProtection="1">
      <alignment horizontal="center" wrapText="1"/>
      <protection locked="0" hidden="1"/>
    </xf>
    <xf numFmtId="0" fontId="56" fillId="2" borderId="0" xfId="4" applyFont="1" applyFill="1" applyProtection="1">
      <protection hidden="1"/>
    </xf>
    <xf numFmtId="0" fontId="56" fillId="0" borderId="0" xfId="4" applyFont="1" applyProtection="1">
      <protection hidden="1"/>
    </xf>
    <xf numFmtId="0" fontId="48" fillId="2" borderId="0" xfId="4" applyFont="1" applyFill="1" applyProtection="1">
      <protection hidden="1"/>
    </xf>
    <xf numFmtId="0" fontId="111" fillId="2" borderId="0" xfId="4" applyFont="1" applyFill="1" applyProtection="1">
      <protection hidden="1"/>
    </xf>
    <xf numFmtId="15" fontId="111" fillId="2" borderId="0" xfId="4" applyNumberFormat="1" applyFont="1" applyFill="1" applyProtection="1">
      <protection hidden="1"/>
    </xf>
    <xf numFmtId="2" fontId="111" fillId="2" borderId="0" xfId="4" applyNumberFormat="1" applyFont="1" applyFill="1" applyProtection="1">
      <protection hidden="1"/>
    </xf>
    <xf numFmtId="0" fontId="113" fillId="0" borderId="0" xfId="4" applyFont="1" applyProtection="1">
      <protection hidden="1"/>
    </xf>
    <xf numFmtId="0" fontId="56" fillId="0" borderId="0" xfId="4" applyFont="1" applyAlignment="1" applyProtection="1">
      <alignment horizontal="center"/>
      <protection hidden="1"/>
    </xf>
    <xf numFmtId="0" fontId="53" fillId="0" borderId="0" xfId="4" applyFont="1" applyProtection="1">
      <protection hidden="1"/>
    </xf>
    <xf numFmtId="0" fontId="147" fillId="0" borderId="0" xfId="4" applyFont="1" applyProtection="1">
      <protection hidden="1"/>
    </xf>
    <xf numFmtId="0" fontId="147" fillId="2" borderId="0" xfId="4" applyFont="1" applyFill="1" applyProtection="1">
      <protection hidden="1"/>
    </xf>
    <xf numFmtId="0" fontId="99" fillId="0" borderId="0" xfId="4" applyFont="1" applyProtection="1">
      <protection hidden="1"/>
    </xf>
    <xf numFmtId="0" fontId="99" fillId="11" borderId="0" xfId="4" applyFont="1" applyFill="1" applyProtection="1">
      <protection hidden="1"/>
    </xf>
    <xf numFmtId="0" fontId="51" fillId="2" borderId="0" xfId="4" applyFont="1" applyFill="1" applyAlignment="1" applyProtection="1">
      <alignment horizontal="center"/>
      <protection hidden="1"/>
    </xf>
    <xf numFmtId="0" fontId="98" fillId="9" borderId="45" xfId="4" applyFont="1" applyFill="1" applyBorder="1" applyAlignment="1" applyProtection="1">
      <alignment horizontal="center"/>
      <protection hidden="1"/>
    </xf>
    <xf numFmtId="0" fontId="188" fillId="18" borderId="0" xfId="4" applyFont="1" applyFill="1" applyAlignment="1">
      <alignment vertical="top" wrapText="1"/>
    </xf>
    <xf numFmtId="0" fontId="82" fillId="9" borderId="45" xfId="4" applyFont="1" applyFill="1" applyBorder="1" applyAlignment="1" applyProtection="1">
      <alignment horizontal="center"/>
      <protection hidden="1"/>
    </xf>
    <xf numFmtId="0" fontId="147" fillId="0" borderId="0" xfId="4" applyFont="1" applyAlignment="1" applyProtection="1">
      <protection hidden="1"/>
    </xf>
    <xf numFmtId="0" fontId="54" fillId="0" borderId="0" xfId="4" applyFont="1" applyProtection="1">
      <protection hidden="1"/>
    </xf>
    <xf numFmtId="0" fontId="48" fillId="0" borderId="0" xfId="4" applyFont="1" applyProtection="1">
      <protection hidden="1"/>
    </xf>
    <xf numFmtId="0" fontId="7" fillId="2" borderId="0" xfId="4" applyFill="1" applyProtection="1">
      <protection hidden="1"/>
    </xf>
    <xf numFmtId="0" fontId="26" fillId="9" borderId="56" xfId="4" applyFont="1" applyFill="1" applyBorder="1" applyAlignment="1" applyProtection="1">
      <alignment horizontal="center"/>
      <protection hidden="1"/>
    </xf>
    <xf numFmtId="0" fontId="54" fillId="0" borderId="0" xfId="4" applyFont="1" applyAlignment="1" applyProtection="1">
      <alignment horizontal="right" vertical="center"/>
      <protection hidden="1"/>
    </xf>
    <xf numFmtId="14" fontId="7" fillId="2" borderId="85" xfId="4" applyNumberFormat="1" applyFill="1" applyBorder="1" applyAlignment="1" applyProtection="1">
      <protection hidden="1"/>
    </xf>
    <xf numFmtId="0" fontId="7" fillId="2" borderId="0" xfId="4" applyFont="1" applyFill="1" applyProtection="1">
      <protection hidden="1"/>
    </xf>
    <xf numFmtId="14" fontId="7" fillId="2" borderId="0" xfId="4" applyNumberFormat="1" applyFill="1" applyProtection="1">
      <protection hidden="1"/>
    </xf>
    <xf numFmtId="0" fontId="35" fillId="3" borderId="24" xfId="4" applyFont="1" applyFill="1" applyBorder="1" applyAlignment="1" applyProtection="1">
      <protection hidden="1"/>
    </xf>
    <xf numFmtId="0" fontId="35" fillId="3" borderId="25" xfId="4" applyFont="1" applyFill="1" applyBorder="1" applyAlignment="1" applyProtection="1">
      <protection hidden="1"/>
    </xf>
    <xf numFmtId="0" fontId="11" fillId="2" borderId="0" xfId="4" applyFont="1" applyFill="1" applyAlignment="1" applyProtection="1">
      <alignment horizontal="center"/>
      <protection hidden="1"/>
    </xf>
    <xf numFmtId="0" fontId="2" fillId="4" borderId="26" xfId="4" applyFont="1" applyFill="1" applyBorder="1" applyProtection="1">
      <protection hidden="1"/>
    </xf>
    <xf numFmtId="0" fontId="30" fillId="4" borderId="27" xfId="4" applyFont="1" applyFill="1" applyBorder="1" applyProtection="1">
      <protection hidden="1"/>
    </xf>
    <xf numFmtId="0" fontId="27" fillId="4" borderId="27" xfId="4" quotePrefix="1" applyFont="1" applyFill="1" applyBorder="1" applyProtection="1">
      <protection hidden="1"/>
    </xf>
    <xf numFmtId="1" fontId="32" fillId="4" borderId="27" xfId="4" applyNumberFormat="1" applyFont="1" applyFill="1" applyBorder="1" applyAlignment="1" applyProtection="1">
      <alignment horizontal="right"/>
      <protection hidden="1"/>
    </xf>
    <xf numFmtId="0" fontId="36" fillId="4" borderId="28" xfId="4" applyFont="1" applyFill="1" applyBorder="1" applyProtection="1">
      <protection hidden="1"/>
    </xf>
    <xf numFmtId="0" fontId="36" fillId="4" borderId="26" xfId="4" applyFont="1" applyFill="1" applyBorder="1" applyAlignment="1" applyProtection="1">
      <alignment horizontal="center"/>
      <protection hidden="1"/>
    </xf>
    <xf numFmtId="0" fontId="2" fillId="4" borderId="8" xfId="4" applyFont="1" applyFill="1" applyBorder="1" applyProtection="1">
      <protection hidden="1"/>
    </xf>
    <xf numFmtId="0" fontId="2" fillId="4" borderId="9" xfId="4" applyFont="1" applyFill="1" applyBorder="1" applyAlignment="1" applyProtection="1">
      <alignment vertical="center"/>
      <protection hidden="1"/>
    </xf>
    <xf numFmtId="0" fontId="32" fillId="4" borderId="9" xfId="4" applyFont="1" applyFill="1" applyBorder="1" applyProtection="1">
      <protection hidden="1"/>
    </xf>
    <xf numFmtId="0" fontId="7" fillId="4" borderId="9" xfId="4" applyFill="1" applyBorder="1" applyProtection="1">
      <protection hidden="1"/>
    </xf>
    <xf numFmtId="0" fontId="7" fillId="4" borderId="10" xfId="4" applyFill="1" applyBorder="1" applyProtection="1">
      <protection hidden="1"/>
    </xf>
    <xf numFmtId="0" fontId="2" fillId="4" borderId="20" xfId="4" applyFont="1" applyFill="1" applyBorder="1" applyAlignment="1" applyProtection="1">
      <alignment horizontal="center"/>
      <protection hidden="1"/>
    </xf>
    <xf numFmtId="0" fontId="2" fillId="10" borderId="20" xfId="4" applyFont="1" applyFill="1" applyBorder="1" applyAlignment="1" applyProtection="1">
      <alignment horizontal="center"/>
      <protection hidden="1"/>
    </xf>
    <xf numFmtId="0" fontId="2" fillId="5" borderId="29" xfId="4" applyFont="1" applyFill="1" applyBorder="1" applyProtection="1">
      <protection hidden="1"/>
    </xf>
    <xf numFmtId="0" fontId="30" fillId="5" borderId="30" xfId="4" applyFont="1" applyFill="1" applyBorder="1" applyProtection="1">
      <protection hidden="1"/>
    </xf>
    <xf numFmtId="0" fontId="27" fillId="5" borderId="30" xfId="4" quotePrefix="1" applyFont="1" applyFill="1" applyBorder="1" applyProtection="1">
      <protection hidden="1"/>
    </xf>
    <xf numFmtId="1" fontId="32" fillId="5" borderId="30" xfId="4" applyNumberFormat="1" applyFont="1" applyFill="1" applyBorder="1" applyAlignment="1" applyProtection="1">
      <alignment horizontal="right"/>
      <protection hidden="1"/>
    </xf>
    <xf numFmtId="0" fontId="36" fillId="5" borderId="31" xfId="4" applyFont="1" applyFill="1" applyBorder="1" applyProtection="1">
      <protection hidden="1"/>
    </xf>
    <xf numFmtId="0" fontId="36" fillId="5" borderId="29" xfId="4" applyFont="1" applyFill="1" applyBorder="1" applyAlignment="1" applyProtection="1">
      <alignment horizontal="center"/>
      <protection hidden="1"/>
    </xf>
    <xf numFmtId="0" fontId="2" fillId="4" borderId="11" xfId="4" applyFont="1" applyFill="1" applyBorder="1" applyProtection="1">
      <protection hidden="1"/>
    </xf>
    <xf numFmtId="0" fontId="7" fillId="4" borderId="0" xfId="4" applyFont="1" applyFill="1" applyBorder="1" applyProtection="1">
      <protection hidden="1"/>
    </xf>
    <xf numFmtId="0" fontId="32" fillId="4" borderId="0" xfId="4" applyFont="1" applyFill="1" applyBorder="1" applyProtection="1">
      <protection hidden="1"/>
    </xf>
    <xf numFmtId="0" fontId="7" fillId="4" borderId="0" xfId="4" applyFill="1" applyBorder="1" applyProtection="1">
      <protection hidden="1"/>
    </xf>
    <xf numFmtId="0" fontId="7" fillId="4" borderId="12" xfId="4" applyFill="1" applyBorder="1" applyProtection="1">
      <protection hidden="1"/>
    </xf>
    <xf numFmtId="0" fontId="3" fillId="4" borderId="39" xfId="4" applyFont="1" applyFill="1" applyBorder="1" applyAlignment="1" applyProtection="1">
      <alignment horizontal="center"/>
      <protection hidden="1"/>
    </xf>
    <xf numFmtId="0" fontId="3" fillId="10" borderId="39" xfId="4" applyFont="1" applyFill="1" applyBorder="1" applyAlignment="1" applyProtection="1">
      <alignment horizontal="center"/>
      <protection hidden="1"/>
    </xf>
    <xf numFmtId="0" fontId="2" fillId="4" borderId="29" xfId="4" applyFont="1" applyFill="1" applyBorder="1" applyProtection="1">
      <protection hidden="1"/>
    </xf>
    <xf numFmtId="0" fontId="30" fillId="4" borderId="30" xfId="4" applyFont="1" applyFill="1" applyBorder="1" applyProtection="1">
      <protection hidden="1"/>
    </xf>
    <xf numFmtId="0" fontId="27" fillId="4" borderId="30" xfId="4" quotePrefix="1" applyFont="1" applyFill="1" applyBorder="1" applyProtection="1">
      <protection hidden="1"/>
    </xf>
    <xf numFmtId="1" fontId="32" fillId="4" borderId="30" xfId="4" applyNumberFormat="1" applyFont="1" applyFill="1" applyBorder="1" applyAlignment="1" applyProtection="1">
      <alignment horizontal="right"/>
      <protection hidden="1"/>
    </xf>
    <xf numFmtId="0" fontId="36" fillId="4" borderId="31" xfId="4" applyFont="1" applyFill="1" applyBorder="1" applyProtection="1">
      <protection hidden="1"/>
    </xf>
    <xf numFmtId="0" fontId="36" fillId="4" borderId="29" xfId="4" applyFont="1" applyFill="1" applyBorder="1" applyAlignment="1" applyProtection="1">
      <alignment horizontal="center"/>
      <protection hidden="1"/>
    </xf>
    <xf numFmtId="0" fontId="2" fillId="5" borderId="11" xfId="4" applyFont="1" applyFill="1" applyBorder="1" applyProtection="1">
      <protection hidden="1"/>
    </xf>
    <xf numFmtId="0" fontId="2" fillId="5" borderId="0" xfId="4" applyFont="1" applyFill="1" applyBorder="1" applyProtection="1">
      <protection hidden="1"/>
    </xf>
    <xf numFmtId="0" fontId="32" fillId="5" borderId="0" xfId="4" applyFont="1" applyFill="1" applyBorder="1" applyProtection="1">
      <protection hidden="1"/>
    </xf>
    <xf numFmtId="0" fontId="7" fillId="5" borderId="0" xfId="4" applyFill="1" applyBorder="1" applyProtection="1">
      <protection hidden="1"/>
    </xf>
    <xf numFmtId="0" fontId="7" fillId="5" borderId="12" xfId="4" applyFill="1" applyBorder="1" applyProtection="1">
      <protection hidden="1"/>
    </xf>
    <xf numFmtId="0" fontId="3" fillId="4" borderId="40" xfId="4" applyFont="1" applyFill="1" applyBorder="1" applyAlignment="1" applyProtection="1">
      <alignment horizontal="center"/>
      <protection hidden="1"/>
    </xf>
    <xf numFmtId="0" fontId="3" fillId="10" borderId="40" xfId="4" applyFont="1" applyFill="1" applyBorder="1" applyAlignment="1" applyProtection="1">
      <alignment horizontal="center"/>
      <protection hidden="1"/>
    </xf>
    <xf numFmtId="2" fontId="32" fillId="5" borderId="30" xfId="4" applyNumberFormat="1" applyFont="1" applyFill="1" applyBorder="1" applyAlignment="1" applyProtection="1">
      <alignment horizontal="right"/>
      <protection hidden="1"/>
    </xf>
    <xf numFmtId="0" fontId="7" fillId="5" borderId="0" xfId="4" applyFont="1" applyFill="1" applyBorder="1" applyProtection="1">
      <protection hidden="1"/>
    </xf>
    <xf numFmtId="0" fontId="16" fillId="4" borderId="0" xfId="4" applyFont="1" applyFill="1" applyBorder="1" applyProtection="1">
      <protection hidden="1"/>
    </xf>
    <xf numFmtId="0" fontId="3" fillId="4" borderId="41" xfId="4" applyFont="1" applyFill="1" applyBorder="1" applyAlignment="1" applyProtection="1">
      <alignment horizontal="center"/>
      <protection hidden="1"/>
    </xf>
    <xf numFmtId="0" fontId="3" fillId="10" borderId="41" xfId="4" applyFont="1" applyFill="1" applyBorder="1" applyAlignment="1" applyProtection="1">
      <alignment horizontal="center"/>
      <protection hidden="1"/>
    </xf>
    <xf numFmtId="0" fontId="2" fillId="4" borderId="0" xfId="4" applyFont="1" applyFill="1" applyBorder="1" applyProtection="1">
      <protection hidden="1"/>
    </xf>
    <xf numFmtId="0" fontId="30" fillId="4" borderId="32" xfId="4" applyFont="1" applyFill="1" applyBorder="1" applyProtection="1">
      <protection hidden="1"/>
    </xf>
    <xf numFmtId="0" fontId="27" fillId="4" borderId="32" xfId="4" quotePrefix="1" applyFont="1" applyFill="1" applyBorder="1" applyProtection="1">
      <protection hidden="1"/>
    </xf>
    <xf numFmtId="1" fontId="32" fillId="4" borderId="32" xfId="4" applyNumberFormat="1" applyFont="1" applyFill="1" applyBorder="1" applyAlignment="1" applyProtection="1">
      <alignment horizontal="right"/>
      <protection hidden="1"/>
    </xf>
    <xf numFmtId="0" fontId="36" fillId="4" borderId="33" xfId="4" applyFont="1" applyFill="1" applyBorder="1" applyProtection="1">
      <protection hidden="1"/>
    </xf>
    <xf numFmtId="0" fontId="36" fillId="4" borderId="42" xfId="4" applyFont="1" applyFill="1" applyBorder="1" applyAlignment="1" applyProtection="1">
      <alignment horizontal="center"/>
      <protection hidden="1"/>
    </xf>
    <xf numFmtId="0" fontId="30" fillId="5" borderId="34" xfId="4" applyFont="1" applyFill="1" applyBorder="1" applyProtection="1">
      <protection hidden="1"/>
    </xf>
    <xf numFmtId="2" fontId="32" fillId="5" borderId="43" xfId="4" applyNumberFormat="1" applyFont="1" applyFill="1" applyBorder="1" applyAlignment="1" applyProtection="1">
      <alignment horizontal="right"/>
      <protection hidden="1"/>
    </xf>
    <xf numFmtId="0" fontId="36" fillId="5" borderId="35" xfId="4" applyFont="1" applyFill="1" applyBorder="1" applyProtection="1">
      <protection hidden="1"/>
    </xf>
    <xf numFmtId="0" fontId="36" fillId="5" borderId="44" xfId="4" applyFont="1" applyFill="1" applyBorder="1" applyAlignment="1" applyProtection="1">
      <alignment horizontal="center"/>
      <protection hidden="1"/>
    </xf>
    <xf numFmtId="0" fontId="14" fillId="9" borderId="20" xfId="4" applyFont="1" applyFill="1" applyBorder="1" applyAlignment="1" applyProtection="1">
      <alignment horizontal="center"/>
      <protection hidden="1"/>
    </xf>
    <xf numFmtId="2" fontId="32" fillId="5" borderId="32" xfId="4" applyNumberFormat="1" applyFont="1" applyFill="1" applyBorder="1" applyAlignment="1" applyProtection="1">
      <alignment horizontal="right"/>
      <protection hidden="1"/>
    </xf>
    <xf numFmtId="0" fontId="36" fillId="5" borderId="68" xfId="4" applyFont="1" applyFill="1" applyBorder="1" applyProtection="1">
      <protection hidden="1"/>
    </xf>
    <xf numFmtId="0" fontId="2" fillId="4" borderId="64" xfId="4" applyFont="1" applyFill="1" applyBorder="1" applyProtection="1">
      <protection hidden="1"/>
    </xf>
    <xf numFmtId="0" fontId="30" fillId="4" borderId="65" xfId="4" applyFont="1" applyFill="1" applyBorder="1" applyProtection="1">
      <protection hidden="1"/>
    </xf>
    <xf numFmtId="0" fontId="27" fillId="4" borderId="66" xfId="4" quotePrefix="1" applyFont="1" applyFill="1" applyBorder="1" applyProtection="1">
      <protection hidden="1"/>
    </xf>
    <xf numFmtId="0" fontId="7" fillId="4" borderId="69" xfId="4" applyFill="1" applyBorder="1" applyProtection="1">
      <protection hidden="1"/>
    </xf>
    <xf numFmtId="0" fontId="36" fillId="4" borderId="70" xfId="4" applyFont="1" applyFill="1" applyBorder="1" applyProtection="1">
      <protection hidden="1"/>
    </xf>
    <xf numFmtId="0" fontId="36" fillId="4" borderId="64" xfId="4" applyFont="1" applyFill="1" applyBorder="1" applyAlignment="1" applyProtection="1">
      <alignment horizontal="center"/>
      <protection hidden="1"/>
    </xf>
    <xf numFmtId="0" fontId="32" fillId="4" borderId="0" xfId="4" applyFont="1" applyFill="1" applyBorder="1" applyAlignment="1" applyProtection="1">
      <alignment horizontal="left"/>
      <protection hidden="1"/>
    </xf>
    <xf numFmtId="0" fontId="7" fillId="4" borderId="0" xfId="4" applyFill="1" applyBorder="1" applyAlignment="1" applyProtection="1">
      <alignment horizontal="right"/>
      <protection hidden="1"/>
    </xf>
    <xf numFmtId="0" fontId="32" fillId="4" borderId="12" xfId="4" applyFont="1" applyFill="1" applyBorder="1" applyProtection="1">
      <protection hidden="1"/>
    </xf>
    <xf numFmtId="0" fontId="40" fillId="8" borderId="19" xfId="4" applyFont="1" applyFill="1" applyBorder="1" applyAlignment="1" applyProtection="1">
      <alignment horizontal="center"/>
      <protection hidden="1"/>
    </xf>
    <xf numFmtId="0" fontId="29" fillId="2" borderId="0" xfId="4" applyFont="1" applyFill="1" applyProtection="1">
      <protection hidden="1"/>
    </xf>
    <xf numFmtId="0" fontId="7" fillId="4" borderId="0" xfId="4" applyFont="1" applyFill="1" applyBorder="1" applyAlignment="1" applyProtection="1">
      <alignment horizontal="right"/>
      <protection hidden="1"/>
    </xf>
    <xf numFmtId="0" fontId="7" fillId="2" borderId="22" xfId="4" applyFill="1" applyBorder="1" applyProtection="1">
      <protection hidden="1"/>
    </xf>
    <xf numFmtId="0" fontId="7" fillId="6" borderId="13" xfId="4" applyFill="1" applyBorder="1" applyProtection="1">
      <protection hidden="1"/>
    </xf>
    <xf numFmtId="0" fontId="26" fillId="7" borderId="14" xfId="4" applyFont="1" applyFill="1" applyBorder="1" applyAlignment="1" applyProtection="1">
      <alignment horizontal="right"/>
      <protection hidden="1"/>
    </xf>
    <xf numFmtId="0" fontId="33" fillId="7" borderId="14" xfId="4" quotePrefix="1" applyFont="1" applyFill="1" applyBorder="1" applyProtection="1">
      <protection hidden="1"/>
    </xf>
    <xf numFmtId="0" fontId="3" fillId="7" borderId="14" xfId="4" applyFont="1" applyFill="1" applyBorder="1" applyProtection="1">
      <protection hidden="1"/>
    </xf>
    <xf numFmtId="0" fontId="2" fillId="7" borderId="15" xfId="4" applyFont="1" applyFill="1" applyBorder="1" applyProtection="1">
      <protection hidden="1"/>
    </xf>
    <xf numFmtId="0" fontId="7" fillId="6" borderId="38" xfId="4" applyFill="1" applyBorder="1" applyProtection="1">
      <protection hidden="1"/>
    </xf>
    <xf numFmtId="0" fontId="26" fillId="7" borderId="0" xfId="4" applyFont="1" applyFill="1" applyBorder="1" applyAlignment="1" applyProtection="1">
      <alignment horizontal="right"/>
      <protection hidden="1"/>
    </xf>
    <xf numFmtId="0" fontId="33" fillId="7" borderId="0" xfId="4" quotePrefix="1" applyFont="1" applyFill="1" applyBorder="1" applyProtection="1">
      <protection hidden="1"/>
    </xf>
    <xf numFmtId="0" fontId="3" fillId="7" borderId="0" xfId="4" applyFont="1" applyFill="1" applyBorder="1" applyProtection="1">
      <protection hidden="1"/>
    </xf>
    <xf numFmtId="0" fontId="2" fillId="7" borderId="0" xfId="4" applyFont="1" applyFill="1" applyBorder="1" applyProtection="1">
      <protection hidden="1"/>
    </xf>
    <xf numFmtId="0" fontId="144" fillId="4" borderId="63" xfId="4" applyFont="1" applyFill="1" applyBorder="1" applyAlignment="1" applyProtection="1">
      <alignment horizontal="center"/>
      <protection hidden="1"/>
    </xf>
    <xf numFmtId="0" fontId="183" fillId="14" borderId="0" xfId="4" applyFont="1" applyFill="1" applyBorder="1" applyAlignment="1" applyProtection="1">
      <alignment horizontal="center"/>
      <protection hidden="1"/>
    </xf>
    <xf numFmtId="0" fontId="50" fillId="5" borderId="54" xfId="4" applyFont="1" applyFill="1" applyBorder="1" applyAlignment="1" applyProtection="1">
      <alignment horizontal="center" wrapText="1"/>
      <protection hidden="1"/>
    </xf>
    <xf numFmtId="0" fontId="7" fillId="2" borderId="23" xfId="4" applyFill="1" applyBorder="1" applyProtection="1">
      <protection hidden="1"/>
    </xf>
    <xf numFmtId="0" fontId="7" fillId="6" borderId="16" xfId="4" applyFill="1" applyBorder="1" applyProtection="1">
      <protection hidden="1"/>
    </xf>
    <xf numFmtId="0" fontId="26" fillId="7" borderId="17" xfId="4" applyFont="1" applyFill="1" applyBorder="1" applyAlignment="1" applyProtection="1">
      <alignment horizontal="right"/>
      <protection hidden="1"/>
    </xf>
    <xf numFmtId="0" fontId="33" fillId="7" borderId="17" xfId="4" quotePrefix="1" applyFont="1" applyFill="1" applyBorder="1" applyProtection="1">
      <protection hidden="1"/>
    </xf>
    <xf numFmtId="0" fontId="3" fillId="7" borderId="17" xfId="4" applyFont="1" applyFill="1" applyBorder="1" applyProtection="1">
      <protection hidden="1"/>
    </xf>
    <xf numFmtId="0" fontId="2" fillId="7" borderId="18" xfId="4" applyFont="1" applyFill="1" applyBorder="1" applyProtection="1">
      <protection hidden="1"/>
    </xf>
    <xf numFmtId="0" fontId="16" fillId="5" borderId="0" xfId="4" applyFont="1" applyFill="1" applyBorder="1" applyProtection="1">
      <protection hidden="1"/>
    </xf>
    <xf numFmtId="0" fontId="37" fillId="2" borderId="0" xfId="4" applyFont="1" applyFill="1" applyProtection="1">
      <protection hidden="1"/>
    </xf>
    <xf numFmtId="0" fontId="7" fillId="5" borderId="0" xfId="4" quotePrefix="1" applyFill="1" applyBorder="1" applyProtection="1">
      <protection hidden="1"/>
    </xf>
    <xf numFmtId="0" fontId="40" fillId="2" borderId="0" xfId="4" applyFont="1" applyFill="1" applyProtection="1">
      <protection hidden="1"/>
    </xf>
    <xf numFmtId="4" fontId="38" fillId="6" borderId="45" xfId="4" applyNumberFormat="1" applyFont="1" applyFill="1" applyBorder="1" applyProtection="1">
      <protection hidden="1"/>
    </xf>
    <xf numFmtId="0" fontId="9" fillId="5" borderId="0" xfId="4" applyFont="1" applyFill="1" applyBorder="1" applyAlignment="1" applyProtection="1">
      <alignment wrapText="1"/>
      <protection hidden="1"/>
    </xf>
    <xf numFmtId="0" fontId="32" fillId="5" borderId="0" xfId="4" applyFont="1" applyFill="1" applyBorder="1" applyAlignment="1" applyProtection="1">
      <alignment vertical="center"/>
      <protection hidden="1"/>
    </xf>
    <xf numFmtId="0" fontId="7" fillId="5" borderId="0" xfId="4" quotePrefix="1" applyFill="1" applyBorder="1" applyAlignment="1" applyProtection="1">
      <alignment vertical="center"/>
      <protection hidden="1"/>
    </xf>
    <xf numFmtId="0" fontId="57" fillId="2" borderId="0" xfId="4" applyFont="1" applyFill="1" applyAlignment="1" applyProtection="1">
      <alignment horizontal="left"/>
      <protection hidden="1"/>
    </xf>
    <xf numFmtId="0" fontId="7" fillId="4" borderId="11" xfId="4" applyFill="1" applyBorder="1" applyProtection="1">
      <protection hidden="1"/>
    </xf>
    <xf numFmtId="0" fontId="9" fillId="4" borderId="0" xfId="4" applyFont="1" applyFill="1" applyBorder="1" applyProtection="1">
      <protection hidden="1"/>
    </xf>
    <xf numFmtId="0" fontId="9" fillId="4" borderId="0" xfId="4" applyFont="1" applyFill="1" applyBorder="1" applyAlignment="1" applyProtection="1">
      <alignment horizontal="right"/>
      <protection hidden="1"/>
    </xf>
    <xf numFmtId="0" fontId="39" fillId="2" borderId="0" xfId="4" applyFont="1" applyFill="1" applyProtection="1">
      <protection hidden="1"/>
    </xf>
    <xf numFmtId="0" fontId="7" fillId="5" borderId="11" xfId="4" applyFill="1" applyBorder="1" applyProtection="1">
      <protection hidden="1"/>
    </xf>
    <xf numFmtId="0" fontId="58" fillId="2" borderId="0" xfId="4" applyFont="1" applyFill="1" applyProtection="1">
      <protection hidden="1"/>
    </xf>
    <xf numFmtId="0" fontId="16" fillId="2" borderId="0" xfId="4" applyFont="1" applyFill="1" applyProtection="1">
      <protection hidden="1"/>
    </xf>
    <xf numFmtId="0" fontId="2" fillId="2" borderId="0" xfId="4" applyFont="1" applyFill="1" applyAlignment="1" applyProtection="1">
      <alignment horizontal="right"/>
      <protection hidden="1"/>
    </xf>
    <xf numFmtId="0" fontId="7" fillId="4" borderId="11" xfId="4" applyFill="1" applyBorder="1" applyAlignment="1" applyProtection="1">
      <alignment horizontal="right"/>
      <protection hidden="1"/>
    </xf>
    <xf numFmtId="1" fontId="32" fillId="4" borderId="0" xfId="4" applyNumberFormat="1" applyFont="1" applyFill="1" applyBorder="1" applyAlignment="1" applyProtection="1">
      <alignment horizontal="right"/>
      <protection hidden="1"/>
    </xf>
    <xf numFmtId="9" fontId="7" fillId="4" borderId="0" xfId="4" applyNumberFormat="1" applyFill="1" applyBorder="1" applyAlignment="1" applyProtection="1">
      <alignment horizontal="left"/>
      <protection hidden="1"/>
    </xf>
    <xf numFmtId="0" fontId="30" fillId="2" borderId="0" xfId="4" applyFont="1" applyFill="1" applyProtection="1">
      <protection hidden="1"/>
    </xf>
    <xf numFmtId="0" fontId="3" fillId="6" borderId="21" xfId="4" applyFont="1" applyFill="1" applyBorder="1" applyAlignment="1" applyProtection="1">
      <alignment horizontal="center"/>
      <protection hidden="1"/>
    </xf>
    <xf numFmtId="0" fontId="2" fillId="2" borderId="0" xfId="4" applyFont="1" applyFill="1" applyProtection="1">
      <protection hidden="1"/>
    </xf>
    <xf numFmtId="0" fontId="7" fillId="5" borderId="0" xfId="4" applyFill="1" applyBorder="1" applyAlignment="1" applyProtection="1">
      <alignment horizontal="right"/>
      <protection hidden="1"/>
    </xf>
    <xf numFmtId="0" fontId="15" fillId="2" borderId="0" xfId="4" applyFont="1" applyFill="1" applyProtection="1">
      <protection hidden="1"/>
    </xf>
    <xf numFmtId="0" fontId="3" fillId="4" borderId="0" xfId="4" applyFont="1" applyFill="1" applyBorder="1" applyProtection="1">
      <protection hidden="1"/>
    </xf>
    <xf numFmtId="0" fontId="7" fillId="4" borderId="0" xfId="4" applyFill="1" applyProtection="1">
      <protection hidden="1"/>
    </xf>
    <xf numFmtId="0" fontId="3" fillId="4" borderId="0" xfId="4" applyFont="1" applyFill="1" applyProtection="1">
      <protection hidden="1"/>
    </xf>
    <xf numFmtId="0" fontId="166" fillId="2" borderId="0" xfId="4" applyFont="1" applyFill="1" applyProtection="1">
      <protection hidden="1"/>
    </xf>
    <xf numFmtId="0" fontId="163" fillId="0" borderId="0" xfId="4" applyFont="1" applyAlignment="1" applyProtection="1">
      <alignment horizontal="right"/>
      <protection hidden="1"/>
    </xf>
    <xf numFmtId="0" fontId="10" fillId="4" borderId="0" xfId="4" quotePrefix="1" applyFont="1" applyFill="1" applyBorder="1" applyProtection="1">
      <protection hidden="1"/>
    </xf>
    <xf numFmtId="0" fontId="7" fillId="2" borderId="0" xfId="4" applyFill="1" applyAlignment="1" applyProtection="1">
      <alignment horizontal="left"/>
      <protection hidden="1"/>
    </xf>
    <xf numFmtId="0" fontId="173" fillId="0" borderId="0" xfId="4" applyFont="1" applyAlignment="1" applyProtection="1">
      <alignment horizontal="right"/>
      <protection hidden="1"/>
    </xf>
    <xf numFmtId="0" fontId="13" fillId="2" borderId="0" xfId="4" applyFont="1" applyFill="1" applyProtection="1">
      <protection hidden="1"/>
    </xf>
    <xf numFmtId="0" fontId="165" fillId="2" borderId="0" xfId="4" applyFont="1" applyFill="1" applyAlignment="1" applyProtection="1">
      <alignment horizontal="right"/>
      <protection hidden="1"/>
    </xf>
    <xf numFmtId="0" fontId="12" fillId="4" borderId="0" xfId="4" applyFont="1" applyFill="1" applyBorder="1" applyProtection="1">
      <protection hidden="1"/>
    </xf>
    <xf numFmtId="0" fontId="56" fillId="4" borderId="12" xfId="4" applyFont="1" applyFill="1" applyBorder="1" applyProtection="1">
      <protection hidden="1"/>
    </xf>
    <xf numFmtId="0" fontId="2" fillId="9" borderId="0" xfId="4" applyFont="1" applyFill="1" applyAlignment="1" applyProtection="1">
      <alignment horizontal="center"/>
      <protection hidden="1"/>
    </xf>
    <xf numFmtId="0" fontId="7" fillId="4" borderId="0" xfId="4" applyFont="1" applyFill="1" applyProtection="1">
      <protection hidden="1"/>
    </xf>
    <xf numFmtId="178" fontId="32" fillId="5" borderId="0" xfId="4" applyNumberFormat="1" applyFont="1" applyFill="1" applyBorder="1" applyProtection="1">
      <protection hidden="1"/>
    </xf>
    <xf numFmtId="0" fontId="6" fillId="2" borderId="0" xfId="4" applyFont="1" applyFill="1" applyProtection="1">
      <protection hidden="1"/>
    </xf>
    <xf numFmtId="0" fontId="185" fillId="2" borderId="0" xfId="4" applyFont="1" applyFill="1" applyAlignment="1" applyProtection="1">
      <alignment vertical="top"/>
      <protection hidden="1"/>
    </xf>
    <xf numFmtId="0" fontId="7" fillId="2" borderId="0" xfId="4" applyFont="1" applyFill="1" applyAlignment="1" applyProtection="1">
      <alignment horizontal="right"/>
      <protection hidden="1"/>
    </xf>
    <xf numFmtId="0" fontId="16" fillId="2" borderId="0" xfId="4" applyFont="1" applyFill="1" applyAlignment="1" applyProtection="1">
      <alignment horizontal="center"/>
      <protection hidden="1"/>
    </xf>
    <xf numFmtId="0" fontId="166" fillId="2" borderId="0" xfId="4" applyFont="1" applyFill="1" applyAlignment="1" applyProtection="1">
      <alignment vertical="center"/>
      <protection hidden="1"/>
    </xf>
    <xf numFmtId="0" fontId="2" fillId="9" borderId="0" xfId="4" applyFont="1" applyFill="1" applyAlignment="1" applyProtection="1">
      <alignment horizontal="center" vertical="center"/>
      <protection hidden="1"/>
    </xf>
    <xf numFmtId="0" fontId="7" fillId="2" borderId="0" xfId="4" applyFill="1" applyAlignment="1" applyProtection="1">
      <alignment horizontal="center" vertical="center"/>
      <protection hidden="1"/>
    </xf>
    <xf numFmtId="177" fontId="32" fillId="5" borderId="0" xfId="4" applyNumberFormat="1" applyFont="1" applyFill="1" applyBorder="1" applyProtection="1">
      <protection hidden="1"/>
    </xf>
    <xf numFmtId="0" fontId="7" fillId="2" borderId="60" xfId="4" applyFill="1" applyBorder="1" applyProtection="1">
      <protection hidden="1"/>
    </xf>
    <xf numFmtId="0" fontId="16" fillId="2" borderId="60" xfId="4" applyFont="1" applyFill="1" applyBorder="1" applyAlignment="1" applyProtection="1">
      <alignment horizontal="center"/>
      <protection hidden="1"/>
    </xf>
    <xf numFmtId="0" fontId="210" fillId="2" borderId="0" xfId="4" applyFont="1" applyFill="1" applyProtection="1">
      <protection hidden="1"/>
    </xf>
    <xf numFmtId="0" fontId="7" fillId="2" borderId="0" xfId="4" applyFill="1" applyAlignment="1" applyProtection="1">
      <alignment horizontal="right"/>
      <protection hidden="1"/>
    </xf>
    <xf numFmtId="0" fontId="7" fillId="2" borderId="6" xfId="4" applyFill="1" applyBorder="1" applyAlignment="1" applyProtection="1">
      <alignment horizontal="right"/>
      <protection hidden="1"/>
    </xf>
    <xf numFmtId="0" fontId="7" fillId="2" borderId="6" xfId="4" applyFill="1" applyBorder="1" applyProtection="1">
      <protection hidden="1"/>
    </xf>
    <xf numFmtId="0" fontId="7" fillId="2" borderId="60" xfId="4" applyFont="1" applyFill="1" applyBorder="1" applyProtection="1">
      <protection hidden="1"/>
    </xf>
    <xf numFmtId="0" fontId="187" fillId="2" borderId="0" xfId="4" applyFont="1" applyFill="1" applyAlignment="1" applyProtection="1">
      <alignment horizontal="right"/>
      <protection hidden="1"/>
    </xf>
    <xf numFmtId="0" fontId="187" fillId="2" borderId="0" xfId="4" applyFont="1" applyFill="1" applyAlignment="1" applyProtection="1">
      <alignment horizontal="left"/>
      <protection hidden="1"/>
    </xf>
    <xf numFmtId="0" fontId="11" fillId="2" borderId="60" xfId="4" applyFont="1" applyFill="1" applyBorder="1" applyAlignment="1" applyProtection="1">
      <alignment wrapText="1"/>
      <protection hidden="1"/>
    </xf>
    <xf numFmtId="0" fontId="124" fillId="11" borderId="60" xfId="4" applyFont="1" applyFill="1" applyBorder="1" applyAlignment="1" applyProtection="1">
      <protection hidden="1"/>
    </xf>
    <xf numFmtId="0" fontId="121" fillId="11" borderId="74" xfId="4" applyFont="1" applyFill="1" applyBorder="1" applyProtection="1">
      <protection hidden="1"/>
    </xf>
    <xf numFmtId="0" fontId="121" fillId="11" borderId="0" xfId="4" applyFont="1" applyFill="1" applyProtection="1">
      <protection hidden="1"/>
    </xf>
    <xf numFmtId="0" fontId="121" fillId="11" borderId="0" xfId="4" applyFont="1" applyFill="1" applyBorder="1" applyProtection="1">
      <protection hidden="1"/>
    </xf>
    <xf numFmtId="0" fontId="106" fillId="11" borderId="0" xfId="4" applyFont="1" applyFill="1" applyAlignment="1" applyProtection="1">
      <alignment horizontal="center"/>
      <protection hidden="1"/>
    </xf>
    <xf numFmtId="0" fontId="121" fillId="11" borderId="0" xfId="4" applyFont="1" applyFill="1" applyAlignment="1" applyProtection="1">
      <alignment horizontal="center"/>
      <protection hidden="1"/>
    </xf>
    <xf numFmtId="0" fontId="121" fillId="11" borderId="72" xfId="4" applyFont="1" applyFill="1" applyBorder="1" applyProtection="1">
      <protection hidden="1"/>
    </xf>
    <xf numFmtId="0" fontId="83" fillId="11" borderId="0" xfId="4" applyFont="1" applyFill="1"/>
    <xf numFmtId="0" fontId="121" fillId="11" borderId="57" xfId="4" applyFont="1" applyFill="1" applyBorder="1" applyProtection="1">
      <protection hidden="1"/>
    </xf>
    <xf numFmtId="0" fontId="126" fillId="11" borderId="0" xfId="4" applyFont="1" applyFill="1" applyBorder="1" applyAlignment="1" applyProtection="1">
      <alignment horizontal="center"/>
      <protection hidden="1"/>
    </xf>
    <xf numFmtId="0" fontId="155" fillId="11" borderId="45" xfId="4" applyFont="1" applyFill="1" applyBorder="1" applyAlignment="1" applyProtection="1">
      <alignment horizontal="center"/>
      <protection hidden="1"/>
    </xf>
    <xf numFmtId="14" fontId="121" fillId="11" borderId="0" xfId="4" applyNumberFormat="1" applyFont="1" applyFill="1" applyProtection="1">
      <protection hidden="1"/>
    </xf>
    <xf numFmtId="0" fontId="156" fillId="11" borderId="0" xfId="4" applyFont="1" applyFill="1" applyBorder="1" applyAlignment="1" applyProtection="1">
      <alignment vertical="top"/>
      <protection hidden="1"/>
    </xf>
    <xf numFmtId="0" fontId="155" fillId="11" borderId="57" xfId="4" applyFont="1" applyFill="1" applyBorder="1" applyAlignment="1" applyProtection="1">
      <alignment vertical="top"/>
      <protection hidden="1"/>
    </xf>
    <xf numFmtId="14" fontId="155" fillId="11" borderId="72" xfId="4" applyNumberFormat="1" applyFont="1" applyFill="1" applyBorder="1" applyAlignment="1" applyProtection="1">
      <alignment vertical="top" wrapText="1"/>
      <protection hidden="1"/>
    </xf>
    <xf numFmtId="0" fontId="156" fillId="11" borderId="0" xfId="4" applyFont="1" applyFill="1" applyProtection="1">
      <protection hidden="1"/>
    </xf>
    <xf numFmtId="0" fontId="126" fillId="11" borderId="0" xfId="4" applyFont="1" applyFill="1" applyBorder="1" applyProtection="1">
      <protection hidden="1"/>
    </xf>
    <xf numFmtId="0" fontId="155" fillId="11" borderId="0" xfId="4" applyFont="1" applyFill="1" applyBorder="1" applyAlignment="1" applyProtection="1">
      <alignment vertical="top" wrapText="1"/>
      <protection hidden="1"/>
    </xf>
    <xf numFmtId="0" fontId="121" fillId="11" borderId="0" xfId="4" applyFont="1" applyFill="1" applyBorder="1" applyAlignment="1" applyProtection="1">
      <alignment vertical="top" wrapText="1"/>
      <protection hidden="1"/>
    </xf>
    <xf numFmtId="0" fontId="156" fillId="11" borderId="0" xfId="4" applyFont="1" applyFill="1" applyBorder="1" applyProtection="1">
      <protection hidden="1"/>
    </xf>
    <xf numFmtId="1" fontId="155" fillId="11" borderId="45" xfId="4" applyNumberFormat="1" applyFont="1" applyFill="1" applyBorder="1" applyAlignment="1" applyProtection="1">
      <alignment horizontal="center"/>
      <protection hidden="1"/>
    </xf>
    <xf numFmtId="1" fontId="121" fillId="11" borderId="0" xfId="4" applyNumberFormat="1" applyFont="1" applyFill="1" applyProtection="1">
      <protection hidden="1"/>
    </xf>
    <xf numFmtId="1" fontId="157" fillId="11" borderId="45" xfId="4" applyNumberFormat="1" applyFont="1" applyFill="1" applyBorder="1" applyAlignment="1" applyProtection="1">
      <alignment horizontal="center"/>
      <protection hidden="1"/>
    </xf>
    <xf numFmtId="176" fontId="126" fillId="11" borderId="45" xfId="4" applyNumberFormat="1" applyFont="1" applyFill="1" applyBorder="1" applyAlignment="1" applyProtection="1">
      <alignment horizontal="center" vertical="top" wrapText="1"/>
      <protection hidden="1"/>
    </xf>
    <xf numFmtId="0" fontId="121" fillId="11" borderId="0" xfId="4" applyFont="1" applyFill="1" applyAlignment="1" applyProtection="1">
      <alignment horizontal="right"/>
      <protection hidden="1"/>
    </xf>
    <xf numFmtId="0" fontId="155" fillId="11" borderId="0" xfId="4" applyFont="1" applyFill="1" applyBorder="1" applyProtection="1">
      <protection hidden="1"/>
    </xf>
    <xf numFmtId="0" fontId="126" fillId="11" borderId="0" xfId="4" applyFont="1" applyFill="1" applyProtection="1">
      <protection hidden="1"/>
    </xf>
    <xf numFmtId="0" fontId="121" fillId="11" borderId="0" xfId="4" applyFont="1" applyFill="1" applyAlignment="1" applyProtection="1">
      <alignment horizontal="left"/>
      <protection hidden="1"/>
    </xf>
    <xf numFmtId="0" fontId="126" fillId="11" borderId="73" xfId="4" applyFont="1" applyFill="1" applyBorder="1" applyProtection="1">
      <protection hidden="1"/>
    </xf>
    <xf numFmtId="0" fontId="121" fillId="11" borderId="6" xfId="4" applyFont="1" applyFill="1" applyBorder="1" applyProtection="1">
      <protection hidden="1"/>
    </xf>
    <xf numFmtId="0" fontId="7" fillId="0" borderId="1" xfId="4" applyBorder="1" applyProtection="1">
      <protection hidden="1"/>
    </xf>
    <xf numFmtId="0" fontId="7" fillId="0" borderId="2" xfId="4" applyBorder="1" applyProtection="1">
      <protection hidden="1"/>
    </xf>
    <xf numFmtId="0" fontId="195" fillId="0" borderId="2" xfId="4" applyFont="1" applyBorder="1" applyProtection="1">
      <protection hidden="1"/>
    </xf>
    <xf numFmtId="0" fontId="7" fillId="0" borderId="2" xfId="4" applyFont="1" applyBorder="1" applyProtection="1">
      <protection hidden="1"/>
    </xf>
    <xf numFmtId="0" fontId="83" fillId="11" borderId="0" xfId="4" applyFont="1" applyFill="1" applyProtection="1">
      <protection hidden="1"/>
    </xf>
    <xf numFmtId="0" fontId="24" fillId="11" borderId="0" xfId="4" applyFont="1" applyFill="1" applyProtection="1">
      <protection hidden="1"/>
    </xf>
    <xf numFmtId="0" fontId="24" fillId="17" borderId="0" xfId="4" applyFont="1" applyFill="1" applyProtection="1">
      <protection hidden="1"/>
    </xf>
    <xf numFmtId="0" fontId="83" fillId="17" borderId="0" xfId="4" applyFont="1" applyFill="1" applyProtection="1">
      <protection hidden="1"/>
    </xf>
    <xf numFmtId="0" fontId="7" fillId="0" borderId="4" xfId="4" applyBorder="1" applyProtection="1">
      <protection hidden="1"/>
    </xf>
    <xf numFmtId="0" fontId="7" fillId="0" borderId="0" xfId="4" applyBorder="1" applyProtection="1">
      <protection hidden="1"/>
    </xf>
    <xf numFmtId="0" fontId="7" fillId="0" borderId="0" xfId="4" applyFont="1" applyBorder="1" applyProtection="1">
      <protection hidden="1"/>
    </xf>
    <xf numFmtId="0" fontId="70" fillId="0" borderId="0" xfId="4" applyFont="1" applyBorder="1" applyAlignment="1" applyProtection="1">
      <alignment horizontal="center" vertical="center"/>
      <protection hidden="1"/>
    </xf>
    <xf numFmtId="0" fontId="7" fillId="0" borderId="5" xfId="4" applyFont="1" applyBorder="1" applyProtection="1">
      <protection hidden="1"/>
    </xf>
    <xf numFmtId="0" fontId="7" fillId="2" borderId="0" xfId="4" applyFill="1" applyBorder="1" applyProtection="1">
      <protection hidden="1"/>
    </xf>
    <xf numFmtId="174" fontId="48" fillId="2" borderId="0" xfId="4" applyNumberFormat="1" applyFont="1" applyFill="1" applyBorder="1" applyAlignment="1" applyProtection="1">
      <alignment vertical="center"/>
      <protection hidden="1"/>
    </xf>
    <xf numFmtId="0" fontId="7" fillId="2" borderId="0" xfId="4" applyFont="1" applyFill="1" applyBorder="1" applyProtection="1">
      <protection hidden="1"/>
    </xf>
    <xf numFmtId="0" fontId="83" fillId="2" borderId="0" xfId="4" applyFont="1" applyFill="1" applyProtection="1">
      <protection hidden="1"/>
    </xf>
    <xf numFmtId="174" fontId="46" fillId="2" borderId="0" xfId="4" applyNumberFormat="1" applyFont="1" applyFill="1" applyBorder="1" applyAlignment="1" applyProtection="1">
      <alignment vertical="center"/>
      <protection hidden="1"/>
    </xf>
    <xf numFmtId="0" fontId="8" fillId="2" borderId="0" xfId="4" applyFont="1" applyFill="1" applyBorder="1" applyProtection="1">
      <protection hidden="1"/>
    </xf>
    <xf numFmtId="174" fontId="49" fillId="2" borderId="0" xfId="4" applyNumberFormat="1" applyFont="1" applyFill="1" applyBorder="1" applyAlignment="1" applyProtection="1">
      <alignment vertical="center"/>
      <protection hidden="1"/>
    </xf>
    <xf numFmtId="0" fontId="7" fillId="0" borderId="5" xfId="4" applyFont="1" applyFill="1" applyBorder="1" applyProtection="1">
      <protection hidden="1"/>
    </xf>
    <xf numFmtId="173" fontId="112" fillId="17" borderId="0" xfId="4" applyNumberFormat="1" applyFont="1" applyFill="1" applyBorder="1" applyAlignment="1" applyProtection="1">
      <alignment horizontal="right"/>
      <protection hidden="1"/>
    </xf>
    <xf numFmtId="0" fontId="112" fillId="17" borderId="0" xfId="4" applyFont="1" applyFill="1" applyBorder="1" applyAlignment="1" applyProtection="1">
      <alignment horizontal="left"/>
      <protection hidden="1"/>
    </xf>
    <xf numFmtId="173" fontId="112" fillId="17" borderId="0" xfId="4" applyNumberFormat="1" applyFont="1" applyFill="1" applyBorder="1" applyAlignment="1" applyProtection="1">
      <alignment horizontal="center"/>
      <protection hidden="1"/>
    </xf>
    <xf numFmtId="4" fontId="112" fillId="17" borderId="0" xfId="4" applyNumberFormat="1" applyFont="1" applyFill="1" applyBorder="1" applyAlignment="1" applyProtection="1">
      <alignment horizontal="left"/>
      <protection hidden="1"/>
    </xf>
    <xf numFmtId="174" fontId="48" fillId="2" borderId="0" xfId="4" applyNumberFormat="1" applyFont="1" applyFill="1" applyBorder="1" applyAlignment="1" applyProtection="1">
      <alignment horizontal="right" vertical="center"/>
      <protection hidden="1"/>
    </xf>
    <xf numFmtId="174" fontId="46" fillId="2" borderId="0" xfId="4" applyNumberFormat="1" applyFont="1" applyFill="1" applyBorder="1" applyAlignment="1" applyProtection="1">
      <protection hidden="1"/>
    </xf>
    <xf numFmtId="0" fontId="9" fillId="0" borderId="5" xfId="4" applyFont="1" applyFill="1" applyBorder="1" applyAlignment="1" applyProtection="1">
      <alignment horizontal="left"/>
      <protection hidden="1"/>
    </xf>
    <xf numFmtId="173" fontId="97" fillId="17" borderId="0" xfId="4" applyNumberFormat="1" applyFont="1" applyFill="1" applyBorder="1" applyAlignment="1" applyProtection="1">
      <alignment horizontal="right"/>
      <protection hidden="1"/>
    </xf>
    <xf numFmtId="0" fontId="97" fillId="17" borderId="0" xfId="4" applyFont="1" applyFill="1" applyBorder="1" applyAlignment="1" applyProtection="1">
      <alignment horizontal="left"/>
      <protection hidden="1"/>
    </xf>
    <xf numFmtId="173" fontId="97" fillId="17" borderId="0" xfId="4" applyNumberFormat="1" applyFont="1" applyFill="1" applyBorder="1" applyAlignment="1" applyProtection="1">
      <alignment horizontal="center"/>
      <protection hidden="1"/>
    </xf>
    <xf numFmtId="4" fontId="97" fillId="17" borderId="0" xfId="4" applyNumberFormat="1" applyFont="1" applyFill="1" applyBorder="1" applyAlignment="1" applyProtection="1">
      <alignment horizontal="left"/>
      <protection hidden="1"/>
    </xf>
    <xf numFmtId="0" fontId="6" fillId="2" borderId="6" xfId="4" applyFont="1" applyFill="1" applyBorder="1" applyProtection="1">
      <protection hidden="1"/>
    </xf>
    <xf numFmtId="0" fontId="7" fillId="2" borderId="6" xfId="4" applyFont="1" applyFill="1" applyBorder="1" applyProtection="1">
      <protection hidden="1"/>
    </xf>
    <xf numFmtId="0" fontId="46" fillId="2" borderId="6" xfId="4" applyFont="1" applyFill="1" applyBorder="1" applyAlignment="1" applyProtection="1">
      <alignment vertical="top" wrapText="1"/>
      <protection hidden="1"/>
    </xf>
    <xf numFmtId="0" fontId="54" fillId="2" borderId="0" xfId="4" applyFont="1" applyFill="1" applyBorder="1" applyProtection="1">
      <protection hidden="1"/>
    </xf>
    <xf numFmtId="0" fontId="56" fillId="2" borderId="0" xfId="4" applyFont="1" applyFill="1" applyBorder="1" applyProtection="1">
      <protection hidden="1"/>
    </xf>
    <xf numFmtId="0" fontId="54" fillId="2" borderId="0" xfId="4" applyFont="1" applyFill="1" applyBorder="1" applyAlignment="1" applyProtection="1">
      <protection hidden="1"/>
    </xf>
    <xf numFmtId="0" fontId="115" fillId="2" borderId="0" xfId="4" applyFont="1" applyFill="1" applyBorder="1" applyProtection="1">
      <protection hidden="1"/>
    </xf>
    <xf numFmtId="0" fontId="7" fillId="2" borderId="0" xfId="4" applyFont="1" applyFill="1" applyBorder="1" applyAlignment="1" applyProtection="1">
      <alignment vertical="center"/>
      <protection hidden="1"/>
    </xf>
    <xf numFmtId="0" fontId="20" fillId="2" borderId="0" xfId="4" applyFont="1" applyFill="1" applyBorder="1" applyAlignment="1" applyProtection="1">
      <alignment horizontal="left" vertical="center" wrapText="1"/>
      <protection hidden="1"/>
    </xf>
    <xf numFmtId="0" fontId="54" fillId="2" borderId="0" xfId="4" applyFont="1" applyFill="1" applyBorder="1" applyAlignment="1" applyProtection="1">
      <alignment vertical="center"/>
      <protection hidden="1"/>
    </xf>
    <xf numFmtId="0" fontId="121" fillId="2" borderId="5" xfId="4" applyFont="1" applyFill="1" applyBorder="1" applyProtection="1">
      <protection hidden="1"/>
    </xf>
    <xf numFmtId="0" fontId="46" fillId="2" borderId="0" xfId="4" applyFont="1" applyFill="1" applyBorder="1" applyAlignment="1" applyProtection="1">
      <alignment horizontal="left" vertical="top"/>
      <protection hidden="1"/>
    </xf>
    <xf numFmtId="0" fontId="46" fillId="2" borderId="0" xfId="4" applyFont="1" applyFill="1" applyBorder="1" applyAlignment="1" applyProtection="1">
      <alignment horizontal="left" shrinkToFit="1"/>
      <protection hidden="1"/>
    </xf>
    <xf numFmtId="0" fontId="90" fillId="2" borderId="0" xfId="4" applyFont="1" applyFill="1" applyProtection="1">
      <protection hidden="1"/>
    </xf>
    <xf numFmtId="0" fontId="46" fillId="2" borderId="5" xfId="4" applyFont="1" applyFill="1" applyBorder="1" applyAlignment="1" applyProtection="1">
      <alignment shrinkToFit="1"/>
      <protection hidden="1"/>
    </xf>
    <xf numFmtId="0" fontId="46" fillId="2" borderId="0" xfId="4" applyFont="1" applyFill="1" applyBorder="1" applyAlignment="1" applyProtection="1">
      <alignment vertical="center" wrapText="1"/>
      <protection hidden="1"/>
    </xf>
    <xf numFmtId="0" fontId="66" fillId="2" borderId="0" xfId="4" applyFont="1" applyFill="1" applyBorder="1" applyAlignment="1" applyProtection="1">
      <alignment vertical="center" wrapText="1"/>
      <protection hidden="1"/>
    </xf>
    <xf numFmtId="0" fontId="9" fillId="2" borderId="0" xfId="4" applyFont="1" applyFill="1" applyBorder="1" applyAlignment="1" applyProtection="1">
      <alignment vertical="center"/>
      <protection hidden="1"/>
    </xf>
    <xf numFmtId="0" fontId="226" fillId="28" borderId="7" xfId="4" applyFont="1" applyFill="1" applyBorder="1" applyAlignment="1" applyProtection="1">
      <alignment horizontal="left" vertical="center"/>
      <protection locked="0" hidden="1"/>
    </xf>
    <xf numFmtId="0" fontId="136" fillId="2" borderId="5" xfId="4" applyFont="1" applyFill="1" applyBorder="1" applyAlignment="1" applyProtection="1">
      <protection hidden="1"/>
    </xf>
    <xf numFmtId="0" fontId="2" fillId="2" borderId="0" xfId="4" applyFont="1" applyFill="1" applyBorder="1" applyAlignment="1" applyProtection="1">
      <alignment vertical="center"/>
      <protection hidden="1"/>
    </xf>
    <xf numFmtId="0" fontId="56" fillId="0" borderId="5" xfId="4" applyFont="1" applyFill="1" applyBorder="1" applyAlignment="1" applyProtection="1">
      <protection hidden="1"/>
    </xf>
    <xf numFmtId="0" fontId="54" fillId="2" borderId="0" xfId="4" applyFont="1" applyFill="1" applyBorder="1" applyAlignment="1" applyProtection="1">
      <alignment horizontal="left"/>
      <protection hidden="1"/>
    </xf>
    <xf numFmtId="0" fontId="56" fillId="0" borderId="0" xfId="4" applyFont="1" applyBorder="1"/>
    <xf numFmtId="0" fontId="7" fillId="0" borderId="0" xfId="4" applyBorder="1"/>
    <xf numFmtId="0" fontId="7" fillId="2" borderId="0" xfId="4" applyFill="1" applyBorder="1" applyAlignment="1" applyProtection="1">
      <alignment vertical="center"/>
      <protection hidden="1"/>
    </xf>
    <xf numFmtId="0" fontId="71" fillId="2" borderId="0" xfId="4" applyFont="1" applyFill="1" applyBorder="1" applyAlignment="1" applyProtection="1">
      <alignment horizontal="left"/>
      <protection hidden="1"/>
    </xf>
    <xf numFmtId="164" fontId="46" fillId="0" borderId="5" xfId="4" applyNumberFormat="1" applyFont="1" applyFill="1" applyBorder="1" applyAlignment="1" applyProtection="1">
      <protection hidden="1"/>
    </xf>
    <xf numFmtId="0" fontId="222" fillId="2" borderId="0" xfId="4" applyFont="1" applyFill="1" applyBorder="1" applyAlignment="1" applyProtection="1">
      <alignment horizontal="left"/>
      <protection hidden="1"/>
    </xf>
    <xf numFmtId="0" fontId="20" fillId="2" borderId="0" xfId="4" applyFont="1" applyFill="1" applyBorder="1" applyAlignment="1" applyProtection="1">
      <alignment horizontal="left" vertical="center"/>
      <protection hidden="1"/>
    </xf>
    <xf numFmtId="0" fontId="71" fillId="2" borderId="0" xfId="4" applyFont="1" applyFill="1" applyBorder="1" applyAlignment="1" applyProtection="1">
      <alignment horizontal="right"/>
      <protection hidden="1"/>
    </xf>
    <xf numFmtId="0" fontId="224" fillId="17" borderId="103" xfId="4" applyFont="1" applyFill="1" applyBorder="1" applyAlignment="1" applyProtection="1">
      <alignment horizontal="center" vertical="center" shrinkToFit="1"/>
      <protection hidden="1"/>
    </xf>
    <xf numFmtId="0" fontId="223" fillId="2" borderId="6" xfId="4" applyFont="1" applyFill="1" applyBorder="1" applyAlignment="1" applyProtection="1">
      <alignment horizontal="right" vertical="center"/>
      <protection hidden="1"/>
    </xf>
    <xf numFmtId="164" fontId="7" fillId="2" borderId="6" xfId="2" applyFont="1" applyFill="1" applyBorder="1" applyProtection="1">
      <protection hidden="1"/>
    </xf>
    <xf numFmtId="164" fontId="10" fillId="0" borderId="5" xfId="4" applyNumberFormat="1" applyFont="1" applyFill="1" applyBorder="1" applyProtection="1">
      <protection hidden="1"/>
    </xf>
    <xf numFmtId="0" fontId="10" fillId="0" borderId="5" xfId="4" applyFont="1" applyFill="1" applyBorder="1" applyProtection="1">
      <protection hidden="1"/>
    </xf>
    <xf numFmtId="0" fontId="117" fillId="2" borderId="0" xfId="4" applyFont="1" applyFill="1" applyProtection="1">
      <protection hidden="1"/>
    </xf>
    <xf numFmtId="0" fontId="49" fillId="2" borderId="0" xfId="4" applyFont="1" applyFill="1" applyBorder="1" applyAlignment="1" applyProtection="1">
      <alignment horizontal="left"/>
      <protection hidden="1"/>
    </xf>
    <xf numFmtId="0" fontId="69" fillId="2" borderId="0" xfId="4" applyFont="1" applyFill="1" applyBorder="1" applyAlignment="1" applyProtection="1">
      <alignment vertical="top"/>
      <protection hidden="1"/>
    </xf>
    <xf numFmtId="0" fontId="192" fillId="2" borderId="0" xfId="4" applyFont="1" applyFill="1" applyBorder="1" applyProtection="1">
      <protection hidden="1"/>
    </xf>
    <xf numFmtId="0" fontId="46" fillId="2" borderId="0" xfId="4" applyFont="1" applyFill="1" applyBorder="1" applyProtection="1">
      <protection hidden="1"/>
    </xf>
    <xf numFmtId="0" fontId="10" fillId="2" borderId="0" xfId="4" applyFont="1" applyFill="1" applyBorder="1" applyAlignment="1" applyProtection="1">
      <protection hidden="1"/>
    </xf>
    <xf numFmtId="4" fontId="46" fillId="2" borderId="0" xfId="4" applyNumberFormat="1" applyFont="1" applyFill="1" applyBorder="1" applyAlignment="1" applyProtection="1">
      <protection hidden="1"/>
    </xf>
    <xf numFmtId="0" fontId="227" fillId="2" borderId="0" xfId="4" applyFont="1" applyFill="1" applyAlignment="1" applyProtection="1">
      <alignment vertical="center"/>
      <protection hidden="1"/>
    </xf>
    <xf numFmtId="0" fontId="83" fillId="16" borderId="0" xfId="4" applyFont="1" applyFill="1" applyProtection="1">
      <protection hidden="1"/>
    </xf>
    <xf numFmtId="0" fontId="216" fillId="11" borderId="0" xfId="4" applyFont="1" applyFill="1" applyAlignment="1" applyProtection="1">
      <alignment horizontal="center" vertical="center"/>
      <protection hidden="1"/>
    </xf>
    <xf numFmtId="2" fontId="46" fillId="2" borderId="0" xfId="4" applyNumberFormat="1" applyFont="1" applyFill="1" applyBorder="1" applyProtection="1">
      <protection hidden="1"/>
    </xf>
    <xf numFmtId="0" fontId="234" fillId="18" borderId="104" xfId="4" applyFont="1" applyFill="1" applyBorder="1" applyAlignment="1" applyProtection="1">
      <alignment horizontal="left" vertical="center"/>
      <protection locked="0" hidden="1"/>
    </xf>
    <xf numFmtId="4" fontId="48" fillId="2" borderId="105" xfId="4" applyNumberFormat="1" applyFont="1" applyFill="1" applyBorder="1" applyAlignment="1" applyProtection="1">
      <protection hidden="1"/>
    </xf>
    <xf numFmtId="0" fontId="46" fillId="17" borderId="0" xfId="4" applyFont="1" applyFill="1" applyBorder="1" applyProtection="1">
      <protection hidden="1"/>
    </xf>
    <xf numFmtId="0" fontId="48" fillId="2" borderId="0" xfId="4" applyFont="1" applyFill="1" applyBorder="1" applyProtection="1">
      <protection hidden="1"/>
    </xf>
    <xf numFmtId="4" fontId="48" fillId="2" borderId="0" xfId="4" applyNumberFormat="1" applyFont="1" applyFill="1" applyBorder="1" applyAlignment="1" applyProtection="1">
      <protection hidden="1"/>
    </xf>
    <xf numFmtId="0" fontId="201" fillId="2" borderId="0" xfId="4" applyFont="1" applyFill="1" applyAlignment="1" applyProtection="1">
      <alignment vertical="top"/>
      <protection hidden="1"/>
    </xf>
    <xf numFmtId="4" fontId="46" fillId="17" borderId="0" xfId="4" applyNumberFormat="1" applyFont="1" applyFill="1" applyBorder="1" applyProtection="1">
      <protection hidden="1"/>
    </xf>
    <xf numFmtId="0" fontId="49" fillId="2" borderId="0" xfId="4" applyFont="1" applyFill="1" applyBorder="1" applyAlignment="1" applyProtection="1">
      <alignment vertical="center"/>
      <protection hidden="1"/>
    </xf>
    <xf numFmtId="164" fontId="10" fillId="0" borderId="5" xfId="2" applyFont="1" applyFill="1" applyBorder="1" applyProtection="1">
      <protection hidden="1"/>
    </xf>
    <xf numFmtId="0" fontId="48" fillId="2" borderId="60" xfId="4" applyFont="1" applyFill="1" applyBorder="1" applyAlignment="1" applyProtection="1">
      <alignment vertical="center"/>
      <protection hidden="1"/>
    </xf>
    <xf numFmtId="0" fontId="49" fillId="2" borderId="60" xfId="4" applyFont="1" applyFill="1" applyBorder="1" applyAlignment="1" applyProtection="1">
      <alignment vertical="center"/>
      <protection hidden="1"/>
    </xf>
    <xf numFmtId="0" fontId="70" fillId="16" borderId="60" xfId="4" applyFont="1" applyFill="1" applyBorder="1" applyAlignment="1" applyProtection="1">
      <alignment horizontal="center" vertical="center" wrapText="1"/>
      <protection hidden="1"/>
    </xf>
    <xf numFmtId="0" fontId="204" fillId="17" borderId="0" xfId="4" applyFont="1" applyFill="1" applyProtection="1">
      <protection hidden="1"/>
    </xf>
    <xf numFmtId="0" fontId="204" fillId="11" borderId="0" xfId="4" applyFont="1" applyFill="1" applyProtection="1">
      <protection hidden="1"/>
    </xf>
    <xf numFmtId="0" fontId="54" fillId="2" borderId="0" xfId="4" quotePrefix="1" applyFont="1" applyFill="1" applyBorder="1" applyAlignment="1" applyProtection="1">
      <alignment horizontal="left" vertical="center"/>
      <protection hidden="1"/>
    </xf>
    <xf numFmtId="0" fontId="70" fillId="16" borderId="0" xfId="4" applyFont="1" applyFill="1" applyAlignment="1">
      <alignment horizontal="center" vertical="center"/>
    </xf>
    <xf numFmtId="0" fontId="228" fillId="17" borderId="0" xfId="4" applyFont="1" applyFill="1" applyBorder="1" applyProtection="1">
      <protection hidden="1"/>
    </xf>
    <xf numFmtId="39" fontId="228" fillId="17" borderId="0" xfId="4" applyNumberFormat="1" applyFont="1" applyFill="1" applyBorder="1" applyAlignment="1" applyProtection="1">
      <alignment horizontal="right"/>
      <protection hidden="1"/>
    </xf>
    <xf numFmtId="0" fontId="70" fillId="16" borderId="0" xfId="4" applyFont="1" applyFill="1" applyBorder="1" applyAlignment="1" applyProtection="1">
      <alignment horizontal="center" vertical="center" wrapText="1"/>
      <protection hidden="1"/>
    </xf>
    <xf numFmtId="0" fontId="217" fillId="0" borderId="0" xfId="4" applyFont="1" applyFill="1" applyBorder="1" applyAlignment="1" applyProtection="1">
      <alignment horizontal="left"/>
      <protection hidden="1"/>
    </xf>
    <xf numFmtId="0" fontId="83" fillId="0" borderId="0" xfId="4" applyFont="1" applyFill="1" applyProtection="1">
      <protection hidden="1"/>
    </xf>
    <xf numFmtId="0" fontId="10" fillId="0" borderId="0" xfId="4" applyFont="1" applyFill="1" applyBorder="1" applyProtection="1">
      <protection hidden="1"/>
    </xf>
    <xf numFmtId="0" fontId="75" fillId="0" borderId="0" xfId="4" applyFont="1" applyFill="1" applyBorder="1" applyAlignment="1" applyProtection="1">
      <protection hidden="1"/>
    </xf>
    <xf numFmtId="0" fontId="7" fillId="0" borderId="0" xfId="4" applyFont="1" applyFill="1" applyBorder="1" applyProtection="1">
      <protection hidden="1"/>
    </xf>
    <xf numFmtId="0" fontId="7" fillId="2" borderId="57" xfId="4" applyFont="1" applyFill="1" applyBorder="1" applyProtection="1">
      <protection hidden="1"/>
    </xf>
    <xf numFmtId="0" fontId="217" fillId="0" borderId="0" xfId="4" applyFont="1" applyFill="1" applyBorder="1" applyProtection="1">
      <protection hidden="1"/>
    </xf>
    <xf numFmtId="0" fontId="6" fillId="2" borderId="0" xfId="4" applyFont="1" applyFill="1" applyBorder="1" applyAlignment="1" applyProtection="1">
      <alignment horizontal="center"/>
      <protection hidden="1"/>
    </xf>
    <xf numFmtId="0" fontId="53" fillId="2" borderId="0" xfId="4" applyFont="1" applyFill="1" applyBorder="1" applyAlignment="1" applyProtection="1">
      <alignment horizontal="left"/>
      <protection hidden="1"/>
    </xf>
    <xf numFmtId="2" fontId="10" fillId="0" borderId="5" xfId="4" applyNumberFormat="1" applyFont="1" applyFill="1" applyBorder="1" applyProtection="1">
      <protection hidden="1"/>
    </xf>
    <xf numFmtId="0" fontId="236" fillId="11" borderId="0" xfId="4" applyFont="1" applyFill="1" applyAlignment="1" applyProtection="1">
      <alignment horizontal="center" vertical="center"/>
      <protection hidden="1"/>
    </xf>
    <xf numFmtId="0" fontId="83" fillId="11" borderId="0" xfId="4" applyFont="1" applyFill="1" applyAlignment="1" applyProtection="1">
      <alignment horizontal="left"/>
      <protection hidden="1"/>
    </xf>
    <xf numFmtId="0" fontId="204" fillId="17" borderId="0" xfId="4" applyFont="1" applyFill="1" applyAlignment="1" applyProtection="1">
      <alignment horizontal="left"/>
      <protection hidden="1"/>
    </xf>
    <xf numFmtId="0" fontId="229" fillId="17" borderId="0" xfId="4" applyFont="1" applyFill="1"/>
    <xf numFmtId="0" fontId="17" fillId="2" borderId="7" xfId="4" applyFont="1" applyFill="1" applyBorder="1" applyAlignment="1" applyProtection="1">
      <alignment wrapText="1"/>
      <protection hidden="1"/>
    </xf>
    <xf numFmtId="0" fontId="10" fillId="2" borderId="0" xfId="4" applyFont="1" applyFill="1" applyBorder="1" applyProtection="1">
      <protection hidden="1"/>
    </xf>
    <xf numFmtId="0" fontId="46" fillId="0" borderId="0" xfId="4" applyFont="1" applyFill="1" applyBorder="1" applyProtection="1">
      <protection hidden="1"/>
    </xf>
    <xf numFmtId="0" fontId="2" fillId="2" borderId="0" xfId="4" applyFont="1" applyFill="1" applyBorder="1" applyAlignment="1" applyProtection="1">
      <alignment horizontal="center"/>
      <protection hidden="1"/>
    </xf>
    <xf numFmtId="4" fontId="71" fillId="19" borderId="62" xfId="4" applyNumberFormat="1" applyFont="1" applyFill="1" applyBorder="1" applyProtection="1">
      <protection locked="0" hidden="1"/>
    </xf>
    <xf numFmtId="0" fontId="237" fillId="11" borderId="0" xfId="4" applyFont="1" applyFill="1" applyAlignment="1" applyProtection="1">
      <alignment horizontal="center" vertical="center"/>
      <protection hidden="1"/>
    </xf>
    <xf numFmtId="0" fontId="74" fillId="2" borderId="0" xfId="4" applyFont="1" applyFill="1" applyBorder="1" applyAlignment="1" applyProtection="1">
      <alignment horizontal="right"/>
      <protection hidden="1"/>
    </xf>
    <xf numFmtId="4" fontId="46" fillId="19" borderId="45" xfId="4" applyNumberFormat="1" applyFont="1" applyFill="1" applyBorder="1" applyProtection="1">
      <protection locked="0" hidden="1"/>
    </xf>
    <xf numFmtId="0" fontId="231" fillId="17" borderId="104" xfId="4" applyFont="1" applyFill="1" applyBorder="1" applyAlignment="1" applyProtection="1">
      <alignment horizontal="center" vertical="center"/>
      <protection hidden="1"/>
    </xf>
    <xf numFmtId="0" fontId="13" fillId="2" borderId="0" xfId="4" applyFont="1" applyFill="1" applyBorder="1" applyAlignment="1" applyProtection="1">
      <alignment horizontal="center"/>
      <protection hidden="1"/>
    </xf>
    <xf numFmtId="0" fontId="46" fillId="2" borderId="0" xfId="4" applyFont="1" applyFill="1" applyBorder="1" applyAlignment="1" applyProtection="1">
      <alignment horizontal="right"/>
      <protection hidden="1"/>
    </xf>
    <xf numFmtId="0" fontId="17" fillId="2" borderId="0" xfId="4" applyFont="1" applyFill="1" applyBorder="1" applyAlignment="1" applyProtection="1">
      <alignment wrapText="1"/>
      <protection hidden="1"/>
    </xf>
    <xf numFmtId="0" fontId="19" fillId="2" borderId="0" xfId="4" applyFont="1" applyFill="1" applyBorder="1" applyAlignment="1" applyProtection="1">
      <alignment wrapText="1"/>
      <protection hidden="1"/>
    </xf>
    <xf numFmtId="4" fontId="46" fillId="16" borderId="45" xfId="4" applyNumberFormat="1" applyFont="1" applyFill="1" applyBorder="1" applyProtection="1">
      <protection hidden="1"/>
    </xf>
    <xf numFmtId="0" fontId="122" fillId="2" borderId="0" xfId="4" applyFont="1" applyFill="1" applyBorder="1" applyAlignment="1" applyProtection="1">
      <alignment wrapText="1"/>
      <protection hidden="1"/>
    </xf>
    <xf numFmtId="0" fontId="122" fillId="0" borderId="0" xfId="4" applyFont="1" applyFill="1" applyBorder="1" applyAlignment="1" applyProtection="1">
      <alignment wrapText="1"/>
      <protection hidden="1"/>
    </xf>
    <xf numFmtId="0" fontId="225" fillId="2" borderId="0" xfId="4" applyFont="1" applyFill="1" applyBorder="1" applyAlignment="1" applyProtection="1">
      <alignment wrapText="1"/>
      <protection hidden="1"/>
    </xf>
    <xf numFmtId="0" fontId="46" fillId="2" borderId="0" xfId="4" applyFont="1" applyFill="1" applyBorder="1" applyAlignment="1" applyProtection="1">
      <alignment horizontal="left"/>
      <protection hidden="1"/>
    </xf>
    <xf numFmtId="0" fontId="7" fillId="0" borderId="0" xfId="4" applyFill="1" applyBorder="1" applyProtection="1">
      <protection hidden="1"/>
    </xf>
    <xf numFmtId="0" fontId="53" fillId="2" borderId="0" xfId="4" applyFont="1" applyFill="1" applyBorder="1" applyProtection="1">
      <protection hidden="1"/>
    </xf>
    <xf numFmtId="39" fontId="46" fillId="2" borderId="7" xfId="4" applyNumberFormat="1" applyFont="1" applyFill="1" applyBorder="1" applyAlignment="1" applyProtection="1">
      <alignment horizontal="right"/>
      <protection hidden="1"/>
    </xf>
    <xf numFmtId="0" fontId="18" fillId="2" borderId="0" xfId="4" applyFont="1" applyFill="1" applyBorder="1" applyProtection="1">
      <protection hidden="1"/>
    </xf>
    <xf numFmtId="0" fontId="17" fillId="0" borderId="0" xfId="4" applyFont="1" applyFill="1" applyBorder="1" applyAlignment="1" applyProtection="1">
      <alignment wrapText="1"/>
      <protection hidden="1"/>
    </xf>
    <xf numFmtId="164" fontId="46" fillId="2" borderId="7" xfId="2" applyFont="1" applyFill="1" applyBorder="1" applyProtection="1">
      <protection hidden="1"/>
    </xf>
    <xf numFmtId="0" fontId="48" fillId="2" borderId="0" xfId="4" applyFont="1" applyFill="1" applyBorder="1" applyAlignment="1" applyProtection="1">
      <alignment horizontal="left"/>
      <protection hidden="1"/>
    </xf>
    <xf numFmtId="0" fontId="71" fillId="2" borderId="0" xfId="4" applyFont="1" applyFill="1" applyBorder="1" applyProtection="1">
      <protection hidden="1"/>
    </xf>
    <xf numFmtId="0" fontId="17" fillId="2" borderId="37" xfId="4" applyFont="1" applyFill="1" applyBorder="1" applyAlignment="1" applyProtection="1">
      <alignment wrapText="1"/>
      <protection hidden="1"/>
    </xf>
    <xf numFmtId="0" fontId="8" fillId="2" borderId="0" xfId="4" applyFont="1" applyFill="1" applyBorder="1" applyAlignment="1" applyProtection="1">
      <protection hidden="1"/>
    </xf>
    <xf numFmtId="1" fontId="83" fillId="11" borderId="0" xfId="4" applyNumberFormat="1" applyFont="1" applyFill="1" applyProtection="1">
      <protection hidden="1"/>
    </xf>
    <xf numFmtId="0" fontId="230" fillId="17" borderId="0" xfId="4" applyFont="1" applyFill="1" applyAlignment="1" applyProtection="1">
      <alignment horizontal="left"/>
      <protection hidden="1"/>
    </xf>
    <xf numFmtId="0" fontId="69" fillId="2" borderId="0" xfId="4" applyFont="1" applyFill="1" applyBorder="1" applyAlignment="1" applyProtection="1">
      <alignment vertical="center" wrapText="1"/>
      <protection hidden="1"/>
    </xf>
    <xf numFmtId="0" fontId="48" fillId="2" borderId="0" xfId="4" applyFont="1" applyFill="1" applyBorder="1" applyAlignment="1" applyProtection="1">
      <protection hidden="1"/>
    </xf>
    <xf numFmtId="0" fontId="46" fillId="0" borderId="0" xfId="4" applyFont="1" applyBorder="1"/>
    <xf numFmtId="0" fontId="46" fillId="2" borderId="0" xfId="4" applyFont="1" applyFill="1" applyAlignment="1" applyProtection="1">
      <protection hidden="1"/>
    </xf>
    <xf numFmtId="0" fontId="117" fillId="2" borderId="0" xfId="4" quotePrefix="1" applyFont="1" applyFill="1" applyAlignment="1" applyProtection="1">
      <alignment horizontal="center"/>
      <protection hidden="1"/>
    </xf>
    <xf numFmtId="0" fontId="48" fillId="0" borderId="0" xfId="4" applyFont="1" applyBorder="1"/>
    <xf numFmtId="0" fontId="46" fillId="2" borderId="57" xfId="4" applyFont="1" applyFill="1" applyBorder="1" applyAlignment="1" applyProtection="1">
      <alignment horizontal="left" vertical="center" wrapText="1"/>
      <protection hidden="1"/>
    </xf>
    <xf numFmtId="0" fontId="71" fillId="0" borderId="0" xfId="4" applyFont="1" applyBorder="1"/>
    <xf numFmtId="0" fontId="83" fillId="17" borderId="0" xfId="4" applyFont="1" applyFill="1" applyAlignment="1" applyProtection="1">
      <alignment horizontal="left"/>
      <protection hidden="1"/>
    </xf>
    <xf numFmtId="0" fontId="47" fillId="2" borderId="0" xfId="4" applyFont="1" applyFill="1" applyProtection="1">
      <protection hidden="1"/>
    </xf>
    <xf numFmtId="0" fontId="47" fillId="0" borderId="0" xfId="4" applyFont="1" applyBorder="1"/>
    <xf numFmtId="0" fontId="71" fillId="2" borderId="0" xfId="4" applyFont="1" applyFill="1" applyProtection="1">
      <protection hidden="1"/>
    </xf>
    <xf numFmtId="0" fontId="46" fillId="2" borderId="0" xfId="4" applyFont="1" applyFill="1" applyBorder="1"/>
    <xf numFmtId="0" fontId="112" fillId="16" borderId="0" xfId="4" applyFont="1" applyFill="1" applyBorder="1" applyAlignment="1" applyProtection="1">
      <protection hidden="1"/>
    </xf>
    <xf numFmtId="0" fontId="83" fillId="16" borderId="0" xfId="4" applyFont="1" applyFill="1" applyBorder="1" applyProtection="1">
      <protection hidden="1"/>
    </xf>
    <xf numFmtId="0" fontId="83" fillId="16" borderId="57" xfId="4" applyFont="1" applyFill="1" applyBorder="1" applyProtection="1">
      <protection hidden="1"/>
    </xf>
    <xf numFmtId="0" fontId="164" fillId="2" borderId="0" xfId="4" applyFont="1" applyFill="1" applyBorder="1" applyAlignment="1" applyProtection="1">
      <alignment vertical="center"/>
      <protection hidden="1"/>
    </xf>
    <xf numFmtId="0" fontId="118" fillId="11" borderId="0" xfId="4" applyFont="1" applyFill="1" applyBorder="1" applyAlignment="1" applyProtection="1">
      <alignment horizontal="left"/>
      <protection hidden="1"/>
    </xf>
    <xf numFmtId="171" fontId="48" fillId="2" borderId="0" xfId="4" applyNumberFormat="1" applyFont="1" applyFill="1" applyBorder="1" applyAlignment="1" applyProtection="1">
      <alignment horizontal="left"/>
      <protection hidden="1"/>
    </xf>
    <xf numFmtId="0" fontId="116" fillId="2" borderId="0" xfId="4" applyFont="1" applyFill="1" applyBorder="1" applyAlignment="1" applyProtection="1">
      <alignment horizontal="left" vertical="center"/>
      <protection hidden="1"/>
    </xf>
    <xf numFmtId="2" fontId="56" fillId="2" borderId="0" xfId="4" applyNumberFormat="1" applyFont="1" applyFill="1" applyBorder="1" applyAlignment="1" applyProtection="1">
      <alignment horizontal="left" vertical="center" wrapText="1"/>
      <protection hidden="1"/>
    </xf>
    <xf numFmtId="0" fontId="56" fillId="2" borderId="0" xfId="4" applyFont="1" applyFill="1" applyBorder="1" applyAlignment="1" applyProtection="1">
      <alignment horizontal="left" vertical="top" wrapText="1"/>
      <protection hidden="1"/>
    </xf>
    <xf numFmtId="0" fontId="114" fillId="2" borderId="0" xfId="4" applyFont="1" applyFill="1" applyBorder="1" applyAlignment="1" applyProtection="1">
      <alignment vertical="center"/>
      <protection hidden="1"/>
    </xf>
    <xf numFmtId="0" fontId="47" fillId="2" borderId="0" xfId="4" applyFont="1" applyFill="1" applyBorder="1" applyAlignment="1" applyProtection="1">
      <alignment vertical="top"/>
      <protection hidden="1"/>
    </xf>
    <xf numFmtId="0" fontId="60" fillId="2" borderId="0" xfId="4" applyFont="1" applyFill="1" applyBorder="1" applyAlignment="1" applyProtection="1">
      <alignment vertical="top" wrapText="1"/>
      <protection hidden="1"/>
    </xf>
    <xf numFmtId="0" fontId="60" fillId="2" borderId="0" xfId="4" applyFont="1" applyFill="1" applyBorder="1" applyAlignment="1" applyProtection="1">
      <alignment vertical="top"/>
      <protection hidden="1"/>
    </xf>
    <xf numFmtId="0" fontId="20" fillId="2" borderId="0" xfId="4" applyFont="1" applyFill="1" applyBorder="1" applyAlignment="1" applyProtection="1">
      <alignment vertical="top" wrapText="1"/>
      <protection hidden="1"/>
    </xf>
    <xf numFmtId="0" fontId="7" fillId="2" borderId="0" xfId="4" applyFill="1" applyBorder="1" applyAlignment="1" applyProtection="1">
      <alignment vertical="top" wrapText="1"/>
      <protection hidden="1"/>
    </xf>
    <xf numFmtId="164" fontId="13" fillId="0" borderId="5" xfId="2" applyFont="1" applyFill="1" applyBorder="1" applyProtection="1">
      <protection hidden="1"/>
    </xf>
    <xf numFmtId="0" fontId="10" fillId="2" borderId="0" xfId="4" applyFont="1" applyFill="1" applyBorder="1" applyAlignment="1" applyProtection="1">
      <alignment vertical="top" wrapText="1"/>
      <protection hidden="1"/>
    </xf>
    <xf numFmtId="0" fontId="119" fillId="11" borderId="0" xfId="4" applyFont="1" applyFill="1" applyProtection="1">
      <protection hidden="1"/>
    </xf>
    <xf numFmtId="0" fontId="87" fillId="11" borderId="0" xfId="4" applyFont="1" applyFill="1" applyProtection="1">
      <protection hidden="1"/>
    </xf>
    <xf numFmtId="0" fontId="120" fillId="11" borderId="0" xfId="4" applyFont="1" applyFill="1" applyProtection="1">
      <protection hidden="1"/>
    </xf>
    <xf numFmtId="0" fontId="71" fillId="2" borderId="0" xfId="4" applyFont="1" applyFill="1" applyAlignment="1">
      <alignment vertical="top" wrapText="1"/>
    </xf>
    <xf numFmtId="0" fontId="7" fillId="11" borderId="58" xfId="4" applyFill="1" applyBorder="1" applyProtection="1">
      <protection hidden="1"/>
    </xf>
    <xf numFmtId="0" fontId="83" fillId="11" borderId="0" xfId="4" applyFont="1" applyFill="1" applyBorder="1" applyProtection="1">
      <protection hidden="1"/>
    </xf>
    <xf numFmtId="0" fontId="7" fillId="2" borderId="1" xfId="4" applyFill="1" applyBorder="1" applyProtection="1">
      <protection hidden="1"/>
    </xf>
    <xf numFmtId="0" fontId="7" fillId="2" borderId="2" xfId="4" applyFont="1" applyFill="1" applyBorder="1" applyProtection="1">
      <protection hidden="1"/>
    </xf>
    <xf numFmtId="0" fontId="7" fillId="2" borderId="46" xfId="4" applyFont="1" applyFill="1" applyBorder="1" applyProtection="1">
      <protection hidden="1"/>
    </xf>
    <xf numFmtId="0" fontId="153" fillId="2" borderId="167" xfId="4" applyFont="1" applyFill="1" applyBorder="1" applyAlignment="1" applyProtection="1">
      <alignment horizontal="center" vertical="center"/>
      <protection hidden="1"/>
    </xf>
    <xf numFmtId="0" fontId="18" fillId="11" borderId="0" xfId="4" applyFont="1" applyFill="1" applyProtection="1">
      <protection hidden="1"/>
    </xf>
    <xf numFmtId="0" fontId="7" fillId="11" borderId="3" xfId="4" applyFill="1" applyBorder="1" applyProtection="1">
      <protection hidden="1"/>
    </xf>
    <xf numFmtId="0" fontId="84" fillId="11" borderId="5" xfId="4" applyFont="1" applyFill="1" applyBorder="1" applyAlignment="1" applyProtection="1">
      <alignment horizontal="center"/>
      <protection hidden="1"/>
    </xf>
    <xf numFmtId="0" fontId="7" fillId="2" borderId="4" xfId="4" applyFill="1" applyBorder="1" applyProtection="1">
      <protection hidden="1"/>
    </xf>
    <xf numFmtId="0" fontId="47" fillId="2" borderId="0" xfId="4" applyFont="1" applyFill="1" applyBorder="1" applyAlignment="1" applyProtection="1">
      <protection hidden="1"/>
    </xf>
    <xf numFmtId="0" fontId="42" fillId="2" borderId="0" xfId="4" applyFont="1" applyFill="1" applyBorder="1" applyAlignment="1" applyProtection="1">
      <protection hidden="1"/>
    </xf>
    <xf numFmtId="0" fontId="133" fillId="2" borderId="0" xfId="4" applyFont="1" applyFill="1" applyBorder="1" applyAlignment="1" applyProtection="1">
      <alignment horizontal="center"/>
      <protection hidden="1"/>
    </xf>
    <xf numFmtId="0" fontId="72" fillId="2" borderId="0" xfId="4" applyFont="1" applyFill="1" applyBorder="1" applyAlignment="1" applyProtection="1">
      <alignment horizontal="left"/>
      <protection hidden="1"/>
    </xf>
    <xf numFmtId="0" fontId="47" fillId="2" borderId="0" xfId="4" applyFont="1" applyFill="1" applyBorder="1" applyAlignment="1" applyProtection="1">
      <alignment horizontal="right"/>
      <protection hidden="1"/>
    </xf>
    <xf numFmtId="0" fontId="84" fillId="11" borderId="0" xfId="4" applyFont="1" applyFill="1" applyBorder="1" applyAlignment="1" applyProtection="1">
      <alignment horizontal="left"/>
      <protection hidden="1"/>
    </xf>
    <xf numFmtId="0" fontId="174" fillId="11" borderId="0" xfId="4" applyFont="1" applyFill="1" applyAlignment="1" applyProtection="1">
      <alignment horizontal="left"/>
      <protection hidden="1"/>
    </xf>
    <xf numFmtId="165" fontId="84" fillId="11" borderId="0" xfId="2" applyNumberFormat="1" applyFont="1" applyFill="1" applyAlignment="1" applyProtection="1">
      <alignment horizontal="center"/>
      <protection hidden="1"/>
    </xf>
    <xf numFmtId="0" fontId="84" fillId="11" borderId="0" xfId="4" applyFont="1" applyFill="1" applyBorder="1" applyAlignment="1" applyProtection="1">
      <alignment horizontal="center"/>
      <protection hidden="1"/>
    </xf>
    <xf numFmtId="0" fontId="18" fillId="2" borderId="4" xfId="4" applyFont="1" applyFill="1" applyBorder="1" applyProtection="1">
      <protection hidden="1"/>
    </xf>
    <xf numFmtId="0" fontId="129" fillId="15" borderId="45" xfId="4" applyFont="1" applyFill="1" applyBorder="1" applyAlignment="1" applyProtection="1">
      <alignment vertical="center"/>
      <protection hidden="1"/>
    </xf>
    <xf numFmtId="0" fontId="67" fillId="2" borderId="0" xfId="4" applyFont="1" applyFill="1" applyBorder="1" applyAlignment="1" applyProtection="1">
      <alignment horizontal="left"/>
      <protection hidden="1"/>
    </xf>
    <xf numFmtId="176" fontId="207" fillId="11" borderId="0" xfId="4" applyNumberFormat="1" applyFont="1" applyFill="1" applyBorder="1" applyAlignment="1" applyProtection="1">
      <alignment horizontal="left"/>
      <protection hidden="1"/>
    </xf>
    <xf numFmtId="0" fontId="198" fillId="11" borderId="0" xfId="4" applyFont="1" applyFill="1" applyProtection="1">
      <protection hidden="1"/>
    </xf>
    <xf numFmtId="0" fontId="117" fillId="2" borderId="0" xfId="4" applyFont="1" applyFill="1" applyAlignment="1" applyProtection="1">
      <alignment horizontal="right"/>
      <protection hidden="1"/>
    </xf>
    <xf numFmtId="0" fontId="152" fillId="3" borderId="45" xfId="4" applyFont="1" applyFill="1" applyBorder="1" applyAlignment="1" applyProtection="1">
      <alignment horizontal="center"/>
      <protection hidden="1"/>
    </xf>
    <xf numFmtId="0" fontId="129" fillId="3" borderId="45" xfId="4" applyFont="1" applyFill="1" applyBorder="1" applyAlignment="1" applyProtection="1">
      <alignment horizontal="center"/>
      <protection hidden="1"/>
    </xf>
    <xf numFmtId="0" fontId="129" fillId="2" borderId="0" xfId="4" applyFont="1" applyFill="1" applyBorder="1" applyAlignment="1" applyProtection="1">
      <alignment horizontal="center"/>
      <protection hidden="1"/>
    </xf>
    <xf numFmtId="176" fontId="197" fillId="11" borderId="0" xfId="4" applyNumberFormat="1" applyFont="1" applyFill="1" applyBorder="1" applyAlignment="1" applyProtection="1">
      <alignment horizontal="left"/>
      <protection hidden="1"/>
    </xf>
    <xf numFmtId="0" fontId="205" fillId="11" borderId="0" xfId="4" applyFont="1" applyFill="1" applyAlignment="1" applyProtection="1">
      <alignment horizontal="left"/>
      <protection hidden="1"/>
    </xf>
    <xf numFmtId="0" fontId="145" fillId="2" borderId="0" xfId="4" applyFont="1" applyFill="1" applyBorder="1" applyAlignment="1" applyProtection="1">
      <alignment horizontal="left"/>
      <protection hidden="1"/>
    </xf>
    <xf numFmtId="0" fontId="117" fillId="2" borderId="0" xfId="4" applyFont="1" applyFill="1" applyBorder="1" applyAlignment="1" applyProtection="1">
      <alignment horizontal="right"/>
      <protection hidden="1"/>
    </xf>
    <xf numFmtId="0" fontId="129" fillId="3" borderId="96" xfId="4" applyFont="1" applyFill="1" applyBorder="1" applyAlignment="1" applyProtection="1">
      <alignment horizontal="center"/>
      <protection hidden="1"/>
    </xf>
    <xf numFmtId="0" fontId="45" fillId="3" borderId="97" xfId="4" applyFont="1" applyFill="1" applyBorder="1" applyAlignment="1" applyProtection="1">
      <alignment horizontal="center" vertical="center" wrapText="1"/>
      <protection hidden="1"/>
    </xf>
    <xf numFmtId="164" fontId="198" fillId="11" borderId="0" xfId="2" applyFont="1" applyFill="1" applyProtection="1">
      <protection hidden="1"/>
    </xf>
    <xf numFmtId="0" fontId="24" fillId="11" borderId="0" xfId="4" applyFont="1" applyFill="1" applyBorder="1" applyProtection="1">
      <protection hidden="1"/>
    </xf>
    <xf numFmtId="0" fontId="47" fillId="2" borderId="0" xfId="4" applyFont="1" applyFill="1" applyBorder="1" applyAlignment="1" applyProtection="1">
      <alignment vertical="center"/>
      <protection hidden="1"/>
    </xf>
    <xf numFmtId="0" fontId="167" fillId="2" borderId="0" xfId="4" applyFont="1" applyFill="1" applyBorder="1" applyAlignment="1" applyProtection="1">
      <alignment vertical="center"/>
      <protection hidden="1"/>
    </xf>
    <xf numFmtId="0" fontId="129" fillId="13" borderId="101" xfId="4" applyFont="1" applyFill="1" applyBorder="1" applyAlignment="1" applyProtection="1">
      <alignment horizontal="center" vertical="center"/>
      <protection hidden="1"/>
    </xf>
    <xf numFmtId="0" fontId="106" fillId="3" borderId="67" xfId="4" applyFont="1" applyFill="1" applyBorder="1" applyAlignment="1" applyProtection="1">
      <alignment horizontal="center"/>
      <protection hidden="1"/>
    </xf>
    <xf numFmtId="0" fontId="206" fillId="11" borderId="0" xfId="4" applyFont="1" applyFill="1" applyBorder="1" applyAlignment="1" applyProtection="1">
      <alignment horizontal="center"/>
      <protection hidden="1"/>
    </xf>
    <xf numFmtId="0" fontId="84" fillId="11" borderId="0" xfId="4" applyFont="1" applyFill="1" applyAlignment="1" applyProtection="1">
      <alignment horizontal="right"/>
      <protection hidden="1"/>
    </xf>
    <xf numFmtId="0" fontId="83" fillId="11" borderId="0" xfId="4" applyFont="1" applyFill="1" applyAlignment="1" applyProtection="1">
      <alignment horizontal="right"/>
      <protection hidden="1"/>
    </xf>
    <xf numFmtId="2" fontId="172" fillId="3" borderId="84" xfId="4" applyNumberFormat="1" applyFont="1" applyFill="1" applyBorder="1" applyAlignment="1" applyProtection="1">
      <alignment horizontal="center"/>
      <protection hidden="1"/>
    </xf>
    <xf numFmtId="2" fontId="181" fillId="11" borderId="0" xfId="4" applyNumberFormat="1" applyFont="1" applyFill="1" applyBorder="1" applyAlignment="1" applyProtection="1">
      <alignment horizontal="center"/>
      <protection hidden="1"/>
    </xf>
    <xf numFmtId="165" fontId="83" fillId="11" borderId="0" xfId="2" applyNumberFormat="1" applyFont="1" applyFill="1" applyProtection="1">
      <protection hidden="1"/>
    </xf>
    <xf numFmtId="0" fontId="7" fillId="11" borderId="0" xfId="4" applyFill="1" applyBorder="1" applyProtection="1">
      <protection hidden="1"/>
    </xf>
    <xf numFmtId="0" fontId="168" fillId="2" borderId="0" xfId="4" applyFont="1" applyFill="1" applyBorder="1" applyAlignment="1" applyProtection="1">
      <alignment vertical="center"/>
      <protection hidden="1"/>
    </xf>
    <xf numFmtId="0" fontId="169" fillId="2" borderId="0" xfId="4" applyFont="1" applyFill="1" applyBorder="1" applyAlignment="1" applyProtection="1">
      <alignment horizontal="left"/>
      <protection hidden="1"/>
    </xf>
    <xf numFmtId="10" fontId="153" fillId="2" borderId="0" xfId="4" applyNumberFormat="1" applyFont="1" applyFill="1" applyBorder="1" applyAlignment="1" applyProtection="1">
      <alignment horizontal="right"/>
      <protection hidden="1"/>
    </xf>
    <xf numFmtId="0" fontId="182" fillId="2" borderId="78" xfId="4" applyFont="1" applyFill="1" applyBorder="1" applyAlignment="1" applyProtection="1">
      <protection hidden="1"/>
    </xf>
    <xf numFmtId="0" fontId="88" fillId="11" borderId="0" xfId="4" applyFont="1" applyFill="1" applyBorder="1" applyProtection="1">
      <protection hidden="1"/>
    </xf>
    <xf numFmtId="172" fontId="84" fillId="11" borderId="0" xfId="4" applyNumberFormat="1" applyFont="1" applyFill="1" applyAlignment="1" applyProtection="1">
      <alignment horizontal="left"/>
      <protection hidden="1"/>
    </xf>
    <xf numFmtId="0" fontId="47" fillId="2" borderId="59" xfId="4" applyFont="1" applyFill="1" applyBorder="1" applyAlignment="1" applyProtection="1">
      <alignment horizontal="left"/>
      <protection hidden="1"/>
    </xf>
    <xf numFmtId="0" fontId="47" fillId="2" borderId="0" xfId="4" applyFont="1" applyFill="1" applyBorder="1" applyAlignment="1" applyProtection="1">
      <alignment horizontal="left" vertical="center"/>
      <protection hidden="1"/>
    </xf>
    <xf numFmtId="0" fontId="117" fillId="2" borderId="0" xfId="4" applyFont="1" applyFill="1" applyBorder="1" applyProtection="1">
      <protection hidden="1"/>
    </xf>
    <xf numFmtId="172" fontId="174" fillId="11" borderId="0" xfId="4" applyNumberFormat="1" applyFont="1" applyFill="1" applyBorder="1" applyAlignment="1" applyProtection="1">
      <alignment vertical="top" wrapText="1"/>
      <protection hidden="1"/>
    </xf>
    <xf numFmtId="0" fontId="43" fillId="2" borderId="0" xfId="4" applyFont="1" applyFill="1" applyBorder="1" applyAlignment="1" applyProtection="1">
      <alignment vertical="center"/>
      <protection hidden="1"/>
    </xf>
    <xf numFmtId="0" fontId="67" fillId="2" borderId="5" xfId="4" applyFont="1" applyFill="1" applyBorder="1" applyAlignment="1" applyProtection="1">
      <alignment horizontal="left"/>
      <protection hidden="1"/>
    </xf>
    <xf numFmtId="0" fontId="110" fillId="11" borderId="0" xfId="4" applyFont="1" applyFill="1" applyBorder="1" applyAlignment="1" applyProtection="1">
      <alignment horizontal="left"/>
      <protection hidden="1"/>
    </xf>
    <xf numFmtId="169" fontId="84" fillId="11" borderId="0" xfId="4" applyNumberFormat="1" applyFont="1" applyFill="1" applyAlignment="1" applyProtection="1">
      <alignment horizontal="left"/>
      <protection hidden="1"/>
    </xf>
    <xf numFmtId="0" fontId="219" fillId="16" borderId="78" xfId="4" applyFont="1" applyFill="1" applyBorder="1" applyAlignment="1" applyProtection="1">
      <alignment horizontal="center" vertical="center"/>
      <protection hidden="1"/>
    </xf>
    <xf numFmtId="0" fontId="84" fillId="11" borderId="0" xfId="4" applyFont="1" applyFill="1" applyProtection="1">
      <protection hidden="1"/>
    </xf>
    <xf numFmtId="0" fontId="45" fillId="16" borderId="62" xfId="2" applyNumberFormat="1" applyFont="1" applyFill="1" applyBorder="1" applyAlignment="1" applyProtection="1">
      <alignment horizontal="left"/>
      <protection hidden="1"/>
    </xf>
    <xf numFmtId="0" fontId="61" fillId="9" borderId="94" xfId="4" applyFont="1" applyFill="1" applyBorder="1" applyAlignment="1" applyProtection="1">
      <alignment horizontal="center"/>
      <protection hidden="1"/>
    </xf>
    <xf numFmtId="0" fontId="47" fillId="2" borderId="78" xfId="4" applyFont="1" applyFill="1" applyBorder="1" applyAlignment="1" applyProtection="1">
      <alignment horizontal="left"/>
      <protection hidden="1"/>
    </xf>
    <xf numFmtId="0" fontId="45" fillId="16" borderId="98" xfId="4" applyFont="1" applyFill="1" applyBorder="1" applyAlignment="1" applyProtection="1">
      <alignment horizontal="center"/>
      <protection hidden="1"/>
    </xf>
    <xf numFmtId="0" fontId="83" fillId="11" borderId="0" xfId="4" applyFont="1" applyFill="1" applyAlignment="1" applyProtection="1">
      <protection hidden="1"/>
    </xf>
    <xf numFmtId="0" fontId="83" fillId="11" borderId="0" xfId="4" applyFont="1" applyFill="1" applyAlignment="1" applyProtection="1">
      <alignment horizontal="center"/>
      <protection hidden="1"/>
    </xf>
    <xf numFmtId="164" fontId="114" fillId="2" borderId="76" xfId="2" applyFont="1" applyFill="1" applyBorder="1" applyAlignment="1" applyProtection="1">
      <alignment horizontal="center"/>
      <protection hidden="1"/>
    </xf>
    <xf numFmtId="0" fontId="200" fillId="2" borderId="76" xfId="4" applyFont="1" applyFill="1" applyBorder="1" applyAlignment="1" applyProtection="1">
      <alignment vertical="center"/>
      <protection hidden="1"/>
    </xf>
    <xf numFmtId="0" fontId="7" fillId="2" borderId="76" xfId="4" applyFont="1" applyFill="1" applyBorder="1" applyProtection="1">
      <protection hidden="1"/>
    </xf>
    <xf numFmtId="0" fontId="190" fillId="2" borderId="102" xfId="4" applyFont="1" applyFill="1" applyBorder="1" applyAlignment="1" applyProtection="1">
      <alignment horizontal="left" vertical="center"/>
      <protection hidden="1"/>
    </xf>
    <xf numFmtId="0" fontId="110" fillId="11" borderId="0" xfId="4" applyFont="1" applyFill="1" applyBorder="1" applyProtection="1">
      <protection hidden="1"/>
    </xf>
    <xf numFmtId="4" fontId="87" fillId="11" borderId="0" xfId="4" applyNumberFormat="1" applyFont="1" applyFill="1" applyProtection="1">
      <protection hidden="1"/>
    </xf>
    <xf numFmtId="1" fontId="83" fillId="11" borderId="0" xfId="2" applyNumberFormat="1" applyFont="1" applyFill="1" applyProtection="1">
      <protection hidden="1"/>
    </xf>
    <xf numFmtId="0" fontId="7" fillId="2" borderId="77" xfId="4" applyFill="1" applyBorder="1" applyProtection="1">
      <protection hidden="1"/>
    </xf>
    <xf numFmtId="0" fontId="108" fillId="11" borderId="0" xfId="4" applyFont="1" applyFill="1" applyBorder="1" applyAlignment="1" applyProtection="1">
      <alignment horizontal="right"/>
      <protection hidden="1"/>
    </xf>
    <xf numFmtId="0" fontId="171" fillId="2" borderId="0" xfId="4" applyFont="1" applyFill="1" applyBorder="1" applyProtection="1">
      <protection hidden="1"/>
    </xf>
    <xf numFmtId="164" fontId="47" fillId="2" borderId="0" xfId="2" applyFont="1" applyFill="1" applyBorder="1" applyAlignment="1" applyProtection="1">
      <alignment horizontal="center"/>
      <protection hidden="1"/>
    </xf>
    <xf numFmtId="164" fontId="47" fillId="13" borderId="62" xfId="2" applyFont="1" applyFill="1" applyBorder="1" applyAlignment="1" applyProtection="1">
      <alignment horizontal="center"/>
      <protection hidden="1"/>
    </xf>
    <xf numFmtId="0" fontId="16" fillId="2" borderId="5" xfId="4" applyFont="1" applyFill="1" applyBorder="1" applyAlignment="1" applyProtection="1">
      <alignment horizontal="right"/>
      <protection hidden="1"/>
    </xf>
    <xf numFmtId="0" fontId="45" fillId="2" borderId="0" xfId="4" applyFont="1" applyFill="1" applyBorder="1" applyProtection="1">
      <protection hidden="1"/>
    </xf>
    <xf numFmtId="0" fontId="23" fillId="2" borderId="0" xfId="4" applyFont="1" applyFill="1" applyBorder="1" applyProtection="1">
      <protection hidden="1"/>
    </xf>
    <xf numFmtId="0" fontId="127" fillId="2" borderId="0" xfId="4" applyFont="1" applyFill="1" applyBorder="1" applyProtection="1">
      <protection hidden="1"/>
    </xf>
    <xf numFmtId="0" fontId="9" fillId="2" borderId="0" xfId="4" applyFont="1" applyFill="1" applyBorder="1" applyProtection="1">
      <protection hidden="1"/>
    </xf>
    <xf numFmtId="0" fontId="80" fillId="2" borderId="0" xfId="4" applyFont="1" applyFill="1" applyBorder="1" applyAlignment="1" applyProtection="1">
      <alignment horizontal="center"/>
      <protection hidden="1"/>
    </xf>
    <xf numFmtId="164" fontId="45" fillId="2" borderId="5" xfId="4" applyNumberFormat="1" applyFont="1" applyFill="1" applyBorder="1" applyAlignment="1" applyProtection="1">
      <alignment horizontal="right"/>
      <protection hidden="1"/>
    </xf>
    <xf numFmtId="164" fontId="102" fillId="11" borderId="0" xfId="4" applyNumberFormat="1" applyFont="1" applyFill="1" applyBorder="1" applyProtection="1">
      <protection hidden="1"/>
    </xf>
    <xf numFmtId="10" fontId="84" fillId="11" borderId="0" xfId="6" applyNumberFormat="1" applyFont="1" applyFill="1" applyProtection="1">
      <protection hidden="1"/>
    </xf>
    <xf numFmtId="0" fontId="84" fillId="17" borderId="0" xfId="4" applyFont="1" applyFill="1" applyProtection="1">
      <protection hidden="1"/>
    </xf>
    <xf numFmtId="0" fontId="83" fillId="17" borderId="0" xfId="4" applyFont="1" applyFill="1" applyAlignment="1" applyProtection="1">
      <protection hidden="1"/>
    </xf>
    <xf numFmtId="165" fontId="83" fillId="17" borderId="0" xfId="2" applyNumberFormat="1" applyFont="1" applyFill="1" applyProtection="1">
      <protection hidden="1"/>
    </xf>
    <xf numFmtId="0" fontId="134" fillId="2" borderId="4" xfId="4" applyFont="1" applyFill="1" applyBorder="1" applyAlignment="1" applyProtection="1">
      <alignment horizontal="center"/>
      <protection hidden="1"/>
    </xf>
    <xf numFmtId="0" fontId="141" fillId="2" borderId="61" xfId="4" applyFont="1" applyFill="1" applyBorder="1" applyAlignment="1" applyProtection="1">
      <alignment vertical="center" wrapText="1"/>
      <protection hidden="1"/>
    </xf>
    <xf numFmtId="173" fontId="65" fillId="16" borderId="62" xfId="4" applyNumberFormat="1" applyFont="1" applyFill="1" applyBorder="1" applyProtection="1">
      <protection hidden="1"/>
    </xf>
    <xf numFmtId="164" fontId="71" fillId="2" borderId="5" xfId="4" applyNumberFormat="1" applyFont="1" applyFill="1" applyBorder="1" applyAlignment="1" applyProtection="1">
      <alignment horizontal="right"/>
      <protection hidden="1"/>
    </xf>
    <xf numFmtId="0" fontId="4" fillId="9" borderId="75" xfId="4" applyFont="1" applyFill="1" applyBorder="1" applyAlignment="1" applyProtection="1">
      <alignment horizontal="center" shrinkToFit="1"/>
      <protection hidden="1"/>
    </xf>
    <xf numFmtId="0" fontId="84" fillId="11" borderId="75" xfId="4" applyFont="1" applyFill="1" applyBorder="1" applyAlignment="1" applyProtection="1">
      <alignment horizontal="center"/>
      <protection hidden="1"/>
    </xf>
    <xf numFmtId="0" fontId="76" fillId="2" borderId="0" xfId="4" applyFont="1" applyFill="1" applyBorder="1" applyAlignment="1" applyProtection="1">
      <alignment horizontal="left"/>
      <protection hidden="1"/>
    </xf>
    <xf numFmtId="164" fontId="18" fillId="2" borderId="0" xfId="2" applyFont="1" applyFill="1" applyBorder="1" applyProtection="1">
      <protection hidden="1"/>
    </xf>
    <xf numFmtId="164" fontId="46" fillId="2" borderId="5" xfId="4" applyNumberFormat="1" applyFont="1" applyFill="1" applyBorder="1" applyProtection="1">
      <protection hidden="1"/>
    </xf>
    <xf numFmtId="9" fontId="84" fillId="11" borderId="0" xfId="4" applyNumberFormat="1" applyFont="1" applyFill="1" applyProtection="1">
      <protection hidden="1"/>
    </xf>
    <xf numFmtId="9" fontId="84" fillId="17" borderId="0" xfId="4" applyNumberFormat="1" applyFont="1" applyFill="1" applyProtection="1">
      <protection hidden="1"/>
    </xf>
    <xf numFmtId="0" fontId="7" fillId="3" borderId="3" xfId="4" applyFill="1" applyBorder="1" applyProtection="1">
      <protection hidden="1"/>
    </xf>
    <xf numFmtId="168" fontId="61" fillId="9" borderId="62" xfId="2" applyNumberFormat="1" applyFont="1" applyFill="1" applyBorder="1" applyProtection="1">
      <protection hidden="1"/>
    </xf>
    <xf numFmtId="168" fontId="128" fillId="2" borderId="59" xfId="2" applyNumberFormat="1" applyFont="1" applyFill="1" applyBorder="1" applyProtection="1">
      <protection hidden="1"/>
    </xf>
    <xf numFmtId="168" fontId="128" fillId="2" borderId="0" xfId="2" applyNumberFormat="1" applyFont="1" applyFill="1" applyBorder="1" applyProtection="1">
      <protection hidden="1"/>
    </xf>
    <xf numFmtId="3" fontId="151" fillId="2" borderId="0" xfId="4" applyNumberFormat="1" applyFont="1" applyFill="1" applyBorder="1" applyProtection="1">
      <protection hidden="1"/>
    </xf>
    <xf numFmtId="40" fontId="46" fillId="2" borderId="5" xfId="2" applyNumberFormat="1" applyFont="1" applyFill="1" applyBorder="1" applyProtection="1">
      <protection hidden="1"/>
    </xf>
    <xf numFmtId="164" fontId="107" fillId="11" borderId="0" xfId="4" applyNumberFormat="1" applyFont="1" applyFill="1" applyProtection="1">
      <protection hidden="1"/>
    </xf>
    <xf numFmtId="1" fontId="84" fillId="11" borderId="0" xfId="4" applyNumberFormat="1" applyFont="1" applyFill="1" applyBorder="1" applyAlignment="1" applyProtection="1">
      <alignment horizontal="center"/>
      <protection hidden="1"/>
    </xf>
    <xf numFmtId="164" fontId="83" fillId="17" borderId="0" xfId="2" applyFont="1" applyFill="1" applyAlignment="1" applyProtection="1">
      <alignment horizontal="center"/>
      <protection hidden="1"/>
    </xf>
    <xf numFmtId="4" fontId="83" fillId="17" borderId="0" xfId="4" applyNumberFormat="1" applyFont="1" applyFill="1" applyProtection="1">
      <protection hidden="1"/>
    </xf>
    <xf numFmtId="2" fontId="208" fillId="16" borderId="62" xfId="4" applyNumberFormat="1" applyFont="1" applyFill="1" applyBorder="1" applyProtection="1">
      <protection hidden="1"/>
    </xf>
    <xf numFmtId="40" fontId="46" fillId="2" borderId="5" xfId="4" applyNumberFormat="1" applyFont="1" applyFill="1" applyBorder="1" applyProtection="1">
      <protection hidden="1"/>
    </xf>
    <xf numFmtId="0" fontId="84" fillId="11" borderId="61" xfId="4" applyFont="1" applyFill="1" applyBorder="1" applyAlignment="1" applyProtection="1">
      <alignment horizontal="center"/>
      <protection hidden="1"/>
    </xf>
    <xf numFmtId="0" fontId="107" fillId="11" borderId="0" xfId="4" applyNumberFormat="1" applyFont="1" applyFill="1" applyProtection="1">
      <protection hidden="1"/>
    </xf>
    <xf numFmtId="2" fontId="197" fillId="11" borderId="0" xfId="4" applyNumberFormat="1" applyFont="1" applyFill="1" applyBorder="1" applyAlignment="1" applyProtection="1">
      <alignment horizontal="center"/>
      <protection hidden="1"/>
    </xf>
    <xf numFmtId="0" fontId="197" fillId="11" borderId="0" xfId="4" applyFont="1" applyFill="1" applyProtection="1">
      <protection hidden="1"/>
    </xf>
    <xf numFmtId="0" fontId="197" fillId="17" borderId="0" xfId="4" applyFont="1" applyFill="1" applyProtection="1">
      <protection hidden="1"/>
    </xf>
    <xf numFmtId="0" fontId="198" fillId="17" borderId="0" xfId="4" applyFont="1" applyFill="1" applyProtection="1">
      <protection hidden="1"/>
    </xf>
    <xf numFmtId="0" fontId="148" fillId="2" borderId="4" xfId="4" applyFont="1" applyFill="1" applyBorder="1" applyProtection="1">
      <protection hidden="1"/>
    </xf>
    <xf numFmtId="0" fontId="25" fillId="2" borderId="0" xfId="4" applyFont="1" applyFill="1" applyBorder="1" applyProtection="1">
      <protection hidden="1"/>
    </xf>
    <xf numFmtId="167" fontId="47" fillId="2" borderId="0" xfId="4" applyNumberFormat="1" applyFont="1" applyFill="1" applyBorder="1" applyAlignment="1" applyProtection="1">
      <alignment horizontal="right"/>
      <protection hidden="1"/>
    </xf>
    <xf numFmtId="0" fontId="153" fillId="2" borderId="0" xfId="4" applyFont="1" applyFill="1" applyBorder="1" applyAlignment="1" applyProtection="1">
      <alignment horizontal="right"/>
      <protection hidden="1"/>
    </xf>
    <xf numFmtId="0" fontId="153" fillId="2" borderId="0" xfId="4" applyFont="1" applyFill="1" applyBorder="1" applyAlignment="1" applyProtection="1">
      <alignment horizontal="center"/>
      <protection hidden="1"/>
    </xf>
    <xf numFmtId="0" fontId="135" fillId="2" borderId="0" xfId="4" applyFont="1" applyFill="1" applyBorder="1" applyAlignment="1" applyProtection="1">
      <alignment horizontal="right"/>
      <protection hidden="1"/>
    </xf>
    <xf numFmtId="4" fontId="45" fillId="2" borderId="79" xfId="4" applyNumberFormat="1" applyFont="1" applyFill="1" applyBorder="1" applyProtection="1">
      <protection hidden="1"/>
    </xf>
    <xf numFmtId="4" fontId="109" fillId="11" borderId="0" xfId="4" applyNumberFormat="1" applyFont="1" applyFill="1" applyBorder="1" applyProtection="1">
      <protection hidden="1"/>
    </xf>
    <xf numFmtId="0" fontId="197" fillId="11" borderId="0" xfId="4" applyFont="1" applyFill="1" applyBorder="1" applyAlignment="1" applyProtection="1">
      <alignment horizontal="center"/>
      <protection hidden="1"/>
    </xf>
    <xf numFmtId="0" fontId="197" fillId="17" borderId="0" xfId="4" applyFont="1" applyFill="1" applyBorder="1" applyAlignment="1" applyProtection="1">
      <alignment horizontal="center"/>
      <protection hidden="1"/>
    </xf>
    <xf numFmtId="0" fontId="138" fillId="17" borderId="0" xfId="4" applyFont="1" applyFill="1" applyProtection="1">
      <protection hidden="1"/>
    </xf>
    <xf numFmtId="0" fontId="154" fillId="11" borderId="0" xfId="4" applyFont="1" applyFill="1" applyAlignment="1" applyProtection="1">
      <alignment horizontal="center"/>
      <protection hidden="1"/>
    </xf>
    <xf numFmtId="38" fontId="61" fillId="9" borderId="62" xfId="4" applyNumberFormat="1" applyFont="1" applyFill="1" applyBorder="1" applyAlignment="1" applyProtection="1">
      <alignment horizontal="right"/>
      <protection hidden="1"/>
    </xf>
    <xf numFmtId="0" fontId="25" fillId="2" borderId="0" xfId="4" applyFont="1" applyFill="1" applyBorder="1" applyAlignment="1" applyProtection="1">
      <alignment horizontal="right"/>
      <protection hidden="1"/>
    </xf>
    <xf numFmtId="164" fontId="46" fillId="2" borderId="50" xfId="2" applyFont="1" applyFill="1" applyBorder="1" applyProtection="1">
      <protection hidden="1"/>
    </xf>
    <xf numFmtId="0" fontId="84" fillId="17" borderId="0" xfId="4" applyFont="1" applyFill="1" applyBorder="1" applyAlignment="1" applyProtection="1">
      <alignment horizontal="center"/>
      <protection hidden="1"/>
    </xf>
    <xf numFmtId="0" fontId="139" fillId="17" borderId="0" xfId="4" applyFont="1" applyFill="1" applyProtection="1">
      <protection hidden="1"/>
    </xf>
    <xf numFmtId="0" fontId="117" fillId="2" borderId="4" xfId="4" applyFont="1" applyFill="1" applyBorder="1" applyProtection="1">
      <protection hidden="1"/>
    </xf>
    <xf numFmtId="0" fontId="132" fillId="2" borderId="0" xfId="4" applyFont="1" applyFill="1" applyBorder="1" applyAlignment="1" applyProtection="1">
      <alignment horizontal="center"/>
      <protection hidden="1"/>
    </xf>
    <xf numFmtId="38" fontId="196" fillId="2" borderId="0" xfId="4" applyNumberFormat="1" applyFont="1" applyFill="1" applyBorder="1" applyAlignment="1" applyProtection="1">
      <alignment horizontal="center"/>
      <protection hidden="1"/>
    </xf>
    <xf numFmtId="0" fontId="46" fillId="2" borderId="50" xfId="4" applyFont="1" applyFill="1" applyBorder="1" applyProtection="1">
      <protection hidden="1"/>
    </xf>
    <xf numFmtId="0" fontId="71" fillId="2" borderId="0" xfId="4" applyFont="1" applyFill="1" applyAlignment="1" applyProtection="1">
      <alignment vertical="top" wrapText="1"/>
      <protection hidden="1"/>
    </xf>
    <xf numFmtId="0" fontId="128" fillId="2" borderId="0" xfId="4" applyFont="1" applyFill="1" applyBorder="1" applyProtection="1">
      <protection hidden="1"/>
    </xf>
    <xf numFmtId="38" fontId="148" fillId="2" borderId="0" xfId="4" applyNumberFormat="1" applyFont="1" applyFill="1" applyBorder="1" applyAlignment="1" applyProtection="1">
      <alignment horizontal="center"/>
      <protection hidden="1"/>
    </xf>
    <xf numFmtId="0" fontId="26" fillId="2" borderId="0" xfId="4" applyFont="1" applyFill="1" applyBorder="1" applyAlignment="1" applyProtection="1">
      <alignment horizontal="left"/>
      <protection hidden="1"/>
    </xf>
    <xf numFmtId="0" fontId="83" fillId="2" borderId="5" xfId="4" applyFont="1" applyFill="1" applyBorder="1" applyProtection="1">
      <protection hidden="1"/>
    </xf>
    <xf numFmtId="0" fontId="103" fillId="11" borderId="0" xfId="4" applyFont="1" applyFill="1" applyProtection="1">
      <protection hidden="1"/>
    </xf>
    <xf numFmtId="0" fontId="80" fillId="11" borderId="0" xfId="4" applyFont="1" applyFill="1" applyBorder="1" applyAlignment="1" applyProtection="1">
      <alignment horizontal="center"/>
      <protection hidden="1"/>
    </xf>
    <xf numFmtId="0" fontId="80" fillId="17" borderId="0" xfId="4" applyFont="1" applyFill="1" applyBorder="1" applyAlignment="1" applyProtection="1">
      <alignment horizontal="center"/>
      <protection hidden="1"/>
    </xf>
    <xf numFmtId="0" fontId="18" fillId="17" borderId="0" xfId="4" applyFont="1" applyFill="1" applyProtection="1">
      <protection hidden="1"/>
    </xf>
    <xf numFmtId="0" fontId="93" fillId="2" borderId="0" xfId="4" applyFont="1" applyFill="1" applyBorder="1" applyProtection="1">
      <protection hidden="1"/>
    </xf>
    <xf numFmtId="164" fontId="102" fillId="11" borderId="0" xfId="2" applyFont="1" applyFill="1" applyBorder="1" applyProtection="1">
      <protection hidden="1"/>
    </xf>
    <xf numFmtId="4" fontId="61" fillId="9" borderId="62" xfId="4" applyNumberFormat="1" applyFont="1" applyFill="1" applyBorder="1" applyProtection="1">
      <protection hidden="1"/>
    </xf>
    <xf numFmtId="0" fontId="47" fillId="2" borderId="59" xfId="4" applyFont="1" applyFill="1" applyBorder="1" applyAlignment="1" applyProtection="1">
      <alignment horizontal="right"/>
      <protection hidden="1"/>
    </xf>
    <xf numFmtId="4" fontId="209" fillId="0" borderId="0" xfId="4" applyNumberFormat="1" applyFont="1" applyFill="1" applyBorder="1" applyProtection="1">
      <protection hidden="1"/>
    </xf>
    <xf numFmtId="0" fontId="21" fillId="2" borderId="0" xfId="4" applyFont="1" applyFill="1" applyBorder="1" applyAlignment="1" applyProtection="1">
      <alignment horizontal="center"/>
      <protection hidden="1"/>
    </xf>
    <xf numFmtId="164" fontId="46" fillId="2" borderId="5" xfId="2" applyFont="1" applyFill="1" applyBorder="1" applyProtection="1">
      <protection hidden="1"/>
    </xf>
    <xf numFmtId="0" fontId="71" fillId="0" borderId="0" xfId="4" applyFont="1" applyFill="1" applyAlignment="1" applyProtection="1">
      <alignment vertical="top" wrapText="1"/>
      <protection hidden="1"/>
    </xf>
    <xf numFmtId="0" fontId="84" fillId="11" borderId="62" xfId="4" applyFont="1" applyFill="1" applyBorder="1" applyAlignment="1" applyProtection="1">
      <alignment horizontal="center"/>
      <protection hidden="1"/>
    </xf>
    <xf numFmtId="0" fontId="71" fillId="2" borderId="59" xfId="4" applyFont="1" applyFill="1" applyBorder="1" applyAlignment="1" applyProtection="1">
      <alignment horizontal="left" vertical="center"/>
      <protection hidden="1"/>
    </xf>
    <xf numFmtId="164" fontId="47" fillId="9" borderId="62" xfId="2" applyNumberFormat="1" applyFont="1" applyFill="1" applyBorder="1" applyAlignment="1" applyProtection="1">
      <alignment horizontal="right" vertical="center"/>
      <protection hidden="1"/>
    </xf>
    <xf numFmtId="38" fontId="128" fillId="2" borderId="0" xfId="4" applyNumberFormat="1" applyFont="1" applyFill="1" applyBorder="1" applyAlignment="1" applyProtection="1">
      <alignment horizontal="center" vertical="center"/>
      <protection hidden="1"/>
    </xf>
    <xf numFmtId="0" fontId="4" fillId="9" borderId="99" xfId="4" applyFont="1" applyFill="1" applyBorder="1" applyAlignment="1" applyProtection="1">
      <alignment horizontal="center"/>
      <protection hidden="1"/>
    </xf>
    <xf numFmtId="0" fontId="23" fillId="2" borderId="4" xfId="4" applyFont="1" applyFill="1" applyBorder="1" applyProtection="1">
      <protection hidden="1"/>
    </xf>
    <xf numFmtId="0" fontId="142" fillId="2" borderId="0" xfId="4" applyFont="1" applyFill="1" applyAlignment="1" applyProtection="1">
      <alignment vertical="center"/>
      <protection hidden="1"/>
    </xf>
    <xf numFmtId="0" fontId="92" fillId="2" borderId="0" xfId="4" applyFont="1" applyFill="1" applyBorder="1" applyAlignment="1" applyProtection="1">
      <alignment vertical="center" wrapText="1"/>
      <protection hidden="1"/>
    </xf>
    <xf numFmtId="164" fontId="56" fillId="2" borderId="0" xfId="2" applyFont="1" applyFill="1" applyBorder="1" applyProtection="1">
      <protection hidden="1"/>
    </xf>
    <xf numFmtId="164" fontId="56" fillId="2" borderId="0" xfId="2" applyFont="1" applyFill="1" applyBorder="1" applyAlignment="1" applyProtection="1">
      <alignment vertical="top"/>
      <protection hidden="1"/>
    </xf>
    <xf numFmtId="0" fontId="46" fillId="2" borderId="5" xfId="4" applyFont="1" applyFill="1" applyBorder="1" applyProtection="1">
      <protection hidden="1"/>
    </xf>
    <xf numFmtId="0" fontId="102" fillId="11" borderId="0" xfId="4" applyFont="1" applyFill="1" applyBorder="1" applyProtection="1">
      <protection hidden="1"/>
    </xf>
    <xf numFmtId="0" fontId="201" fillId="11" borderId="0" xfId="4" applyFont="1" applyFill="1" applyProtection="1">
      <protection hidden="1"/>
    </xf>
    <xf numFmtId="0" fontId="23" fillId="2" borderId="86" xfId="4" applyFont="1" applyFill="1" applyBorder="1" applyProtection="1">
      <protection hidden="1"/>
    </xf>
    <xf numFmtId="0" fontId="89" fillId="2" borderId="87" xfId="4" applyFont="1" applyFill="1" applyBorder="1" applyProtection="1">
      <protection hidden="1"/>
    </xf>
    <xf numFmtId="0" fontId="83" fillId="2" borderId="87" xfId="4" applyFont="1" applyFill="1" applyBorder="1" applyProtection="1">
      <protection hidden="1"/>
    </xf>
    <xf numFmtId="0" fontId="8" fillId="2" borderId="87" xfId="4" applyFont="1" applyFill="1" applyBorder="1" applyProtection="1">
      <protection hidden="1"/>
    </xf>
    <xf numFmtId="0" fontId="149" fillId="2" borderId="87" xfId="4" applyFont="1" applyFill="1" applyBorder="1" applyProtection="1">
      <protection hidden="1"/>
    </xf>
    <xf numFmtId="164" fontId="9" fillId="2" borderId="87" xfId="4" applyNumberFormat="1" applyFont="1" applyFill="1" applyBorder="1" applyProtection="1">
      <protection hidden="1"/>
    </xf>
    <xf numFmtId="0" fontId="135" fillId="2" borderId="87" xfId="4" applyFont="1" applyFill="1" applyBorder="1" applyAlignment="1" applyProtection="1">
      <alignment horizontal="right"/>
      <protection hidden="1"/>
    </xf>
    <xf numFmtId="4" fontId="49" fillId="2" borderId="88" xfId="4" applyNumberFormat="1" applyFont="1" applyFill="1" applyBorder="1" applyProtection="1">
      <protection hidden="1"/>
    </xf>
    <xf numFmtId="2" fontId="149" fillId="2" borderId="0" xfId="4" applyNumberFormat="1" applyFont="1" applyFill="1" applyBorder="1" applyProtection="1">
      <protection hidden="1"/>
    </xf>
    <xf numFmtId="2" fontId="152" fillId="16" borderId="62" xfId="4" applyNumberFormat="1" applyFont="1" applyFill="1" applyBorder="1" applyAlignment="1" applyProtection="1">
      <alignment horizontal="right"/>
      <protection hidden="1"/>
    </xf>
    <xf numFmtId="164" fontId="150" fillId="11" borderId="0" xfId="4" applyNumberFormat="1" applyFont="1" applyFill="1" applyBorder="1" applyProtection="1">
      <protection hidden="1"/>
    </xf>
    <xf numFmtId="9" fontId="84" fillId="11" borderId="0" xfId="4" applyNumberFormat="1" applyFont="1" applyFill="1" applyBorder="1" applyProtection="1">
      <protection hidden="1"/>
    </xf>
    <xf numFmtId="1" fontId="84" fillId="11" borderId="0" xfId="4" applyNumberFormat="1" applyFont="1" applyFill="1" applyProtection="1">
      <protection hidden="1"/>
    </xf>
    <xf numFmtId="0" fontId="71" fillId="17" borderId="0" xfId="4" applyFont="1" applyFill="1" applyAlignment="1" applyProtection="1">
      <alignment vertical="top" wrapText="1"/>
      <protection hidden="1"/>
    </xf>
    <xf numFmtId="0" fontId="141" fillId="2" borderId="89" xfId="4" applyFont="1" applyFill="1" applyBorder="1" applyAlignment="1" applyProtection="1">
      <alignment vertical="center" wrapText="1"/>
      <protection hidden="1"/>
    </xf>
    <xf numFmtId="2" fontId="25" fillId="2" borderId="95" xfId="4" applyNumberFormat="1" applyFont="1" applyFill="1" applyBorder="1" applyProtection="1">
      <protection hidden="1"/>
    </xf>
    <xf numFmtId="2" fontId="207" fillId="16" borderId="93" xfId="4" applyNumberFormat="1" applyFont="1" applyFill="1" applyBorder="1" applyAlignment="1" applyProtection="1">
      <alignment horizontal="right"/>
      <protection hidden="1"/>
    </xf>
    <xf numFmtId="40" fontId="71" fillId="2" borderId="5" xfId="4" applyNumberFormat="1" applyFont="1" applyFill="1" applyBorder="1" applyProtection="1">
      <protection hidden="1"/>
    </xf>
    <xf numFmtId="0" fontId="117" fillId="2" borderId="86" xfId="4" applyFont="1" applyFill="1" applyBorder="1" applyProtection="1">
      <protection hidden="1"/>
    </xf>
    <xf numFmtId="0" fontId="80" fillId="2" borderId="87" xfId="4" applyFont="1" applyFill="1" applyBorder="1" applyAlignment="1" applyProtection="1">
      <alignment vertical="center"/>
      <protection hidden="1"/>
    </xf>
    <xf numFmtId="0" fontId="69" fillId="2" borderId="87" xfId="4" applyFont="1" applyFill="1" applyBorder="1" applyProtection="1">
      <protection hidden="1"/>
    </xf>
    <xf numFmtId="0" fontId="123" fillId="2" borderId="87" xfId="4" applyFont="1" applyFill="1" applyBorder="1" applyAlignment="1" applyProtection="1">
      <alignment horizontal="center"/>
      <protection hidden="1"/>
    </xf>
    <xf numFmtId="0" fontId="88" fillId="2" borderId="90" xfId="4" applyFont="1" applyFill="1" applyBorder="1" applyAlignment="1" applyProtection="1">
      <alignment horizontal="center" vertical="center"/>
      <protection hidden="1"/>
    </xf>
    <xf numFmtId="0" fontId="88" fillId="2" borderId="91" xfId="4" applyFont="1" applyFill="1" applyBorder="1" applyAlignment="1" applyProtection="1">
      <alignment horizontal="center" vertical="center"/>
      <protection hidden="1"/>
    </xf>
    <xf numFmtId="0" fontId="135" fillId="2" borderId="87" xfId="4" applyFont="1" applyFill="1" applyBorder="1" applyAlignment="1" applyProtection="1">
      <alignment horizontal="center"/>
      <protection hidden="1"/>
    </xf>
    <xf numFmtId="2" fontId="107" fillId="11" borderId="0" xfId="4" applyNumberFormat="1" applyFont="1" applyFill="1" applyProtection="1">
      <protection hidden="1"/>
    </xf>
    <xf numFmtId="0" fontId="84" fillId="11" borderId="0" xfId="4" applyFont="1" applyFill="1" applyAlignment="1" applyProtection="1">
      <alignment horizontal="center"/>
      <protection hidden="1"/>
    </xf>
    <xf numFmtId="0" fontId="197" fillId="17" borderId="75" xfId="4" applyFont="1" applyFill="1" applyBorder="1" applyAlignment="1" applyProtection="1">
      <alignment horizontal="center"/>
      <protection hidden="1"/>
    </xf>
    <xf numFmtId="0" fontId="101" fillId="2" borderId="0" xfId="4" applyFont="1" applyFill="1" applyBorder="1" applyProtection="1">
      <protection hidden="1"/>
    </xf>
    <xf numFmtId="0" fontId="80" fillId="2" borderId="4" xfId="4" applyFont="1" applyFill="1" applyBorder="1" applyProtection="1">
      <protection hidden="1"/>
    </xf>
    <xf numFmtId="0" fontId="170" fillId="2" borderId="0" xfId="4" applyFont="1" applyFill="1" applyBorder="1" applyProtection="1">
      <protection hidden="1"/>
    </xf>
    <xf numFmtId="0" fontId="17" fillId="2" borderId="0" xfId="4" applyFont="1" applyFill="1" applyBorder="1" applyAlignment="1" applyProtection="1">
      <alignment vertical="center"/>
      <protection hidden="1"/>
    </xf>
    <xf numFmtId="0" fontId="170" fillId="2" borderId="0" xfId="4" applyFont="1" applyFill="1" applyBorder="1" applyAlignment="1" applyProtection="1">
      <alignment vertical="center"/>
      <protection hidden="1"/>
    </xf>
    <xf numFmtId="0" fontId="108" fillId="17" borderId="0" xfId="4" applyFont="1" applyFill="1" applyAlignment="1" applyProtection="1">
      <alignment horizontal="right"/>
      <protection hidden="1"/>
    </xf>
    <xf numFmtId="0" fontId="178" fillId="17" borderId="0" xfId="4" applyFont="1" applyFill="1" applyAlignment="1" applyProtection="1">
      <alignment horizontal="center" wrapText="1"/>
      <protection hidden="1"/>
    </xf>
    <xf numFmtId="0" fontId="179" fillId="17" borderId="0" xfId="4" applyFont="1" applyFill="1" applyAlignment="1" applyProtection="1">
      <alignment horizontal="center" wrapText="1"/>
      <protection hidden="1"/>
    </xf>
    <xf numFmtId="0" fontId="83" fillId="17" borderId="0" xfId="4" applyFont="1" applyFill="1" applyAlignment="1" applyProtection="1">
      <alignment horizontal="center"/>
      <protection hidden="1"/>
    </xf>
    <xf numFmtId="0" fontId="7" fillId="3" borderId="3" xfId="4" applyFill="1" applyBorder="1" applyAlignment="1" applyProtection="1">
      <alignment shrinkToFit="1"/>
      <protection hidden="1"/>
    </xf>
    <xf numFmtId="0" fontId="3" fillId="16" borderId="75" xfId="4" applyFont="1" applyFill="1" applyBorder="1" applyAlignment="1" applyProtection="1">
      <alignment horizontal="center"/>
      <protection hidden="1"/>
    </xf>
    <xf numFmtId="0" fontId="143" fillId="2" borderId="0" xfId="4" applyFont="1" applyFill="1" applyBorder="1" applyAlignment="1" applyProtection="1">
      <alignment horizontal="left" vertical="top"/>
      <protection hidden="1"/>
    </xf>
    <xf numFmtId="164" fontId="102" fillId="11" borderId="4" xfId="4" applyNumberFormat="1" applyFont="1" applyFill="1" applyBorder="1" applyProtection="1">
      <protection hidden="1"/>
    </xf>
    <xf numFmtId="0" fontId="176" fillId="11" borderId="0" xfId="4" applyFont="1" applyFill="1" applyBorder="1" applyAlignment="1" applyProtection="1">
      <alignment horizontal="center"/>
      <protection hidden="1"/>
    </xf>
    <xf numFmtId="0" fontId="87" fillId="11" borderId="0" xfId="4" applyFont="1" applyFill="1" applyAlignment="1" applyProtection="1">
      <alignment horizontal="center"/>
      <protection hidden="1"/>
    </xf>
    <xf numFmtId="43" fontId="83" fillId="17" borderId="0" xfId="4" applyNumberFormat="1" applyFont="1" applyFill="1" applyAlignment="1" applyProtection="1">
      <alignment horizontal="right"/>
      <protection hidden="1"/>
    </xf>
    <xf numFmtId="0" fontId="84" fillId="17" borderId="0" xfId="4" applyFont="1" applyFill="1" applyAlignment="1" applyProtection="1">
      <alignment horizontal="right"/>
      <protection hidden="1"/>
    </xf>
    <xf numFmtId="0" fontId="84" fillId="2" borderId="4" xfId="4" applyFont="1" applyFill="1" applyBorder="1" applyProtection="1">
      <protection hidden="1"/>
    </xf>
    <xf numFmtId="0" fontId="84" fillId="11" borderId="0" xfId="4" applyFont="1" applyFill="1" applyBorder="1" applyAlignment="1" applyProtection="1">
      <alignment horizontal="right"/>
      <protection hidden="1"/>
    </xf>
    <xf numFmtId="167" fontId="112" fillId="11" borderId="0" xfId="4" applyNumberFormat="1" applyFont="1" applyFill="1" applyBorder="1" applyProtection="1">
      <protection hidden="1"/>
    </xf>
    <xf numFmtId="0" fontId="211" fillId="18" borderId="0" xfId="4" applyFont="1" applyFill="1" applyBorder="1" applyAlignment="1" applyProtection="1">
      <alignment horizontal="center"/>
      <protection hidden="1"/>
    </xf>
    <xf numFmtId="167" fontId="112" fillId="17" borderId="0" xfId="4" applyNumberFormat="1" applyFont="1" applyFill="1" applyBorder="1" applyProtection="1">
      <protection hidden="1"/>
    </xf>
    <xf numFmtId="0" fontId="3" fillId="9" borderId="75" xfId="4" applyFont="1" applyFill="1" applyBorder="1" applyAlignment="1" applyProtection="1">
      <alignment horizontal="center"/>
      <protection hidden="1"/>
    </xf>
    <xf numFmtId="164" fontId="102" fillId="17" borderId="0" xfId="4" applyNumberFormat="1" applyFont="1" applyFill="1" applyBorder="1" applyProtection="1">
      <protection hidden="1"/>
    </xf>
    <xf numFmtId="4" fontId="212" fillId="16" borderId="62" xfId="4" applyNumberFormat="1" applyFont="1" applyFill="1" applyBorder="1" applyProtection="1">
      <protection hidden="1"/>
    </xf>
    <xf numFmtId="164" fontId="215" fillId="0" borderId="0" xfId="2" applyFont="1" applyFill="1" applyBorder="1" applyAlignment="1" applyProtection="1">
      <protection hidden="1"/>
    </xf>
    <xf numFmtId="0" fontId="87" fillId="17" borderId="0" xfId="4" applyFont="1" applyFill="1" applyProtection="1">
      <protection hidden="1"/>
    </xf>
    <xf numFmtId="4" fontId="61" fillId="16" borderId="62" xfId="4" applyNumberFormat="1" applyFont="1" applyFill="1" applyBorder="1" applyProtection="1">
      <protection hidden="1"/>
    </xf>
    <xf numFmtId="164" fontId="79" fillId="2" borderId="0" xfId="2" applyFont="1" applyFill="1" applyBorder="1" applyProtection="1">
      <protection hidden="1"/>
    </xf>
    <xf numFmtId="1" fontId="83" fillId="17" borderId="0" xfId="4" applyNumberFormat="1" applyFont="1" applyFill="1" applyProtection="1">
      <protection hidden="1"/>
    </xf>
    <xf numFmtId="0" fontId="87" fillId="17" borderId="0" xfId="4" applyFont="1" applyFill="1" applyAlignment="1" applyProtection="1">
      <alignment horizontal="center"/>
      <protection hidden="1"/>
    </xf>
    <xf numFmtId="0" fontId="60" fillId="2" borderId="0" xfId="4" applyFont="1" applyFill="1" applyBorder="1" applyProtection="1">
      <protection hidden="1"/>
    </xf>
    <xf numFmtId="0" fontId="212" fillId="0" borderId="62" xfId="4" applyFont="1" applyFill="1" applyBorder="1" applyProtection="1">
      <protection hidden="1"/>
    </xf>
    <xf numFmtId="4" fontId="214" fillId="0" borderId="0" xfId="4" applyNumberFormat="1" applyFont="1" applyFill="1" applyBorder="1" applyProtection="1">
      <protection hidden="1"/>
    </xf>
    <xf numFmtId="0" fontId="212" fillId="16" borderId="93" xfId="4" applyFont="1" applyFill="1" applyBorder="1" applyProtection="1">
      <protection hidden="1"/>
    </xf>
    <xf numFmtId="0" fontId="3" fillId="2" borderId="0" xfId="4" applyFont="1" applyFill="1" applyBorder="1" applyProtection="1">
      <protection hidden="1"/>
    </xf>
    <xf numFmtId="0" fontId="41" fillId="9" borderId="100" xfId="4" applyFont="1" applyFill="1" applyBorder="1" applyAlignment="1" applyProtection="1">
      <alignment horizontal="center" shrinkToFit="1"/>
      <protection hidden="1"/>
    </xf>
    <xf numFmtId="0" fontId="47" fillId="9" borderId="45" xfId="2" applyNumberFormat="1" applyFont="1" applyFill="1" applyBorder="1" applyAlignment="1" applyProtection="1">
      <alignment horizontal="center"/>
      <protection hidden="1"/>
    </xf>
    <xf numFmtId="2" fontId="213" fillId="0" borderId="45" xfId="4" applyNumberFormat="1" applyFont="1" applyFill="1" applyBorder="1" applyAlignment="1" applyProtection="1">
      <alignment horizontal="center"/>
      <protection hidden="1"/>
    </xf>
    <xf numFmtId="0" fontId="41" fillId="9" borderId="3" xfId="4" applyFont="1" applyFill="1" applyBorder="1" applyAlignment="1" applyProtection="1">
      <alignment horizontal="center" shrinkToFit="1"/>
      <protection hidden="1"/>
    </xf>
    <xf numFmtId="0" fontId="141" fillId="2" borderId="71" xfId="4" applyFont="1" applyFill="1" applyBorder="1" applyAlignment="1" applyProtection="1">
      <alignment vertical="center" wrapText="1"/>
      <protection hidden="1"/>
    </xf>
    <xf numFmtId="0" fontId="220" fillId="0" borderId="0" xfId="2" applyNumberFormat="1" applyFont="1" applyFill="1" applyBorder="1" applyAlignment="1" applyProtection="1">
      <alignment horizontal="center"/>
      <protection hidden="1"/>
    </xf>
    <xf numFmtId="4" fontId="212" fillId="0" borderId="0" xfId="4" applyNumberFormat="1" applyFont="1" applyFill="1" applyBorder="1" applyProtection="1">
      <protection hidden="1"/>
    </xf>
    <xf numFmtId="164" fontId="218" fillId="2" borderId="0" xfId="2" applyFont="1" applyFill="1" applyBorder="1" applyAlignment="1" applyProtection="1">
      <alignment horizontal="left"/>
      <protection hidden="1"/>
    </xf>
    <xf numFmtId="164" fontId="117" fillId="2" borderId="0" xfId="2" applyFont="1" applyFill="1" applyBorder="1" applyAlignment="1" applyProtection="1">
      <alignment horizontal="left"/>
      <protection hidden="1"/>
    </xf>
    <xf numFmtId="0" fontId="61" fillId="9" borderId="45" xfId="4" applyFont="1" applyFill="1" applyBorder="1" applyProtection="1">
      <protection hidden="1"/>
    </xf>
    <xf numFmtId="0" fontId="228" fillId="20" borderId="0" xfId="4" applyFont="1" applyFill="1" applyBorder="1" applyProtection="1">
      <protection hidden="1"/>
    </xf>
    <xf numFmtId="164" fontId="221" fillId="11" borderId="0" xfId="4" applyNumberFormat="1" applyFont="1" applyFill="1" applyBorder="1" applyProtection="1">
      <protection hidden="1"/>
    </xf>
    <xf numFmtId="0" fontId="141" fillId="2" borderId="0" xfId="4" applyFont="1" applyFill="1" applyBorder="1" applyAlignment="1" applyProtection="1">
      <alignment vertical="center" wrapText="1"/>
      <protection hidden="1"/>
    </xf>
    <xf numFmtId="1" fontId="199" fillId="11" borderId="0" xfId="4" applyNumberFormat="1" applyFont="1" applyFill="1" applyBorder="1" applyProtection="1">
      <protection hidden="1"/>
    </xf>
    <xf numFmtId="43" fontId="197" fillId="11" borderId="0" xfId="4" applyNumberFormat="1" applyFont="1" applyFill="1" applyProtection="1">
      <protection hidden="1"/>
    </xf>
    <xf numFmtId="0" fontId="129" fillId="2" borderId="0" xfId="4" applyFont="1" applyFill="1" applyBorder="1" applyAlignment="1" applyProtection="1">
      <alignment horizontal="left"/>
      <protection hidden="1"/>
    </xf>
    <xf numFmtId="43" fontId="46" fillId="2" borderId="5" xfId="2" applyNumberFormat="1" applyFont="1" applyFill="1" applyBorder="1" applyProtection="1">
      <protection hidden="1"/>
    </xf>
    <xf numFmtId="4" fontId="198" fillId="17" borderId="92" xfId="4" applyNumberFormat="1" applyFont="1" applyFill="1" applyBorder="1" applyProtection="1">
      <protection hidden="1"/>
    </xf>
    <xf numFmtId="1" fontId="87" fillId="11" borderId="0" xfId="4" applyNumberFormat="1" applyFont="1" applyFill="1" applyBorder="1" applyProtection="1">
      <protection hidden="1"/>
    </xf>
    <xf numFmtId="43" fontId="84" fillId="11" borderId="0" xfId="4" applyNumberFormat="1" applyFont="1" applyFill="1" applyProtection="1">
      <protection hidden="1"/>
    </xf>
    <xf numFmtId="43" fontId="3" fillId="11" borderId="0" xfId="4" applyNumberFormat="1" applyFont="1" applyFill="1" applyProtection="1">
      <protection hidden="1"/>
    </xf>
    <xf numFmtId="1" fontId="64" fillId="11" borderId="0" xfId="4" applyNumberFormat="1" applyFont="1" applyFill="1" applyBorder="1" applyProtection="1">
      <protection hidden="1"/>
    </xf>
    <xf numFmtId="0" fontId="3" fillId="11" borderId="0" xfId="4" applyFont="1" applyFill="1" applyProtection="1">
      <protection hidden="1"/>
    </xf>
    <xf numFmtId="0" fontId="7" fillId="2" borderId="81" xfId="4" applyFill="1" applyBorder="1" applyProtection="1">
      <protection hidden="1"/>
    </xf>
    <xf numFmtId="0" fontId="141" fillId="2" borderId="82" xfId="4" applyFont="1" applyFill="1" applyBorder="1" applyAlignment="1" applyProtection="1">
      <alignment vertical="center" wrapText="1"/>
      <protection hidden="1"/>
    </xf>
    <xf numFmtId="0" fontId="13" fillId="2" borderId="83" xfId="4" applyFont="1" applyFill="1" applyBorder="1" applyProtection="1">
      <protection hidden="1"/>
    </xf>
    <xf numFmtId="0" fontId="49" fillId="2" borderId="83" xfId="4" applyFont="1" applyFill="1" applyBorder="1" applyAlignment="1" applyProtection="1">
      <alignment horizontal="left"/>
      <protection hidden="1"/>
    </xf>
    <xf numFmtId="0" fontId="9" fillId="2" borderId="83" xfId="4" applyFont="1" applyFill="1" applyBorder="1" applyProtection="1">
      <protection hidden="1"/>
    </xf>
    <xf numFmtId="0" fontId="7" fillId="2" borderId="83" xfId="4" applyFont="1" applyFill="1" applyBorder="1" applyProtection="1">
      <protection hidden="1"/>
    </xf>
    <xf numFmtId="164" fontId="7" fillId="2" borderId="83" xfId="2" applyFont="1" applyFill="1" applyBorder="1" applyProtection="1">
      <protection hidden="1"/>
    </xf>
    <xf numFmtId="0" fontId="49" fillId="2" borderId="0" xfId="4" applyFont="1" applyFill="1" applyBorder="1" applyProtection="1">
      <protection hidden="1"/>
    </xf>
    <xf numFmtId="0" fontId="12" fillId="2" borderId="0" xfId="4" applyFont="1" applyFill="1" applyBorder="1" applyProtection="1">
      <protection hidden="1"/>
    </xf>
    <xf numFmtId="164" fontId="7" fillId="2" borderId="0" xfId="2" applyFont="1" applyFill="1" applyBorder="1" applyProtection="1">
      <protection hidden="1"/>
    </xf>
    <xf numFmtId="164" fontId="49" fillId="2" borderId="80" xfId="2" applyFont="1" applyFill="1" applyBorder="1" applyProtection="1">
      <protection hidden="1"/>
    </xf>
    <xf numFmtId="164" fontId="96" fillId="11" borderId="0" xfId="2" applyFont="1" applyFill="1" applyBorder="1" applyProtection="1">
      <protection hidden="1"/>
    </xf>
    <xf numFmtId="164" fontId="87" fillId="11" borderId="0" xfId="4" applyNumberFormat="1" applyFont="1" applyFill="1" applyProtection="1">
      <protection hidden="1"/>
    </xf>
    <xf numFmtId="0" fontId="55" fillId="2" borderId="0" xfId="4" applyFont="1" applyFill="1" applyBorder="1" applyProtection="1">
      <protection hidden="1"/>
    </xf>
    <xf numFmtId="0" fontId="55" fillId="2" borderId="0" xfId="4" quotePrefix="1" applyFont="1" applyFill="1" applyBorder="1" applyProtection="1">
      <protection hidden="1"/>
    </xf>
    <xf numFmtId="164" fontId="112" fillId="2" borderId="5" xfId="2" applyFont="1" applyFill="1" applyBorder="1" applyProtection="1">
      <protection hidden="1"/>
    </xf>
    <xf numFmtId="164" fontId="97" fillId="11" borderId="0" xfId="2" applyFont="1" applyFill="1" applyBorder="1" applyProtection="1">
      <protection hidden="1"/>
    </xf>
    <xf numFmtId="0" fontId="84" fillId="17" borderId="0" xfId="4" applyFont="1" applyFill="1" applyAlignment="1" applyProtection="1">
      <alignment horizontal="center"/>
      <protection hidden="1"/>
    </xf>
    <xf numFmtId="164" fontId="83" fillId="11" borderId="0" xfId="4" applyNumberFormat="1" applyFont="1" applyFill="1" applyProtection="1">
      <protection hidden="1"/>
    </xf>
    <xf numFmtId="175" fontId="130" fillId="11" borderId="0" xfId="4" applyNumberFormat="1" applyFont="1" applyFill="1" applyBorder="1" applyProtection="1">
      <protection hidden="1"/>
    </xf>
    <xf numFmtId="164" fontId="70" fillId="4" borderId="36" xfId="2" applyFont="1" applyFill="1" applyBorder="1" applyProtection="1">
      <protection hidden="1"/>
    </xf>
    <xf numFmtId="0" fontId="104" fillId="11" borderId="0" xfId="4" applyFont="1" applyFill="1" applyBorder="1" applyProtection="1">
      <protection hidden="1"/>
    </xf>
    <xf numFmtId="0" fontId="2" fillId="2" borderId="0" xfId="4" applyFont="1" applyFill="1" applyBorder="1" applyAlignment="1" applyProtection="1">
      <alignment vertical="top" wrapText="1" shrinkToFit="1"/>
      <protection hidden="1"/>
    </xf>
    <xf numFmtId="0" fontId="2" fillId="2" borderId="5" xfId="4" applyFont="1" applyFill="1" applyBorder="1" applyAlignment="1" applyProtection="1">
      <alignment vertical="top" wrapText="1" shrinkToFit="1"/>
      <protection hidden="1"/>
    </xf>
    <xf numFmtId="0" fontId="3" fillId="3" borderId="0" xfId="4" applyFont="1" applyFill="1" applyBorder="1" applyAlignment="1" applyProtection="1">
      <alignment vertical="top" wrapText="1" shrinkToFit="1"/>
      <protection hidden="1"/>
    </xf>
    <xf numFmtId="0" fontId="64" fillId="3" borderId="0" xfId="4" applyFont="1" applyFill="1" applyProtection="1">
      <protection hidden="1"/>
    </xf>
    <xf numFmtId="0" fontId="104" fillId="11" borderId="0" xfId="4" applyFont="1" applyFill="1" applyProtection="1">
      <protection hidden="1"/>
    </xf>
    <xf numFmtId="170" fontId="54" fillId="2" borderId="0" xfId="4" applyNumberFormat="1" applyFont="1" applyFill="1" applyBorder="1" applyAlignment="1" applyProtection="1">
      <alignment horizontal="center"/>
      <protection hidden="1"/>
    </xf>
    <xf numFmtId="0" fontId="87" fillId="11" borderId="53" xfId="4" applyFont="1" applyFill="1" applyBorder="1" applyProtection="1">
      <protection hidden="1"/>
    </xf>
    <xf numFmtId="0" fontId="87" fillId="11" borderId="0" xfId="4" applyFont="1" applyFill="1" applyBorder="1" applyProtection="1">
      <protection hidden="1"/>
    </xf>
    <xf numFmtId="0" fontId="7" fillId="2" borderId="47" xfId="4" applyFill="1" applyBorder="1" applyProtection="1">
      <protection hidden="1"/>
    </xf>
    <xf numFmtId="0" fontId="7" fillId="2" borderId="48" xfId="4" applyFill="1" applyBorder="1" applyAlignment="1" applyProtection="1">
      <alignment vertical="top" wrapText="1"/>
      <protection hidden="1"/>
    </xf>
    <xf numFmtId="0" fontId="7" fillId="2" borderId="49" xfId="4" applyFill="1" applyBorder="1" applyAlignment="1" applyProtection="1">
      <alignment vertical="top" wrapText="1"/>
      <protection hidden="1"/>
    </xf>
    <xf numFmtId="0" fontId="24" fillId="11" borderId="0" xfId="4" applyFont="1" applyFill="1" applyBorder="1" applyAlignment="1" applyProtection="1">
      <alignment vertical="top" wrapText="1"/>
      <protection hidden="1"/>
    </xf>
    <xf numFmtId="0" fontId="64" fillId="11" borderId="0" xfId="4" applyFont="1" applyFill="1" applyProtection="1">
      <protection hidden="1"/>
    </xf>
    <xf numFmtId="0" fontId="18" fillId="3" borderId="0" xfId="4" applyFont="1" applyFill="1" applyAlignment="1" applyProtection="1">
      <alignment shrinkToFit="1"/>
      <protection hidden="1"/>
    </xf>
    <xf numFmtId="0" fontId="123" fillId="11" borderId="0" xfId="4" applyFont="1" applyFill="1" applyProtection="1">
      <protection hidden="1"/>
    </xf>
    <xf numFmtId="0" fontId="7" fillId="11" borderId="0" xfId="4" applyFill="1" applyProtection="1">
      <protection hidden="1"/>
    </xf>
    <xf numFmtId="0" fontId="18" fillId="3" borderId="0" xfId="4" applyFont="1" applyFill="1" applyProtection="1">
      <protection hidden="1"/>
    </xf>
    <xf numFmtId="0" fontId="112" fillId="11" borderId="0" xfId="4" applyFont="1" applyFill="1" applyProtection="1">
      <protection hidden="1"/>
    </xf>
    <xf numFmtId="0" fontId="203" fillId="11" borderId="0" xfId="4" applyFont="1" applyFill="1" applyProtection="1">
      <protection hidden="1"/>
    </xf>
    <xf numFmtId="1" fontId="197" fillId="11" borderId="0" xfId="4" applyNumberFormat="1" applyFont="1" applyFill="1" applyProtection="1">
      <protection hidden="1"/>
    </xf>
    <xf numFmtId="0" fontId="7" fillId="3" borderId="0" xfId="4" applyFill="1" applyProtection="1">
      <protection hidden="1"/>
    </xf>
    <xf numFmtId="3" fontId="197" fillId="11" borderId="0" xfId="4" applyNumberFormat="1" applyFont="1" applyFill="1" applyProtection="1">
      <protection hidden="1"/>
    </xf>
    <xf numFmtId="0" fontId="71" fillId="18" borderId="0" xfId="4" applyFont="1" applyFill="1" applyAlignment="1" applyProtection="1">
      <alignment vertical="top" wrapText="1"/>
      <protection hidden="1"/>
    </xf>
    <xf numFmtId="0" fontId="202" fillId="11" borderId="0" xfId="4" applyFont="1" applyFill="1" applyProtection="1">
      <protection hidden="1"/>
    </xf>
    <xf numFmtId="1" fontId="198" fillId="11" borderId="0" xfId="4" applyNumberFormat="1" applyFont="1" applyFill="1" applyProtection="1">
      <protection hidden="1"/>
    </xf>
    <xf numFmtId="3" fontId="18" fillId="11" borderId="0" xfId="4" applyNumberFormat="1" applyFont="1" applyFill="1" applyProtection="1">
      <protection hidden="1"/>
    </xf>
    <xf numFmtId="0" fontId="46" fillId="11" borderId="0" xfId="4" applyFont="1" applyFill="1" applyProtection="1">
      <protection hidden="1"/>
    </xf>
    <xf numFmtId="0" fontId="7" fillId="0" borderId="0" xfId="4" applyProtection="1">
      <protection hidden="1"/>
    </xf>
    <xf numFmtId="0" fontId="18" fillId="0" borderId="0" xfId="4" applyFont="1" applyProtection="1">
      <protection hidden="1"/>
    </xf>
    <xf numFmtId="0" fontId="83" fillId="0" borderId="0" xfId="4" applyFont="1" applyProtection="1">
      <protection hidden="1"/>
    </xf>
    <xf numFmtId="0" fontId="46" fillId="0" borderId="0" xfId="4" applyFont="1" applyProtection="1">
      <protection hidden="1"/>
    </xf>
    <xf numFmtId="3" fontId="238" fillId="29" borderId="106" xfId="0" applyNumberFormat="1" applyFont="1" applyFill="1" applyBorder="1" applyAlignment="1">
      <alignment horizontal="center" vertical="center"/>
    </xf>
    <xf numFmtId="164" fontId="10" fillId="18" borderId="106" xfId="1" applyFont="1" applyFill="1" applyBorder="1" applyAlignment="1" applyProtection="1">
      <alignment vertical="center"/>
      <protection locked="0" hidden="1"/>
    </xf>
    <xf numFmtId="167" fontId="7" fillId="0" borderId="0" xfId="6" applyNumberFormat="1" applyFont="1" applyAlignment="1" applyProtection="1">
      <alignment vertical="center"/>
      <protection hidden="1"/>
    </xf>
    <xf numFmtId="0" fontId="7" fillId="0" borderId="106" xfId="0" applyFont="1" applyBorder="1" applyAlignment="1">
      <alignment vertical="center"/>
    </xf>
    <xf numFmtId="164" fontId="7" fillId="0" borderId="106" xfId="2" applyBorder="1" applyAlignment="1">
      <alignment vertical="center"/>
    </xf>
    <xf numFmtId="165" fontId="0" fillId="0" borderId="0" xfId="2" applyNumberFormat="1" applyFont="1" applyAlignment="1">
      <alignment vertical="center"/>
    </xf>
    <xf numFmtId="166" fontId="239" fillId="20" borderId="106" xfId="5" applyNumberFormat="1" applyFont="1" applyFill="1" applyBorder="1" applyAlignment="1">
      <alignment vertical="center"/>
    </xf>
    <xf numFmtId="179" fontId="0" fillId="0" borderId="0" xfId="5" applyNumberFormat="1" applyFont="1"/>
    <xf numFmtId="10" fontId="0" fillId="0" borderId="0" xfId="5" applyNumberFormat="1" applyFont="1"/>
    <xf numFmtId="179" fontId="204" fillId="20" borderId="0" xfId="5" applyNumberFormat="1" applyFont="1" applyFill="1"/>
    <xf numFmtId="10" fontId="0" fillId="0" borderId="0" xfId="0" applyNumberFormat="1" applyAlignment="1">
      <alignment vertical="center"/>
    </xf>
    <xf numFmtId="1" fontId="0" fillId="0" borderId="0" xfId="0" applyNumberFormat="1" applyAlignment="1">
      <alignment vertical="center"/>
    </xf>
    <xf numFmtId="180" fontId="0" fillId="0" borderId="0" xfId="5" applyNumberFormat="1" applyFont="1" applyAlignment="1">
      <alignment vertical="center"/>
    </xf>
    <xf numFmtId="14" fontId="0" fillId="0" borderId="0" xfId="0" applyNumberFormat="1" applyAlignment="1">
      <alignment vertical="center"/>
    </xf>
    <xf numFmtId="164" fontId="46" fillId="2" borderId="0" xfId="0" applyNumberFormat="1" applyFont="1" applyFill="1" applyBorder="1" applyProtection="1">
      <protection hidden="1"/>
    </xf>
    <xf numFmtId="0" fontId="204" fillId="25" borderId="0" xfId="0" applyFont="1" applyFill="1" applyAlignment="1">
      <alignment vertical="center"/>
    </xf>
    <xf numFmtId="9" fontId="0" fillId="0" borderId="0" xfId="0" applyNumberFormat="1" applyAlignment="1">
      <alignment vertical="center"/>
    </xf>
    <xf numFmtId="0" fontId="100" fillId="4" borderId="107" xfId="0" applyFont="1" applyFill="1" applyBorder="1" applyAlignment="1" applyProtection="1">
      <alignment horizontal="left"/>
      <protection hidden="1"/>
    </xf>
    <xf numFmtId="0" fontId="100" fillId="4" borderId="108" xfId="0" applyFont="1" applyFill="1" applyBorder="1" applyAlignment="1" applyProtection="1">
      <alignment horizontal="left"/>
      <protection hidden="1"/>
    </xf>
    <xf numFmtId="0" fontId="100" fillId="4" borderId="109" xfId="0" applyFont="1" applyFill="1" applyBorder="1" applyAlignment="1" applyProtection="1">
      <alignment horizontal="left"/>
      <protection hidden="1"/>
    </xf>
    <xf numFmtId="174" fontId="68" fillId="0" borderId="110" xfId="0" applyNumberFormat="1" applyFont="1" applyBorder="1" applyAlignment="1" applyProtection="1">
      <alignment horizontal="left" vertical="top"/>
      <protection hidden="1"/>
    </xf>
    <xf numFmtId="0" fontId="54" fillId="9" borderId="111" xfId="0" applyFont="1" applyFill="1" applyBorder="1" applyAlignment="1" applyProtection="1">
      <alignment horizontal="center"/>
      <protection hidden="1"/>
    </xf>
    <xf numFmtId="0" fontId="54" fillId="9" borderId="112" xfId="0" applyFont="1" applyFill="1" applyBorder="1" applyAlignment="1" applyProtection="1">
      <alignment horizontal="center"/>
      <protection hidden="1"/>
    </xf>
    <xf numFmtId="0" fontId="54" fillId="9" borderId="113" xfId="0" applyFont="1" applyFill="1" applyBorder="1" applyAlignment="1" applyProtection="1">
      <alignment horizontal="center"/>
      <protection hidden="1"/>
    </xf>
    <xf numFmtId="0" fontId="56" fillId="0" borderId="0" xfId="0" applyFont="1" applyAlignment="1" applyProtection="1">
      <alignment horizontal="left" wrapText="1"/>
      <protection hidden="1"/>
    </xf>
    <xf numFmtId="173" fontId="38" fillId="6" borderId="124" xfId="0" applyNumberFormat="1" applyFont="1" applyFill="1" applyBorder="1" applyAlignment="1" applyProtection="1">
      <alignment horizontal="center"/>
      <protection hidden="1"/>
    </xf>
    <xf numFmtId="173" fontId="38" fillId="6" borderId="125" xfId="0" applyNumberFormat="1" applyFont="1" applyFill="1" applyBorder="1" applyAlignment="1" applyProtection="1">
      <alignment horizontal="center"/>
      <protection hidden="1"/>
    </xf>
    <xf numFmtId="3" fontId="6" fillId="15" borderId="121" xfId="0" applyNumberFormat="1" applyFont="1" applyFill="1" applyBorder="1" applyAlignment="1" applyProtection="1">
      <alignment horizontal="right"/>
      <protection hidden="1"/>
    </xf>
    <xf numFmtId="3" fontId="6" fillId="15" borderId="123" xfId="0" applyNumberFormat="1" applyFont="1" applyFill="1" applyBorder="1" applyAlignment="1" applyProtection="1">
      <alignment horizontal="right"/>
      <protection hidden="1"/>
    </xf>
    <xf numFmtId="0" fontId="51" fillId="9" borderId="127" xfId="0" applyFont="1" applyFill="1" applyBorder="1" applyAlignment="1" applyProtection="1">
      <alignment horizontal="center" vertical="center" wrapText="1"/>
      <protection hidden="1"/>
    </xf>
    <xf numFmtId="0" fontId="51" fillId="9" borderId="60" xfId="0" applyFont="1" applyFill="1" applyBorder="1" applyAlignment="1" applyProtection="1">
      <alignment horizontal="center" vertical="center" wrapText="1"/>
      <protection hidden="1"/>
    </xf>
    <xf numFmtId="0" fontId="51" fillId="9" borderId="128" xfId="0" applyFont="1" applyFill="1" applyBorder="1" applyAlignment="1" applyProtection="1">
      <alignment horizontal="center" vertical="center" wrapText="1"/>
      <protection hidden="1"/>
    </xf>
    <xf numFmtId="0" fontId="51" fillId="9" borderId="73" xfId="0" applyFont="1" applyFill="1" applyBorder="1" applyAlignment="1" applyProtection="1">
      <alignment horizontal="center" vertical="center" wrapText="1"/>
      <protection hidden="1"/>
    </xf>
    <xf numFmtId="0" fontId="51" fillId="9" borderId="6" xfId="0" applyFont="1" applyFill="1" applyBorder="1" applyAlignment="1" applyProtection="1">
      <alignment horizontal="center" vertical="center" wrapText="1"/>
      <protection hidden="1"/>
    </xf>
    <xf numFmtId="0" fontId="51" fillId="9" borderId="129" xfId="0" applyFont="1" applyFill="1" applyBorder="1" applyAlignment="1" applyProtection="1">
      <alignment horizontal="center" vertical="center" wrapText="1"/>
      <protection hidden="1"/>
    </xf>
    <xf numFmtId="0" fontId="63" fillId="2" borderId="0" xfId="0" applyFont="1" applyFill="1" applyAlignment="1" applyProtection="1">
      <alignment horizontal="center" wrapText="1"/>
      <protection hidden="1"/>
    </xf>
    <xf numFmtId="0" fontId="183" fillId="2" borderId="0" xfId="0" applyFont="1" applyFill="1" applyAlignment="1" applyProtection="1">
      <alignment horizontal="left" vertical="top" wrapText="1"/>
      <protection hidden="1"/>
    </xf>
    <xf numFmtId="3" fontId="3" fillId="6" borderId="124" xfId="0" applyNumberFormat="1" applyFont="1" applyFill="1" applyBorder="1" applyAlignment="1" applyProtection="1">
      <alignment horizontal="center"/>
      <protection hidden="1"/>
    </xf>
    <xf numFmtId="3" fontId="3" fillId="6" borderId="126" xfId="0" applyNumberFormat="1" applyFont="1" applyFill="1" applyBorder="1" applyAlignment="1" applyProtection="1">
      <alignment horizontal="center"/>
      <protection hidden="1"/>
    </xf>
    <xf numFmtId="3" fontId="3" fillId="6" borderId="125" xfId="0" applyNumberFormat="1" applyFont="1" applyFill="1" applyBorder="1" applyAlignment="1" applyProtection="1">
      <alignment horizontal="center"/>
      <protection hidden="1"/>
    </xf>
    <xf numFmtId="0" fontId="3" fillId="6" borderId="124" xfId="0" applyFont="1" applyFill="1" applyBorder="1" applyAlignment="1" applyProtection="1">
      <alignment horizontal="center"/>
      <protection hidden="1"/>
    </xf>
    <xf numFmtId="0" fontId="3" fillId="6" borderId="125" xfId="0" applyFont="1" applyFill="1" applyBorder="1" applyAlignment="1" applyProtection="1">
      <alignment horizontal="center"/>
      <protection hidden="1"/>
    </xf>
    <xf numFmtId="3" fontId="24" fillId="2" borderId="0" xfId="0" applyNumberFormat="1" applyFont="1" applyFill="1" applyBorder="1" applyAlignment="1" applyProtection="1">
      <alignment horizontal="right"/>
      <protection hidden="1"/>
    </xf>
    <xf numFmtId="3" fontId="24" fillId="2" borderId="12" xfId="0" applyNumberFormat="1" applyFont="1" applyFill="1" applyBorder="1" applyAlignment="1" applyProtection="1">
      <alignment horizontal="right"/>
      <protection hidden="1"/>
    </xf>
    <xf numFmtId="0" fontId="2" fillId="2" borderId="0" xfId="0" applyFont="1" applyFill="1" applyAlignment="1" applyProtection="1">
      <alignment horizontal="left" vertical="top" wrapText="1"/>
      <protection hidden="1"/>
    </xf>
    <xf numFmtId="0" fontId="28" fillId="5" borderId="114" xfId="0" applyFont="1" applyFill="1" applyBorder="1" applyAlignment="1" applyProtection="1">
      <alignment horizontal="left"/>
      <protection hidden="1"/>
    </xf>
    <xf numFmtId="0" fontId="28" fillId="5" borderId="115" xfId="0" applyFont="1" applyFill="1" applyBorder="1" applyAlignment="1" applyProtection="1">
      <alignment horizontal="left"/>
      <protection hidden="1"/>
    </xf>
    <xf numFmtId="0" fontId="35" fillId="3" borderId="116" xfId="0" applyFont="1" applyFill="1" applyBorder="1" applyAlignment="1" applyProtection="1">
      <alignment horizontal="left"/>
      <protection hidden="1"/>
    </xf>
    <xf numFmtId="0" fontId="35" fillId="3" borderId="117" xfId="0" applyFont="1" applyFill="1" applyBorder="1" applyAlignment="1" applyProtection="1">
      <alignment horizontal="left"/>
      <protection hidden="1"/>
    </xf>
    <xf numFmtId="0" fontId="50" fillId="5" borderId="118" xfId="0" applyFont="1" applyFill="1" applyBorder="1" applyAlignment="1" applyProtection="1">
      <alignment horizontal="center" wrapText="1"/>
      <protection hidden="1"/>
    </xf>
    <xf numFmtId="0" fontId="50" fillId="5" borderId="12" xfId="0" applyFont="1" applyFill="1" applyBorder="1" applyAlignment="1" applyProtection="1">
      <alignment horizontal="center" wrapText="1"/>
      <protection hidden="1"/>
    </xf>
    <xf numFmtId="0" fontId="28" fillId="5" borderId="119" xfId="0" applyFont="1" applyFill="1" applyBorder="1" applyAlignment="1" applyProtection="1">
      <alignment horizontal="left"/>
      <protection hidden="1"/>
    </xf>
    <xf numFmtId="0" fontId="28" fillId="5" borderId="120" xfId="0" applyFont="1" applyFill="1" applyBorder="1" applyAlignment="1" applyProtection="1">
      <alignment horizontal="left"/>
      <protection hidden="1"/>
    </xf>
    <xf numFmtId="0" fontId="2" fillId="5" borderId="121" xfId="0" applyFont="1" applyFill="1" applyBorder="1" applyAlignment="1" applyProtection="1">
      <alignment horizontal="center"/>
      <protection hidden="1"/>
    </xf>
    <xf numFmtId="0" fontId="2" fillId="5" borderId="122" xfId="0" applyFont="1" applyFill="1" applyBorder="1" applyAlignment="1" applyProtection="1">
      <alignment horizontal="center"/>
      <protection hidden="1"/>
    </xf>
    <xf numFmtId="0" fontId="2" fillId="5" borderId="123" xfId="0" applyFont="1" applyFill="1" applyBorder="1" applyAlignment="1" applyProtection="1">
      <alignment horizontal="center"/>
      <protection hidden="1"/>
    </xf>
    <xf numFmtId="0" fontId="28" fillId="5" borderId="130" xfId="0" applyFont="1" applyFill="1" applyBorder="1" applyAlignment="1" applyProtection="1">
      <alignment horizontal="left"/>
      <protection hidden="1"/>
    </xf>
    <xf numFmtId="0" fontId="28" fillId="5" borderId="131" xfId="0" applyFont="1" applyFill="1" applyBorder="1" applyAlignment="1" applyProtection="1">
      <alignment horizontal="left"/>
      <protection hidden="1"/>
    </xf>
    <xf numFmtId="0" fontId="2" fillId="5" borderId="132" xfId="0" applyFont="1" applyFill="1" applyBorder="1" applyAlignment="1" applyProtection="1">
      <alignment horizontal="center"/>
      <protection hidden="1"/>
    </xf>
    <xf numFmtId="40" fontId="126" fillId="11" borderId="6" xfId="0" applyNumberFormat="1" applyFont="1" applyFill="1" applyBorder="1" applyAlignment="1" applyProtection="1">
      <alignment horizontal="center" vertical="top"/>
      <protection hidden="1"/>
    </xf>
    <xf numFmtId="0" fontId="126" fillId="11" borderId="6" xfId="0" applyFont="1" applyFill="1" applyBorder="1" applyAlignment="1" applyProtection="1">
      <alignment horizontal="center" vertical="top"/>
      <protection hidden="1"/>
    </xf>
    <xf numFmtId="0" fontId="126" fillId="11" borderId="133" xfId="0" applyFont="1" applyFill="1" applyBorder="1" applyAlignment="1" applyProtection="1">
      <alignment horizontal="center" vertical="top"/>
      <protection hidden="1"/>
    </xf>
    <xf numFmtId="0" fontId="159" fillId="11" borderId="0" xfId="0" applyFont="1" applyFill="1" applyBorder="1" applyAlignment="1" applyProtection="1">
      <alignment horizontal="center" wrapText="1"/>
      <protection hidden="1"/>
    </xf>
    <xf numFmtId="0" fontId="159" fillId="11" borderId="57" xfId="0" applyFont="1" applyFill="1" applyBorder="1" applyAlignment="1" applyProtection="1">
      <alignment horizontal="center" wrapText="1"/>
      <protection hidden="1"/>
    </xf>
    <xf numFmtId="40" fontId="126" fillId="11" borderId="0" xfId="0" applyNumberFormat="1" applyFont="1" applyFill="1" applyBorder="1" applyAlignment="1" applyProtection="1">
      <alignment horizontal="center" vertical="top"/>
      <protection hidden="1"/>
    </xf>
    <xf numFmtId="40" fontId="126" fillId="11" borderId="57" xfId="0" applyNumberFormat="1" applyFont="1" applyFill="1" applyBorder="1" applyAlignment="1" applyProtection="1">
      <alignment horizontal="center" vertical="top"/>
      <protection hidden="1"/>
    </xf>
    <xf numFmtId="0" fontId="160" fillId="11" borderId="0" xfId="0" applyFont="1" applyFill="1" applyBorder="1" applyAlignment="1" applyProtection="1">
      <alignment horizontal="center"/>
      <protection hidden="1"/>
    </xf>
    <xf numFmtId="0" fontId="160" fillId="11" borderId="57" xfId="0" applyFont="1" applyFill="1" applyBorder="1" applyAlignment="1" applyProtection="1">
      <alignment horizontal="center"/>
      <protection hidden="1"/>
    </xf>
    <xf numFmtId="0" fontId="124" fillId="11" borderId="127" xfId="0" applyFont="1" applyFill="1" applyBorder="1" applyAlignment="1" applyProtection="1">
      <alignment horizontal="center"/>
      <protection hidden="1"/>
    </xf>
    <xf numFmtId="0" fontId="124" fillId="11" borderId="60" xfId="0" applyFont="1" applyFill="1" applyBorder="1" applyAlignment="1" applyProtection="1">
      <alignment horizontal="center"/>
      <protection hidden="1"/>
    </xf>
    <xf numFmtId="4" fontId="126" fillId="11" borderId="0" xfId="0" applyNumberFormat="1" applyFont="1" applyFill="1" applyBorder="1" applyAlignment="1" applyProtection="1">
      <alignment horizontal="center"/>
      <protection hidden="1"/>
    </xf>
    <xf numFmtId="4" fontId="126" fillId="11" borderId="57" xfId="0" applyNumberFormat="1" applyFont="1" applyFill="1" applyBorder="1" applyAlignment="1" applyProtection="1">
      <alignment horizontal="center"/>
      <protection hidden="1"/>
    </xf>
    <xf numFmtId="0" fontId="158" fillId="11" borderId="0" xfId="0" applyFont="1" applyFill="1" applyBorder="1" applyAlignment="1" applyProtection="1">
      <alignment horizontal="center" vertical="top"/>
      <protection hidden="1"/>
    </xf>
    <xf numFmtId="0" fontId="155" fillId="11" borderId="111" xfId="0" applyFont="1" applyFill="1" applyBorder="1" applyAlignment="1" applyProtection="1">
      <alignment horizontal="center"/>
      <protection hidden="1"/>
    </xf>
    <xf numFmtId="0" fontId="155" fillId="11" borderId="112" xfId="0" applyFont="1" applyFill="1" applyBorder="1" applyAlignment="1" applyProtection="1">
      <alignment horizontal="center"/>
      <protection hidden="1"/>
    </xf>
    <xf numFmtId="0" fontId="155" fillId="11" borderId="113" xfId="0" applyFont="1" applyFill="1" applyBorder="1" applyAlignment="1" applyProtection="1">
      <alignment horizontal="center"/>
      <protection hidden="1"/>
    </xf>
    <xf numFmtId="0" fontId="126" fillId="11" borderId="0" xfId="0" applyFont="1" applyFill="1" applyAlignment="1" applyProtection="1">
      <alignment horizontal="left" vertical="center"/>
      <protection hidden="1"/>
    </xf>
    <xf numFmtId="176" fontId="126" fillId="11" borderId="0" xfId="0" applyNumberFormat="1" applyFont="1" applyFill="1" applyAlignment="1" applyProtection="1">
      <alignment horizontal="left" vertical="center"/>
      <protection hidden="1"/>
    </xf>
    <xf numFmtId="0" fontId="121" fillId="11" borderId="72" xfId="0" applyFont="1" applyFill="1" applyBorder="1" applyAlignment="1" applyProtection="1">
      <alignment horizontal="center" vertical="center" wrapText="1"/>
      <protection hidden="1"/>
    </xf>
    <xf numFmtId="0" fontId="13" fillId="18" borderId="6" xfId="0" applyFont="1" applyFill="1" applyBorder="1" applyAlignment="1">
      <alignment horizontal="center" vertical="center"/>
    </xf>
    <xf numFmtId="171" fontId="46" fillId="2" borderId="0" xfId="0" applyNumberFormat="1" applyFont="1" applyFill="1" applyBorder="1" applyAlignment="1" applyProtection="1">
      <alignment horizontal="justify" vertical="top" wrapText="1"/>
      <protection hidden="1"/>
    </xf>
    <xf numFmtId="171" fontId="46" fillId="2" borderId="0" xfId="0" applyNumberFormat="1" applyFont="1" applyFill="1" applyBorder="1" applyAlignment="1" applyProtection="1">
      <alignment horizontal="justify" vertical="top"/>
      <protection hidden="1"/>
    </xf>
    <xf numFmtId="0" fontId="83" fillId="11" borderId="0" xfId="0" applyFont="1" applyFill="1" applyAlignment="1" applyProtection="1">
      <alignment horizontal="center" vertical="center" wrapText="1"/>
      <protection hidden="1"/>
    </xf>
    <xf numFmtId="0" fontId="51" fillId="0" borderId="2" xfId="0" applyFont="1" applyBorder="1" applyAlignment="1" applyProtection="1">
      <alignment horizontal="right" vertical="top"/>
      <protection hidden="1"/>
    </xf>
    <xf numFmtId="0" fontId="51" fillId="0" borderId="46" xfId="0" applyFont="1" applyBorder="1" applyAlignment="1" applyProtection="1">
      <alignment horizontal="right" vertical="top"/>
      <protection hidden="1"/>
    </xf>
    <xf numFmtId="0" fontId="70" fillId="0" borderId="0" xfId="0" applyFont="1" applyBorder="1" applyAlignment="1" applyProtection="1">
      <alignment horizontal="center" vertical="center"/>
      <protection hidden="1"/>
    </xf>
    <xf numFmtId="0" fontId="66" fillId="19" borderId="134" xfId="0" applyFont="1" applyFill="1" applyBorder="1" applyAlignment="1" applyProtection="1">
      <alignment horizontal="left" vertical="center" shrinkToFit="1"/>
      <protection locked="0" hidden="1"/>
    </xf>
    <xf numFmtId="0" fontId="66" fillId="19" borderId="135" xfId="0" applyFont="1" applyFill="1" applyBorder="1" applyAlignment="1" applyProtection="1">
      <alignment horizontal="left" vertical="center" shrinkToFit="1"/>
      <protection locked="0" hidden="1"/>
    </xf>
    <xf numFmtId="0" fontId="66" fillId="19" borderId="136" xfId="0" applyFont="1" applyFill="1" applyBorder="1" applyAlignment="1" applyProtection="1">
      <alignment horizontal="left" vertical="center" shrinkToFit="1"/>
      <protection locked="0" hidden="1"/>
    </xf>
    <xf numFmtId="0" fontId="45" fillId="2" borderId="0" xfId="0" applyFont="1" applyFill="1" applyBorder="1" applyAlignment="1" applyProtection="1">
      <alignment horizontal="left" wrapText="1"/>
      <protection hidden="1"/>
    </xf>
    <xf numFmtId="0" fontId="45" fillId="2" borderId="0" xfId="0" applyFont="1" applyFill="1" applyBorder="1" applyAlignment="1" applyProtection="1">
      <alignment horizontal="left" vertical="top" wrapText="1"/>
      <protection hidden="1"/>
    </xf>
    <xf numFmtId="0" fontId="137" fillId="2" borderId="6" xfId="0" applyFont="1" applyFill="1" applyBorder="1" applyAlignment="1" applyProtection="1">
      <alignment horizontal="left"/>
      <protection hidden="1"/>
    </xf>
    <xf numFmtId="0" fontId="136" fillId="2" borderId="6" xfId="0" applyFont="1" applyFill="1" applyBorder="1" applyAlignment="1" applyProtection="1">
      <alignment horizontal="left"/>
      <protection hidden="1"/>
    </xf>
    <xf numFmtId="174" fontId="48" fillId="2" borderId="0" xfId="0" applyNumberFormat="1" applyFont="1" applyFill="1" applyBorder="1" applyAlignment="1" applyProtection="1">
      <alignment horizontal="right" vertical="top"/>
      <protection hidden="1"/>
    </xf>
    <xf numFmtId="0" fontId="193" fillId="2" borderId="0" xfId="0" applyFont="1" applyFill="1" applyBorder="1" applyAlignment="1" applyProtection="1">
      <alignment horizontal="left" vertical="top" wrapText="1"/>
      <protection hidden="1"/>
    </xf>
    <xf numFmtId="0" fontId="240" fillId="2" borderId="0" xfId="0" applyFont="1" applyFill="1" applyBorder="1" applyAlignment="1" applyProtection="1">
      <alignment horizontal="left" vertical="top" wrapText="1"/>
      <protection hidden="1"/>
    </xf>
    <xf numFmtId="0" fontId="71" fillId="2" borderId="0" xfId="0" applyFont="1" applyFill="1" applyBorder="1" applyAlignment="1" applyProtection="1">
      <alignment horizontal="left"/>
      <protection hidden="1"/>
    </xf>
    <xf numFmtId="0" fontId="48" fillId="2" borderId="0" xfId="0" applyFont="1" applyFill="1" applyBorder="1" applyAlignment="1" applyProtection="1">
      <alignment horizontal="center" wrapText="1"/>
      <protection hidden="1"/>
    </xf>
    <xf numFmtId="0" fontId="69" fillId="2" borderId="6" xfId="0" applyFont="1" applyFill="1" applyBorder="1" applyAlignment="1" applyProtection="1">
      <alignment horizontal="left" wrapText="1"/>
      <protection hidden="1"/>
    </xf>
    <xf numFmtId="0" fontId="237" fillId="19" borderId="141" xfId="0" applyFont="1" applyFill="1" applyBorder="1" applyAlignment="1" applyProtection="1">
      <alignment horizontal="left" vertical="center" shrinkToFit="1"/>
      <protection hidden="1"/>
    </xf>
    <xf numFmtId="0" fontId="237" fillId="19" borderId="120" xfId="0" applyFont="1" applyFill="1" applyBorder="1" applyAlignment="1" applyProtection="1">
      <alignment horizontal="left" vertical="center" shrinkToFit="1"/>
      <protection hidden="1"/>
    </xf>
    <xf numFmtId="0" fontId="237" fillId="19" borderId="142" xfId="0" applyFont="1" applyFill="1" applyBorder="1" applyAlignment="1" applyProtection="1">
      <alignment horizontal="left" vertical="center" shrinkToFit="1"/>
      <protection hidden="1"/>
    </xf>
    <xf numFmtId="0" fontId="46" fillId="2" borderId="0" xfId="4" applyFont="1" applyFill="1" applyBorder="1" applyAlignment="1" applyProtection="1">
      <alignment horizontal="left" vertical="top" wrapText="1"/>
      <protection hidden="1"/>
    </xf>
    <xf numFmtId="0" fontId="0" fillId="2" borderId="0" xfId="0" applyFill="1" applyBorder="1" applyAlignment="1" applyProtection="1">
      <alignment horizontal="left"/>
      <protection hidden="1"/>
    </xf>
    <xf numFmtId="0" fontId="71" fillId="19" borderId="134" xfId="0" applyFont="1" applyFill="1" applyBorder="1" applyAlignment="1" applyProtection="1">
      <alignment horizontal="left" vertical="center"/>
      <protection locked="0" hidden="1"/>
    </xf>
    <xf numFmtId="0" fontId="71" fillId="19" borderId="136" xfId="0" applyFont="1" applyFill="1" applyBorder="1" applyAlignment="1" applyProtection="1">
      <alignment horizontal="left" vertical="center"/>
      <protection locked="0" hidden="1"/>
    </xf>
    <xf numFmtId="3" fontId="191" fillId="18" borderId="137" xfId="0" applyNumberFormat="1" applyFont="1" applyFill="1" applyBorder="1" applyAlignment="1" applyProtection="1">
      <alignment horizontal="right" vertical="center"/>
      <protection locked="0" hidden="1"/>
    </xf>
    <xf numFmtId="3" fontId="191" fillId="18" borderId="138" xfId="0" applyNumberFormat="1" applyFont="1" applyFill="1" applyBorder="1" applyAlignment="1" applyProtection="1">
      <alignment horizontal="right" vertical="center"/>
      <protection locked="0" hidden="1"/>
    </xf>
    <xf numFmtId="3" fontId="191" fillId="18" borderId="139" xfId="0" applyNumberFormat="1" applyFont="1" applyFill="1" applyBorder="1" applyAlignment="1" applyProtection="1">
      <alignment horizontal="right" vertical="center"/>
      <protection locked="0" hidden="1"/>
    </xf>
    <xf numFmtId="3" fontId="191" fillId="18" borderId="140" xfId="0" applyNumberFormat="1" applyFont="1" applyFill="1" applyBorder="1" applyAlignment="1" applyProtection="1">
      <alignment horizontal="right" vertical="center"/>
      <protection locked="0" hidden="1"/>
    </xf>
    <xf numFmtId="0" fontId="201" fillId="2" borderId="0" xfId="0" applyFont="1" applyFill="1" applyAlignment="1" applyProtection="1">
      <alignment horizontal="justify" vertical="top" wrapText="1"/>
      <protection hidden="1"/>
    </xf>
    <xf numFmtId="0" fontId="71" fillId="2" borderId="0" xfId="0" applyFont="1" applyFill="1" applyAlignment="1" applyProtection="1">
      <alignment horizontal="left"/>
      <protection hidden="1"/>
    </xf>
    <xf numFmtId="0" fontId="71" fillId="19" borderId="135" xfId="0" applyFont="1" applyFill="1" applyBorder="1" applyAlignment="1" applyProtection="1">
      <alignment horizontal="left" vertical="center"/>
      <protection locked="0" hidden="1"/>
    </xf>
    <xf numFmtId="0" fontId="241" fillId="2" borderId="0" xfId="0" applyFont="1" applyFill="1" applyBorder="1" applyAlignment="1" applyProtection="1">
      <alignment horizontal="center" vertical="center" wrapText="1"/>
      <protection hidden="1"/>
    </xf>
    <xf numFmtId="0" fontId="242" fillId="16" borderId="59" xfId="0" applyFont="1" applyFill="1" applyBorder="1" applyAlignment="1" applyProtection="1">
      <alignment horizontal="left"/>
      <protection hidden="1"/>
    </xf>
    <xf numFmtId="0" fontId="242" fillId="16" borderId="0" xfId="0" applyFont="1" applyFill="1" applyBorder="1" applyAlignment="1" applyProtection="1">
      <alignment horizontal="left"/>
      <protection hidden="1"/>
    </xf>
    <xf numFmtId="0" fontId="96" fillId="2" borderId="59" xfId="0" applyFont="1" applyFill="1" applyBorder="1" applyAlignment="1" applyProtection="1">
      <alignment horizontal="left"/>
      <protection hidden="1"/>
    </xf>
    <xf numFmtId="0" fontId="96" fillId="2" borderId="0" xfId="0" applyFont="1" applyFill="1" applyBorder="1" applyAlignment="1" applyProtection="1">
      <alignment horizontal="left"/>
      <protection hidden="1"/>
    </xf>
    <xf numFmtId="38" fontId="61" fillId="30" borderId="143" xfId="0" applyNumberFormat="1" applyFont="1" applyFill="1" applyBorder="1" applyAlignment="1" applyProtection="1">
      <alignment horizontal="center"/>
      <protection hidden="1"/>
    </xf>
    <xf numFmtId="38" fontId="61" fillId="30" borderId="144" xfId="0" applyNumberFormat="1" applyFont="1" applyFill="1" applyBorder="1" applyAlignment="1" applyProtection="1">
      <alignment horizontal="center"/>
      <protection hidden="1"/>
    </xf>
    <xf numFmtId="38" fontId="61" fillId="30" borderId="145" xfId="0" applyNumberFormat="1" applyFont="1" applyFill="1" applyBorder="1" applyAlignment="1" applyProtection="1">
      <alignment horizontal="center"/>
      <protection hidden="1"/>
    </xf>
    <xf numFmtId="0" fontId="12" fillId="13" borderId="72" xfId="0" applyFont="1" applyFill="1" applyBorder="1" applyAlignment="1" applyProtection="1">
      <alignment horizontal="left" vertical="top" wrapText="1"/>
      <protection hidden="1"/>
    </xf>
    <xf numFmtId="0" fontId="12" fillId="13" borderId="57" xfId="0" applyFont="1" applyFill="1" applyBorder="1" applyAlignment="1" applyProtection="1">
      <alignment horizontal="left" vertical="top" wrapText="1"/>
      <protection hidden="1"/>
    </xf>
    <xf numFmtId="0" fontId="12" fillId="13" borderId="73" xfId="0" applyFont="1" applyFill="1" applyBorder="1" applyAlignment="1" applyProtection="1">
      <alignment horizontal="left" vertical="top" wrapText="1"/>
      <protection hidden="1"/>
    </xf>
    <xf numFmtId="0" fontId="12" fillId="13" borderId="133" xfId="0" applyFont="1" applyFill="1" applyBorder="1" applyAlignment="1" applyProtection="1">
      <alignment horizontal="left" vertical="top" wrapText="1"/>
      <protection hidden="1"/>
    </xf>
    <xf numFmtId="3" fontId="198" fillId="11" borderId="0" xfId="0" applyNumberFormat="1" applyFont="1" applyFill="1" applyAlignment="1" applyProtection="1">
      <alignment horizontal="left"/>
      <protection hidden="1"/>
    </xf>
    <xf numFmtId="0" fontId="124" fillId="11" borderId="0" xfId="0" applyFont="1" applyFill="1" applyAlignment="1" applyProtection="1">
      <alignment horizontal="center" wrapText="1"/>
      <protection hidden="1"/>
    </xf>
    <xf numFmtId="0" fontId="77" fillId="2" borderId="50" xfId="3" applyFont="1" applyFill="1" applyBorder="1" applyAlignment="1" applyProtection="1">
      <alignment horizontal="center"/>
      <protection hidden="1"/>
    </xf>
    <xf numFmtId="0" fontId="117" fillId="2" borderId="59" xfId="0" applyFont="1" applyFill="1" applyBorder="1" applyAlignment="1" applyProtection="1">
      <alignment horizontal="left"/>
      <protection hidden="1"/>
    </xf>
    <xf numFmtId="0" fontId="117" fillId="2" borderId="0" xfId="0" applyFont="1" applyFill="1" applyBorder="1" applyAlignment="1" applyProtection="1">
      <alignment horizontal="left"/>
      <protection hidden="1"/>
    </xf>
    <xf numFmtId="164" fontId="218" fillId="2" borderId="0" xfId="1" applyFont="1" applyFill="1" applyBorder="1" applyAlignment="1" applyProtection="1">
      <alignment horizontal="left"/>
      <protection hidden="1"/>
    </xf>
    <xf numFmtId="0" fontId="124" fillId="15" borderId="165" xfId="3" applyFont="1" applyFill="1" applyBorder="1" applyAlignment="1" applyProtection="1">
      <alignment horizontal="center" vertical="center"/>
      <protection hidden="1"/>
    </xf>
    <xf numFmtId="0" fontId="124" fillId="15" borderId="166" xfId="3" applyFont="1" applyFill="1" applyBorder="1" applyAlignment="1" applyProtection="1">
      <alignment horizontal="center" vertical="center"/>
      <protection hidden="1"/>
    </xf>
    <xf numFmtId="0" fontId="95" fillId="2" borderId="0" xfId="0" applyFont="1" applyFill="1" applyBorder="1" applyAlignment="1" applyProtection="1">
      <alignment horizontal="center" vertical="top" wrapText="1"/>
      <protection hidden="1"/>
    </xf>
    <xf numFmtId="0" fontId="95" fillId="2" borderId="48" xfId="0" applyFont="1" applyFill="1" applyBorder="1" applyAlignment="1" applyProtection="1">
      <alignment horizontal="center" vertical="top" wrapText="1"/>
      <protection hidden="1"/>
    </xf>
    <xf numFmtId="0" fontId="66" fillId="2" borderId="0" xfId="0" applyFont="1" applyFill="1" applyBorder="1" applyAlignment="1" applyProtection="1">
      <alignment horizontal="left"/>
      <protection hidden="1"/>
    </xf>
    <xf numFmtId="0" fontId="124" fillId="15" borderId="77" xfId="0" applyFont="1" applyFill="1" applyBorder="1" applyAlignment="1" applyProtection="1">
      <alignment horizontal="center" vertical="center" wrapText="1"/>
      <protection hidden="1"/>
    </xf>
    <xf numFmtId="0" fontId="124" fillId="15" borderId="156" xfId="0" applyFont="1" applyFill="1" applyBorder="1" applyAlignment="1" applyProtection="1">
      <alignment horizontal="center" vertical="center" wrapText="1"/>
      <protection hidden="1"/>
    </xf>
    <xf numFmtId="0" fontId="124" fillId="15" borderId="164" xfId="0" applyFont="1" applyFill="1" applyBorder="1" applyAlignment="1" applyProtection="1">
      <alignment horizontal="center" vertical="center" wrapText="1"/>
      <protection hidden="1"/>
    </xf>
    <xf numFmtId="0" fontId="124" fillId="15" borderId="157" xfId="0" applyFont="1" applyFill="1" applyBorder="1" applyAlignment="1" applyProtection="1">
      <alignment horizontal="center" vertical="center" wrapText="1"/>
      <protection hidden="1"/>
    </xf>
    <xf numFmtId="0" fontId="124" fillId="15" borderId="155" xfId="0" applyFont="1" applyFill="1" applyBorder="1" applyAlignment="1" applyProtection="1">
      <alignment horizontal="center" vertical="center" wrapText="1"/>
      <protection hidden="1"/>
    </xf>
    <xf numFmtId="0" fontId="124" fillId="15" borderId="76" xfId="0" applyFont="1" applyFill="1" applyBorder="1" applyAlignment="1" applyProtection="1">
      <alignment horizontal="center" vertical="center" wrapText="1"/>
      <protection hidden="1"/>
    </xf>
    <xf numFmtId="0" fontId="169" fillId="9" borderId="146" xfId="0" applyFont="1" applyFill="1" applyBorder="1" applyAlignment="1" applyProtection="1">
      <alignment horizontal="left"/>
      <protection hidden="1"/>
    </xf>
    <xf numFmtId="0" fontId="169" fillId="9" borderId="158" xfId="0" applyFont="1" applyFill="1" applyBorder="1" applyAlignment="1" applyProtection="1">
      <alignment horizontal="left"/>
      <protection hidden="1"/>
    </xf>
    <xf numFmtId="164" fontId="114" fillId="16" borderId="159" xfId="1" applyFont="1" applyFill="1" applyBorder="1" applyAlignment="1" applyProtection="1">
      <alignment horizontal="center"/>
      <protection hidden="1"/>
    </xf>
    <xf numFmtId="164" fontId="114" fillId="16" borderId="160" xfId="1" applyFont="1" applyFill="1" applyBorder="1" applyAlignment="1" applyProtection="1">
      <alignment horizontal="center"/>
      <protection hidden="1"/>
    </xf>
    <xf numFmtId="0" fontId="47" fillId="9" borderId="143" xfId="0" applyFont="1" applyFill="1" applyBorder="1" applyAlignment="1" applyProtection="1">
      <alignment horizontal="left"/>
      <protection hidden="1"/>
    </xf>
    <xf numFmtId="0" fontId="47" fillId="9" borderId="145" xfId="0" applyFont="1" applyFill="1" applyBorder="1" applyAlignment="1" applyProtection="1">
      <alignment horizontal="left"/>
      <protection hidden="1"/>
    </xf>
    <xf numFmtId="0" fontId="219" fillId="2" borderId="155" xfId="0" applyFont="1" applyFill="1" applyBorder="1" applyAlignment="1" applyProtection="1">
      <alignment horizontal="left" vertical="center"/>
      <protection hidden="1"/>
    </xf>
    <xf numFmtId="0" fontId="219" fillId="2" borderId="0" xfId="0" applyFont="1" applyFill="1" applyBorder="1" applyAlignment="1" applyProtection="1">
      <alignment horizontal="left" vertical="center"/>
      <protection hidden="1"/>
    </xf>
    <xf numFmtId="0" fontId="47" fillId="2" borderId="0" xfId="0" applyFont="1" applyFill="1" applyBorder="1" applyAlignment="1" applyProtection="1">
      <alignment horizontal="left" vertical="center"/>
      <protection hidden="1"/>
    </xf>
    <xf numFmtId="0" fontId="180" fillId="2" borderId="155" xfId="0" applyFont="1" applyFill="1" applyBorder="1" applyAlignment="1" applyProtection="1">
      <alignment horizontal="left" vertical="center"/>
      <protection hidden="1"/>
    </xf>
    <xf numFmtId="0" fontId="180" fillId="2" borderId="161" xfId="0" applyFont="1" applyFill="1" applyBorder="1" applyAlignment="1" applyProtection="1">
      <alignment horizontal="left" vertical="center"/>
      <protection hidden="1"/>
    </xf>
    <xf numFmtId="0" fontId="180" fillId="2" borderId="0" xfId="0" applyFont="1" applyFill="1" applyBorder="1" applyAlignment="1" applyProtection="1">
      <alignment horizontal="left" vertical="center"/>
      <protection hidden="1"/>
    </xf>
    <xf numFmtId="0" fontId="180" fillId="2" borderId="5" xfId="0" applyFont="1" applyFill="1" applyBorder="1" applyAlignment="1" applyProtection="1">
      <alignment horizontal="left" vertical="center"/>
      <protection hidden="1"/>
    </xf>
    <xf numFmtId="0" fontId="47" fillId="2" borderId="76" xfId="0" applyFont="1" applyFill="1" applyBorder="1" applyAlignment="1" applyProtection="1">
      <alignment horizontal="left" vertical="center"/>
      <protection hidden="1"/>
    </xf>
    <xf numFmtId="0" fontId="240" fillId="16" borderId="162" xfId="0" applyFont="1" applyFill="1" applyBorder="1" applyAlignment="1" applyProtection="1">
      <alignment horizontal="right"/>
      <protection hidden="1"/>
    </xf>
    <xf numFmtId="0" fontId="240" fillId="16" borderId="163" xfId="0" applyFont="1" applyFill="1" applyBorder="1" applyAlignment="1" applyProtection="1">
      <alignment horizontal="right"/>
      <protection hidden="1"/>
    </xf>
    <xf numFmtId="0" fontId="71" fillId="2" borderId="0" xfId="0" applyFont="1" applyFill="1" applyBorder="1" applyAlignment="1" applyProtection="1">
      <alignment horizontal="justify" wrapText="1"/>
      <protection hidden="1"/>
    </xf>
    <xf numFmtId="9" fontId="96" fillId="2" borderId="59" xfId="0" applyNumberFormat="1" applyFont="1" applyFill="1" applyBorder="1" applyAlignment="1" applyProtection="1">
      <alignment horizontal="center"/>
      <protection hidden="1"/>
    </xf>
    <xf numFmtId="9" fontId="96" fillId="2" borderId="0" xfId="0" applyNumberFormat="1" applyFont="1" applyFill="1" applyBorder="1" applyAlignment="1" applyProtection="1">
      <alignment horizontal="center"/>
      <protection hidden="1"/>
    </xf>
    <xf numFmtId="164" fontId="96" fillId="2" borderId="0" xfId="1" applyFont="1" applyFill="1" applyBorder="1" applyAlignment="1" applyProtection="1">
      <alignment horizontal="left"/>
      <protection hidden="1"/>
    </xf>
    <xf numFmtId="38" fontId="128" fillId="2" borderId="59" xfId="0" applyNumberFormat="1" applyFont="1" applyFill="1" applyBorder="1" applyAlignment="1" applyProtection="1">
      <alignment horizontal="center" vertical="center"/>
      <protection hidden="1"/>
    </xf>
    <xf numFmtId="0" fontId="0" fillId="0" borderId="0" xfId="0" applyAlignment="1" applyProtection="1">
      <alignment horizontal="center" vertical="center"/>
      <protection hidden="1"/>
    </xf>
    <xf numFmtId="0" fontId="47" fillId="2" borderId="0" xfId="0" applyFont="1" applyFill="1" applyBorder="1" applyAlignment="1" applyProtection="1">
      <alignment horizontal="right"/>
      <protection hidden="1"/>
    </xf>
    <xf numFmtId="0" fontId="47" fillId="2" borderId="5" xfId="0" applyFont="1" applyFill="1" applyBorder="1" applyAlignment="1" applyProtection="1">
      <alignment horizontal="right"/>
      <protection hidden="1"/>
    </xf>
    <xf numFmtId="0" fontId="146" fillId="3" borderId="150" xfId="0" applyFont="1" applyFill="1" applyBorder="1" applyAlignment="1" applyProtection="1">
      <alignment horizontal="center"/>
      <protection hidden="1"/>
    </xf>
    <xf numFmtId="0" fontId="146" fillId="3" borderId="151" xfId="0" applyFont="1" applyFill="1" applyBorder="1" applyAlignment="1" applyProtection="1">
      <alignment horizontal="center"/>
      <protection hidden="1"/>
    </xf>
    <xf numFmtId="0" fontId="88" fillId="16" borderId="143" xfId="0" applyFont="1" applyFill="1" applyBorder="1" applyAlignment="1" applyProtection="1">
      <alignment horizontal="center" vertical="center"/>
      <protection hidden="1"/>
    </xf>
    <xf numFmtId="0" fontId="88" fillId="16" borderId="144" xfId="0" applyFont="1" applyFill="1" applyBorder="1" applyAlignment="1" applyProtection="1">
      <alignment horizontal="center" vertical="center"/>
      <protection hidden="1"/>
    </xf>
    <xf numFmtId="0" fontId="88" fillId="16" borderId="145" xfId="0" applyFont="1" applyFill="1" applyBorder="1" applyAlignment="1" applyProtection="1">
      <alignment horizontal="center" vertical="center"/>
      <protection hidden="1"/>
    </xf>
    <xf numFmtId="0" fontId="117" fillId="2" borderId="59" xfId="0" applyFont="1" applyFill="1" applyBorder="1" applyAlignment="1" applyProtection="1">
      <alignment horizontal="right"/>
      <protection hidden="1"/>
    </xf>
    <xf numFmtId="0" fontId="117" fillId="2" borderId="0" xfId="0" applyFont="1" applyFill="1" applyBorder="1" applyAlignment="1" applyProtection="1">
      <alignment horizontal="right"/>
      <protection hidden="1"/>
    </xf>
    <xf numFmtId="2" fontId="140" fillId="16" borderId="146" xfId="0" applyNumberFormat="1" applyFont="1" applyFill="1" applyBorder="1" applyAlignment="1" applyProtection="1">
      <alignment horizontal="left"/>
      <protection hidden="1"/>
    </xf>
    <xf numFmtId="0" fontId="140" fillId="16" borderId="152" xfId="0" applyFont="1" applyFill="1" applyBorder="1" applyAlignment="1" applyProtection="1">
      <alignment horizontal="left"/>
      <protection hidden="1"/>
    </xf>
    <xf numFmtId="0" fontId="72" fillId="2" borderId="143" xfId="0" applyFont="1" applyFill="1" applyBorder="1" applyAlignment="1" applyProtection="1">
      <alignment horizontal="left"/>
      <protection hidden="1"/>
    </xf>
    <xf numFmtId="0" fontId="72" fillId="2" borderId="145" xfId="0" applyFont="1" applyFill="1" applyBorder="1" applyAlignment="1" applyProtection="1">
      <alignment horizontal="left"/>
      <protection hidden="1"/>
    </xf>
    <xf numFmtId="0" fontId="161" fillId="2" borderId="0" xfId="0" applyFont="1" applyFill="1" applyBorder="1" applyAlignment="1" applyProtection="1">
      <alignment horizontal="center" wrapText="1"/>
      <protection hidden="1"/>
    </xf>
    <xf numFmtId="0" fontId="161" fillId="2" borderId="5" xfId="0" applyFont="1" applyFill="1" applyBorder="1" applyAlignment="1" applyProtection="1">
      <alignment horizontal="center" wrapText="1"/>
      <protection hidden="1"/>
    </xf>
    <xf numFmtId="0" fontId="169" fillId="9" borderId="153" xfId="0" applyFont="1" applyFill="1" applyBorder="1" applyAlignment="1" applyProtection="1">
      <alignment horizontal="left"/>
      <protection hidden="1"/>
    </xf>
    <xf numFmtId="0" fontId="169" fillId="9" borderId="154" xfId="0" applyFont="1" applyFill="1" applyBorder="1" applyAlignment="1" applyProtection="1">
      <alignment horizontal="left"/>
      <protection hidden="1"/>
    </xf>
    <xf numFmtId="0" fontId="96" fillId="2" borderId="0" xfId="0" applyFont="1" applyFill="1" applyBorder="1" applyAlignment="1" applyProtection="1">
      <alignment horizontal="center"/>
      <protection hidden="1"/>
    </xf>
    <xf numFmtId="0" fontId="96" fillId="2" borderId="78" xfId="0" applyFont="1" applyFill="1" applyBorder="1" applyAlignment="1" applyProtection="1">
      <alignment horizontal="center"/>
      <protection hidden="1"/>
    </xf>
    <xf numFmtId="0" fontId="55" fillId="9" borderId="143" xfId="0" applyFont="1" applyFill="1" applyBorder="1" applyAlignment="1" applyProtection="1">
      <alignment horizontal="left" vertical="center"/>
      <protection hidden="1"/>
    </xf>
    <xf numFmtId="0" fontId="55" fillId="9" borderId="152" xfId="0" applyFont="1" applyFill="1" applyBorder="1" applyAlignment="1" applyProtection="1">
      <alignment horizontal="left" vertical="center"/>
      <protection hidden="1"/>
    </xf>
    <xf numFmtId="0" fontId="55" fillId="9" borderId="143" xfId="0" applyFont="1" applyFill="1" applyBorder="1" applyAlignment="1" applyProtection="1">
      <alignment horizontal="left"/>
      <protection hidden="1"/>
    </xf>
    <xf numFmtId="0" fontId="55" fillId="9" borderId="144" xfId="0" applyFont="1" applyFill="1" applyBorder="1" applyAlignment="1" applyProtection="1">
      <alignment horizontal="left"/>
      <protection hidden="1"/>
    </xf>
    <xf numFmtId="0" fontId="55" fillId="9" borderId="145" xfId="0" applyFont="1" applyFill="1" applyBorder="1" applyAlignment="1" applyProtection="1">
      <alignment horizontal="left"/>
      <protection hidden="1"/>
    </xf>
    <xf numFmtId="0" fontId="78" fillId="9" borderId="143" xfId="0" applyFont="1" applyFill="1" applyBorder="1" applyAlignment="1" applyProtection="1">
      <alignment horizontal="left"/>
      <protection hidden="1"/>
    </xf>
    <xf numFmtId="0" fontId="78" fillId="9" borderId="144" xfId="0" applyFont="1" applyFill="1" applyBorder="1" applyAlignment="1" applyProtection="1">
      <alignment horizontal="left"/>
      <protection hidden="1"/>
    </xf>
    <xf numFmtId="0" fontId="78" fillId="9" borderId="145" xfId="0" applyFont="1" applyFill="1" applyBorder="1" applyAlignment="1" applyProtection="1">
      <alignment horizontal="left"/>
      <protection hidden="1"/>
    </xf>
    <xf numFmtId="0" fontId="76" fillId="2" borderId="146" xfId="0" applyFont="1" applyFill="1" applyBorder="1" applyAlignment="1" applyProtection="1">
      <alignment horizontal="left"/>
      <protection hidden="1"/>
    </xf>
    <xf numFmtId="0" fontId="76" fillId="2" borderId="147" xfId="0" applyFont="1" applyFill="1" applyBorder="1" applyAlignment="1" applyProtection="1">
      <alignment horizontal="left"/>
      <protection hidden="1"/>
    </xf>
    <xf numFmtId="0" fontId="45" fillId="16" borderId="143" xfId="0" applyFont="1" applyFill="1" applyBorder="1" applyAlignment="1" applyProtection="1">
      <alignment horizontal="left"/>
      <protection hidden="1"/>
    </xf>
    <xf numFmtId="0" fontId="45" fillId="16" borderId="145" xfId="0" applyFont="1" applyFill="1" applyBorder="1" applyAlignment="1" applyProtection="1">
      <alignment horizontal="left"/>
      <protection hidden="1"/>
    </xf>
    <xf numFmtId="0" fontId="74" fillId="2" borderId="0" xfId="0" applyFont="1" applyFill="1" applyBorder="1" applyAlignment="1" applyProtection="1">
      <alignment horizontal="left"/>
      <protection hidden="1"/>
    </xf>
    <xf numFmtId="0" fontId="74" fillId="2" borderId="78" xfId="0" applyFont="1" applyFill="1" applyBorder="1" applyAlignment="1" applyProtection="1">
      <alignment horizontal="left"/>
      <protection hidden="1"/>
    </xf>
    <xf numFmtId="0" fontId="45" fillId="9" borderId="148" xfId="0" applyFont="1" applyFill="1" applyBorder="1" applyAlignment="1" applyProtection="1">
      <alignment horizontal="left"/>
      <protection hidden="1"/>
    </xf>
    <xf numFmtId="0" fontId="45" fillId="9" borderId="149" xfId="0" applyFont="1" applyFill="1" applyBorder="1" applyAlignment="1" applyProtection="1">
      <alignment horizontal="left"/>
      <protection hidden="1"/>
    </xf>
    <xf numFmtId="0" fontId="100" fillId="4" borderId="107" xfId="4" applyFont="1" applyFill="1" applyBorder="1" applyAlignment="1" applyProtection="1">
      <alignment horizontal="left"/>
      <protection hidden="1"/>
    </xf>
    <xf numFmtId="0" fontId="100" fillId="4" borderId="108" xfId="4" applyFont="1" applyFill="1" applyBorder="1" applyAlignment="1" applyProtection="1">
      <alignment horizontal="left"/>
      <protection hidden="1"/>
    </xf>
    <xf numFmtId="0" fontId="100" fillId="4" borderId="109" xfId="4" applyFont="1" applyFill="1" applyBorder="1" applyAlignment="1" applyProtection="1">
      <alignment horizontal="left"/>
      <protection hidden="1"/>
    </xf>
    <xf numFmtId="0" fontId="54" fillId="9" borderId="111" xfId="4" applyFont="1" applyFill="1" applyBorder="1" applyAlignment="1" applyProtection="1">
      <alignment horizontal="center"/>
      <protection hidden="1"/>
    </xf>
    <xf numFmtId="0" fontId="54" fillId="9" borderId="112" xfId="4" applyFont="1" applyFill="1" applyBorder="1" applyAlignment="1" applyProtection="1">
      <alignment horizontal="center"/>
      <protection hidden="1"/>
    </xf>
    <xf numFmtId="0" fontId="54" fillId="9" borderId="113" xfId="4" applyFont="1" applyFill="1" applyBorder="1" applyAlignment="1" applyProtection="1">
      <alignment horizontal="center"/>
      <protection hidden="1"/>
    </xf>
    <xf numFmtId="174" fontId="68" fillId="0" borderId="110" xfId="4" applyNumberFormat="1" applyFont="1" applyBorder="1" applyAlignment="1" applyProtection="1">
      <alignment horizontal="left" vertical="top"/>
      <protection hidden="1"/>
    </xf>
    <xf numFmtId="0" fontId="56" fillId="0" borderId="0" xfId="4" applyFont="1" applyAlignment="1" applyProtection="1">
      <alignment horizontal="left" wrapText="1"/>
      <protection hidden="1"/>
    </xf>
    <xf numFmtId="0" fontId="3" fillId="6" borderId="124" xfId="4" applyFont="1" applyFill="1" applyBorder="1" applyAlignment="1" applyProtection="1">
      <alignment horizontal="center"/>
      <protection hidden="1"/>
    </xf>
    <xf numFmtId="0" fontId="3" fillId="6" borderId="125" xfId="4" applyFont="1" applyFill="1" applyBorder="1" applyAlignment="1" applyProtection="1">
      <alignment horizontal="center"/>
      <protection hidden="1"/>
    </xf>
    <xf numFmtId="0" fontId="63" fillId="2" borderId="0" xfId="4" applyFont="1" applyFill="1" applyAlignment="1" applyProtection="1">
      <alignment horizontal="center" wrapText="1"/>
      <protection hidden="1"/>
    </xf>
    <xf numFmtId="0" fontId="35" fillId="3" borderId="116" xfId="4" applyFont="1" applyFill="1" applyBorder="1" applyAlignment="1" applyProtection="1">
      <alignment horizontal="left"/>
      <protection hidden="1"/>
    </xf>
    <xf numFmtId="0" fontId="35" fillId="3" borderId="117" xfId="4" applyFont="1" applyFill="1" applyBorder="1" applyAlignment="1" applyProtection="1">
      <alignment horizontal="left"/>
      <protection hidden="1"/>
    </xf>
    <xf numFmtId="0" fontId="2" fillId="5" borderId="121" xfId="4" applyFont="1" applyFill="1" applyBorder="1" applyAlignment="1" applyProtection="1">
      <alignment horizontal="center"/>
      <protection hidden="1"/>
    </xf>
    <xf numFmtId="0" fontId="2" fillId="5" borderId="122" xfId="4" applyFont="1" applyFill="1" applyBorder="1" applyAlignment="1" applyProtection="1">
      <alignment horizontal="center"/>
      <protection hidden="1"/>
    </xf>
    <xf numFmtId="0" fontId="2" fillId="5" borderId="123" xfId="4" applyFont="1" applyFill="1" applyBorder="1" applyAlignment="1" applyProtection="1">
      <alignment horizontal="center"/>
      <protection hidden="1"/>
    </xf>
    <xf numFmtId="0" fontId="11" fillId="5" borderId="114" xfId="4" applyFont="1" applyFill="1" applyBorder="1" applyAlignment="1" applyProtection="1">
      <alignment horizontal="left"/>
      <protection hidden="1"/>
    </xf>
    <xf numFmtId="0" fontId="11" fillId="5" borderId="115" xfId="4" applyFont="1" applyFill="1" applyBorder="1" applyAlignment="1" applyProtection="1">
      <alignment horizontal="left"/>
      <protection hidden="1"/>
    </xf>
    <xf numFmtId="0" fontId="11" fillId="5" borderId="119" xfId="4" applyFont="1" applyFill="1" applyBorder="1" applyAlignment="1" applyProtection="1">
      <alignment horizontal="left"/>
      <protection hidden="1"/>
    </xf>
    <xf numFmtId="0" fontId="11" fillId="5" borderId="120" xfId="4" applyFont="1" applyFill="1" applyBorder="1" applyAlignment="1" applyProtection="1">
      <alignment horizontal="left"/>
      <protection hidden="1"/>
    </xf>
    <xf numFmtId="0" fontId="11" fillId="5" borderId="130" xfId="4" applyFont="1" applyFill="1" applyBorder="1" applyAlignment="1" applyProtection="1">
      <alignment horizontal="left"/>
      <protection hidden="1"/>
    </xf>
    <xf numFmtId="0" fontId="11" fillId="5" borderId="131" xfId="4" applyFont="1" applyFill="1" applyBorder="1" applyAlignment="1" applyProtection="1">
      <alignment horizontal="left"/>
      <protection hidden="1"/>
    </xf>
    <xf numFmtId="0" fontId="2" fillId="5" borderId="132" xfId="4" applyFont="1" applyFill="1" applyBorder="1" applyAlignment="1" applyProtection="1">
      <alignment horizontal="center"/>
      <protection hidden="1"/>
    </xf>
    <xf numFmtId="0" fontId="50" fillId="5" borderId="118" xfId="4" applyFont="1" applyFill="1" applyBorder="1" applyAlignment="1" applyProtection="1">
      <alignment horizontal="center" wrapText="1"/>
      <protection hidden="1"/>
    </xf>
    <xf numFmtId="0" fontId="50" fillId="5" borderId="12" xfId="4" applyFont="1" applyFill="1" applyBorder="1" applyAlignment="1" applyProtection="1">
      <alignment horizontal="center" wrapText="1"/>
      <protection hidden="1"/>
    </xf>
    <xf numFmtId="173" fontId="38" fillId="6" borderId="124" xfId="4" applyNumberFormat="1" applyFont="1" applyFill="1" applyBorder="1" applyAlignment="1" applyProtection="1">
      <alignment horizontal="center"/>
      <protection hidden="1"/>
    </xf>
    <xf numFmtId="173" fontId="38" fillId="6" borderId="125" xfId="4" applyNumberFormat="1" applyFont="1" applyFill="1" applyBorder="1" applyAlignment="1" applyProtection="1">
      <alignment horizontal="center"/>
      <protection hidden="1"/>
    </xf>
    <xf numFmtId="0" fontId="183" fillId="2" borderId="0" xfId="4" applyFont="1" applyFill="1" applyAlignment="1" applyProtection="1">
      <alignment horizontal="left" vertical="top" wrapText="1"/>
      <protection hidden="1"/>
    </xf>
    <xf numFmtId="3" fontId="3" fillId="6" borderId="124" xfId="4" applyNumberFormat="1" applyFont="1" applyFill="1" applyBorder="1" applyAlignment="1" applyProtection="1">
      <alignment horizontal="center"/>
      <protection hidden="1"/>
    </xf>
    <xf numFmtId="3" fontId="3" fillId="6" borderId="126" xfId="4" applyNumberFormat="1" applyFont="1" applyFill="1" applyBorder="1" applyAlignment="1" applyProtection="1">
      <alignment horizontal="center"/>
      <protection hidden="1"/>
    </xf>
    <xf numFmtId="3" fontId="3" fillId="6" borderId="125" xfId="4" applyNumberFormat="1" applyFont="1" applyFill="1" applyBorder="1" applyAlignment="1" applyProtection="1">
      <alignment horizontal="center"/>
      <protection hidden="1"/>
    </xf>
    <xf numFmtId="0" fontId="51" fillId="9" borderId="127" xfId="4" applyFont="1" applyFill="1" applyBorder="1" applyAlignment="1" applyProtection="1">
      <alignment horizontal="center" vertical="center" wrapText="1"/>
      <protection hidden="1"/>
    </xf>
    <xf numFmtId="0" fontId="51" fillId="9" borderId="60" xfId="4" applyFont="1" applyFill="1" applyBorder="1" applyAlignment="1" applyProtection="1">
      <alignment horizontal="center" vertical="center" wrapText="1"/>
      <protection hidden="1"/>
    </xf>
    <xf numFmtId="0" fontId="51" fillId="9" borderId="128" xfId="4" applyFont="1" applyFill="1" applyBorder="1" applyAlignment="1" applyProtection="1">
      <alignment horizontal="center" vertical="center" wrapText="1"/>
      <protection hidden="1"/>
    </xf>
    <xf numFmtId="0" fontId="51" fillId="9" borderId="73" xfId="4" applyFont="1" applyFill="1" applyBorder="1" applyAlignment="1" applyProtection="1">
      <alignment horizontal="center" vertical="center" wrapText="1"/>
      <protection hidden="1"/>
    </xf>
    <xf numFmtId="0" fontId="51" fillId="9" borderId="6" xfId="4" applyFont="1" applyFill="1" applyBorder="1" applyAlignment="1" applyProtection="1">
      <alignment horizontal="center" vertical="center" wrapText="1"/>
      <protection hidden="1"/>
    </xf>
    <xf numFmtId="0" fontId="51" fillId="9" borderId="129" xfId="4" applyFont="1" applyFill="1" applyBorder="1" applyAlignment="1" applyProtection="1">
      <alignment horizontal="center" vertical="center" wrapText="1"/>
      <protection hidden="1"/>
    </xf>
    <xf numFmtId="3" fontId="24" fillId="2" borderId="0" xfId="4" applyNumberFormat="1" applyFont="1" applyFill="1" applyBorder="1" applyAlignment="1" applyProtection="1">
      <alignment horizontal="right"/>
      <protection hidden="1"/>
    </xf>
    <xf numFmtId="3" fontId="24" fillId="2" borderId="12" xfId="4" applyNumberFormat="1" applyFont="1" applyFill="1" applyBorder="1" applyAlignment="1" applyProtection="1">
      <alignment horizontal="right"/>
      <protection hidden="1"/>
    </xf>
    <xf numFmtId="3" fontId="6" fillId="15" borderId="121" xfId="4" applyNumberFormat="1" applyFont="1" applyFill="1" applyBorder="1" applyAlignment="1" applyProtection="1">
      <alignment horizontal="right"/>
      <protection hidden="1"/>
    </xf>
    <xf numFmtId="3" fontId="6" fillId="15" borderId="123" xfId="4" applyNumberFormat="1" applyFont="1" applyFill="1" applyBorder="1" applyAlignment="1" applyProtection="1">
      <alignment horizontal="right"/>
      <protection hidden="1"/>
    </xf>
    <xf numFmtId="0" fontId="2" fillId="2" borderId="0" xfId="4" applyFont="1" applyFill="1" applyAlignment="1" applyProtection="1">
      <alignment horizontal="left" vertical="top" wrapText="1"/>
      <protection hidden="1"/>
    </xf>
    <xf numFmtId="0" fontId="121" fillId="11" borderId="72" xfId="4" applyFont="1" applyFill="1" applyBorder="1" applyAlignment="1" applyProtection="1">
      <alignment horizontal="center" vertical="center" wrapText="1"/>
      <protection hidden="1"/>
    </xf>
    <xf numFmtId="0" fontId="126" fillId="11" borderId="0" xfId="4" applyFont="1" applyFill="1" applyAlignment="1" applyProtection="1">
      <alignment horizontal="left" vertical="center"/>
      <protection hidden="1"/>
    </xf>
    <xf numFmtId="176" fontId="126" fillId="11" borderId="0" xfId="4" applyNumberFormat="1" applyFont="1" applyFill="1" applyAlignment="1" applyProtection="1">
      <alignment horizontal="left" vertical="center"/>
      <protection hidden="1"/>
    </xf>
    <xf numFmtId="4" fontId="126" fillId="11" borderId="0" xfId="4" applyNumberFormat="1" applyFont="1" applyFill="1" applyBorder="1" applyAlignment="1" applyProtection="1">
      <alignment horizontal="center"/>
      <protection hidden="1"/>
    </xf>
    <xf numFmtId="4" fontId="126" fillId="11" borderId="57" xfId="4" applyNumberFormat="1" applyFont="1" applyFill="1" applyBorder="1" applyAlignment="1" applyProtection="1">
      <alignment horizontal="center"/>
      <protection hidden="1"/>
    </xf>
    <xf numFmtId="40" fontId="126" fillId="11" borderId="0" xfId="4" applyNumberFormat="1" applyFont="1" applyFill="1" applyBorder="1" applyAlignment="1" applyProtection="1">
      <alignment horizontal="center" vertical="top"/>
      <protection hidden="1"/>
    </xf>
    <xf numFmtId="40" fontId="126" fillId="11" borderId="57" xfId="4" applyNumberFormat="1" applyFont="1" applyFill="1" applyBorder="1" applyAlignment="1" applyProtection="1">
      <alignment horizontal="center" vertical="top"/>
      <protection hidden="1"/>
    </xf>
    <xf numFmtId="0" fontId="160" fillId="11" borderId="0" xfId="4" applyFont="1" applyFill="1" applyBorder="1" applyAlignment="1" applyProtection="1">
      <alignment horizontal="center"/>
      <protection hidden="1"/>
    </xf>
    <xf numFmtId="0" fontId="160" fillId="11" borderId="57" xfId="4" applyFont="1" applyFill="1" applyBorder="1" applyAlignment="1" applyProtection="1">
      <alignment horizontal="center"/>
      <protection hidden="1"/>
    </xf>
    <xf numFmtId="40" fontId="126" fillId="11" borderId="6" xfId="4" applyNumberFormat="1" applyFont="1" applyFill="1" applyBorder="1" applyAlignment="1" applyProtection="1">
      <alignment horizontal="center" vertical="top"/>
      <protection hidden="1"/>
    </xf>
    <xf numFmtId="0" fontId="126" fillId="11" borderId="6" xfId="4" applyFont="1" applyFill="1" applyBorder="1" applyAlignment="1" applyProtection="1">
      <alignment horizontal="center" vertical="top"/>
      <protection hidden="1"/>
    </xf>
    <xf numFmtId="0" fontId="126" fillId="11" borderId="133" xfId="4" applyFont="1" applyFill="1" applyBorder="1" applyAlignment="1" applyProtection="1">
      <alignment horizontal="center" vertical="top"/>
      <protection hidden="1"/>
    </xf>
    <xf numFmtId="0" fontId="124" fillId="11" borderId="127" xfId="4" applyFont="1" applyFill="1" applyBorder="1" applyAlignment="1" applyProtection="1">
      <alignment horizontal="center"/>
      <protection hidden="1"/>
    </xf>
    <xf numFmtId="0" fontId="124" fillId="11" borderId="60" xfId="4" applyFont="1" applyFill="1" applyBorder="1" applyAlignment="1" applyProtection="1">
      <alignment horizontal="center"/>
      <protection hidden="1"/>
    </xf>
    <xf numFmtId="0" fontId="158" fillId="11" borderId="0" xfId="4" applyFont="1" applyFill="1" applyBorder="1" applyAlignment="1" applyProtection="1">
      <alignment horizontal="center" vertical="top"/>
      <protection hidden="1"/>
    </xf>
    <xf numFmtId="0" fontId="155" fillId="11" borderId="111" xfId="4" applyFont="1" applyFill="1" applyBorder="1" applyAlignment="1" applyProtection="1">
      <alignment horizontal="center"/>
      <protection hidden="1"/>
    </xf>
    <xf numFmtId="0" fontId="155" fillId="11" borderId="112" xfId="4" applyFont="1" applyFill="1" applyBorder="1" applyAlignment="1" applyProtection="1">
      <alignment horizontal="center"/>
      <protection hidden="1"/>
    </xf>
    <xf numFmtId="0" fontId="155" fillId="11" borderId="113" xfId="4" applyFont="1" applyFill="1" applyBorder="1" applyAlignment="1" applyProtection="1">
      <alignment horizontal="center"/>
      <protection hidden="1"/>
    </xf>
    <xf numFmtId="0" fontId="159" fillId="11" borderId="0" xfId="4" applyFont="1" applyFill="1" applyBorder="1" applyAlignment="1" applyProtection="1">
      <alignment horizontal="center" wrapText="1"/>
      <protection hidden="1"/>
    </xf>
    <xf numFmtId="0" fontId="159" fillId="11" borderId="57" xfId="4" applyFont="1" applyFill="1" applyBorder="1" applyAlignment="1" applyProtection="1">
      <alignment horizontal="center" wrapText="1"/>
      <protection hidden="1"/>
    </xf>
    <xf numFmtId="0" fontId="51" fillId="0" borderId="2" xfId="4" applyFont="1" applyBorder="1" applyAlignment="1" applyProtection="1">
      <alignment horizontal="right" vertical="top"/>
      <protection hidden="1"/>
    </xf>
    <xf numFmtId="0" fontId="51" fillId="0" borderId="46" xfId="4" applyFont="1" applyBorder="1" applyAlignment="1" applyProtection="1">
      <alignment horizontal="right" vertical="top"/>
      <protection hidden="1"/>
    </xf>
    <xf numFmtId="0" fontId="70" fillId="0" borderId="0" xfId="4" applyFont="1" applyBorder="1" applyAlignment="1" applyProtection="1">
      <alignment horizontal="center" vertical="center"/>
      <protection hidden="1"/>
    </xf>
    <xf numFmtId="174" fontId="48" fillId="2" borderId="0" xfId="4" applyNumberFormat="1" applyFont="1" applyFill="1" applyBorder="1" applyAlignment="1" applyProtection="1">
      <alignment horizontal="right" vertical="top"/>
      <protection hidden="1"/>
    </xf>
    <xf numFmtId="0" fontId="48" fillId="16" borderId="0" xfId="4" applyFont="1" applyFill="1" applyBorder="1" applyAlignment="1" applyProtection="1">
      <alignment horizontal="left" vertical="center" shrinkToFit="1"/>
      <protection hidden="1"/>
    </xf>
    <xf numFmtId="0" fontId="48" fillId="2" borderId="5" xfId="4" applyFont="1" applyFill="1" applyBorder="1" applyAlignment="1" applyProtection="1">
      <alignment horizontal="left" vertical="center" shrinkToFit="1"/>
      <protection hidden="1"/>
    </xf>
    <xf numFmtId="0" fontId="66" fillId="19" borderId="134" xfId="4" applyFont="1" applyFill="1" applyBorder="1" applyAlignment="1" applyProtection="1">
      <alignment horizontal="left" vertical="center" shrinkToFit="1"/>
      <protection locked="0" hidden="1"/>
    </xf>
    <xf numFmtId="0" fontId="66" fillId="19" borderId="135" xfId="4" applyFont="1" applyFill="1" applyBorder="1" applyAlignment="1" applyProtection="1">
      <alignment horizontal="left" vertical="center" shrinkToFit="1"/>
      <protection locked="0" hidden="1"/>
    </xf>
    <xf numFmtId="0" fontId="66" fillId="19" borderId="136" xfId="4" applyFont="1" applyFill="1" applyBorder="1" applyAlignment="1" applyProtection="1">
      <alignment horizontal="left" vertical="center" shrinkToFit="1"/>
      <protection locked="0" hidden="1"/>
    </xf>
    <xf numFmtId="0" fontId="69" fillId="2" borderId="6" xfId="4" applyFont="1" applyFill="1" applyBorder="1" applyAlignment="1" applyProtection="1">
      <alignment horizontal="left" wrapText="1"/>
      <protection hidden="1"/>
    </xf>
    <xf numFmtId="0" fontId="71" fillId="19" borderId="7" xfId="4" applyFont="1" applyFill="1" applyBorder="1" applyAlignment="1" applyProtection="1">
      <alignment horizontal="left" vertical="center"/>
      <protection locked="0" hidden="1"/>
    </xf>
    <xf numFmtId="0" fontId="71" fillId="2" borderId="0" xfId="4" applyFont="1" applyFill="1" applyBorder="1" applyAlignment="1" applyProtection="1">
      <alignment horizontal="left"/>
      <protection hidden="1"/>
    </xf>
    <xf numFmtId="0" fontId="243" fillId="19" borderId="141" xfId="4" applyFont="1" applyFill="1" applyBorder="1" applyAlignment="1" applyProtection="1">
      <alignment horizontal="left" vertical="center" shrinkToFit="1"/>
      <protection hidden="1"/>
    </xf>
    <xf numFmtId="0" fontId="243" fillId="19" borderId="120" xfId="4" applyFont="1" applyFill="1" applyBorder="1" applyAlignment="1" applyProtection="1">
      <alignment horizontal="left" vertical="center" shrinkToFit="1"/>
      <protection hidden="1"/>
    </xf>
    <xf numFmtId="0" fontId="243" fillId="19" borderId="142" xfId="4" applyFont="1" applyFill="1" applyBorder="1" applyAlignment="1" applyProtection="1">
      <alignment horizontal="left" vertical="center" shrinkToFit="1"/>
      <protection hidden="1"/>
    </xf>
    <xf numFmtId="0" fontId="71" fillId="19" borderId="134" xfId="4" applyFont="1" applyFill="1" applyBorder="1" applyAlignment="1" applyProtection="1">
      <alignment horizontal="left" vertical="center"/>
      <protection locked="0" hidden="1"/>
    </xf>
    <xf numFmtId="0" fontId="71" fillId="19" borderId="136" xfId="4" applyFont="1" applyFill="1" applyBorder="1" applyAlignment="1" applyProtection="1">
      <alignment horizontal="left" vertical="center"/>
      <protection locked="0" hidden="1"/>
    </xf>
    <xf numFmtId="4" fontId="191" fillId="18" borderId="137" xfId="4" applyNumberFormat="1" applyFont="1" applyFill="1" applyBorder="1" applyAlignment="1" applyProtection="1">
      <alignment horizontal="right" vertical="center"/>
      <protection locked="0" hidden="1"/>
    </xf>
    <xf numFmtId="4" fontId="191" fillId="18" borderId="138" xfId="4" applyNumberFormat="1" applyFont="1" applyFill="1" applyBorder="1" applyAlignment="1" applyProtection="1">
      <alignment horizontal="right" vertical="center"/>
      <protection locked="0" hidden="1"/>
    </xf>
    <xf numFmtId="4" fontId="191" fillId="18" borderId="139" xfId="4" applyNumberFormat="1" applyFont="1" applyFill="1" applyBorder="1" applyAlignment="1" applyProtection="1">
      <alignment horizontal="right" vertical="center"/>
      <protection locked="0" hidden="1"/>
    </xf>
    <xf numFmtId="4" fontId="191" fillId="18" borderId="140" xfId="4" applyNumberFormat="1" applyFont="1" applyFill="1" applyBorder="1" applyAlignment="1" applyProtection="1">
      <alignment horizontal="right" vertical="center"/>
      <protection locked="0" hidden="1"/>
    </xf>
    <xf numFmtId="0" fontId="71" fillId="2" borderId="0" xfId="4" applyFont="1" applyFill="1" applyAlignment="1" applyProtection="1">
      <alignment horizontal="left"/>
      <protection hidden="1"/>
    </xf>
    <xf numFmtId="0" fontId="201" fillId="2" borderId="0" xfId="4" applyFont="1" applyFill="1" applyAlignment="1" applyProtection="1">
      <alignment horizontal="justify" vertical="top" wrapText="1"/>
      <protection hidden="1"/>
    </xf>
    <xf numFmtId="0" fontId="223" fillId="2" borderId="0" xfId="4" applyFont="1" applyFill="1" applyBorder="1" applyAlignment="1" applyProtection="1">
      <alignment horizontal="left" vertical="center" wrapText="1"/>
      <protection hidden="1"/>
    </xf>
    <xf numFmtId="0" fontId="223" fillId="2" borderId="5" xfId="4" applyFont="1" applyFill="1" applyBorder="1" applyAlignment="1" applyProtection="1">
      <alignment horizontal="left" vertical="center" wrapText="1"/>
      <protection hidden="1"/>
    </xf>
    <xf numFmtId="0" fontId="7" fillId="2" borderId="0" xfId="4" applyFill="1" applyBorder="1" applyAlignment="1" applyProtection="1">
      <alignment horizontal="left"/>
      <protection hidden="1"/>
    </xf>
    <xf numFmtId="0" fontId="45" fillId="2" borderId="0" xfId="4" applyFont="1" applyFill="1" applyBorder="1" applyAlignment="1" applyProtection="1">
      <alignment horizontal="left" wrapText="1"/>
      <protection hidden="1"/>
    </xf>
    <xf numFmtId="0" fontId="83" fillId="11" borderId="0" xfId="4" applyFont="1" applyFill="1" applyAlignment="1" applyProtection="1">
      <alignment horizontal="center" vertical="center" wrapText="1"/>
      <protection hidden="1"/>
    </xf>
    <xf numFmtId="0" fontId="137" fillId="2" borderId="6" xfId="4" applyFont="1" applyFill="1" applyBorder="1" applyAlignment="1" applyProtection="1">
      <alignment horizontal="left"/>
      <protection hidden="1"/>
    </xf>
    <xf numFmtId="0" fontId="136" fillId="2" borderId="6" xfId="4" applyFont="1" applyFill="1" applyBorder="1" applyAlignment="1" applyProtection="1">
      <alignment horizontal="left"/>
      <protection hidden="1"/>
    </xf>
    <xf numFmtId="0" fontId="56" fillId="2" borderId="60" xfId="4" applyFont="1" applyFill="1" applyBorder="1" applyAlignment="1" applyProtection="1">
      <alignment horizontal="justify" vertical="center" wrapText="1" shrinkToFit="1"/>
      <protection hidden="1"/>
    </xf>
    <xf numFmtId="0" fontId="56" fillId="2" borderId="0" xfId="4" applyFont="1" applyFill="1" applyBorder="1" applyAlignment="1" applyProtection="1">
      <alignment horizontal="justify" vertical="top" wrapText="1"/>
      <protection hidden="1"/>
    </xf>
    <xf numFmtId="0" fontId="193" fillId="2" borderId="0" xfId="4" applyFont="1" applyFill="1" applyBorder="1" applyAlignment="1" applyProtection="1">
      <alignment horizontal="left" vertical="center" wrapText="1"/>
      <protection hidden="1"/>
    </xf>
    <xf numFmtId="0" fontId="240" fillId="2" borderId="0" xfId="4" applyFont="1" applyFill="1" applyBorder="1" applyAlignment="1" applyProtection="1">
      <alignment horizontal="left" vertical="center" wrapText="1"/>
      <protection hidden="1"/>
    </xf>
    <xf numFmtId="0" fontId="46" fillId="2" borderId="0" xfId="4" applyFont="1" applyFill="1" applyBorder="1" applyAlignment="1" applyProtection="1">
      <alignment horizontal="left" wrapText="1"/>
      <protection hidden="1"/>
    </xf>
    <xf numFmtId="0" fontId="45" fillId="2" borderId="0" xfId="4" applyFont="1" applyFill="1" applyBorder="1" applyAlignment="1" applyProtection="1">
      <alignment horizontal="left" vertical="top" wrapText="1"/>
      <protection hidden="1"/>
    </xf>
    <xf numFmtId="0" fontId="47" fillId="2" borderId="0" xfId="4" applyFont="1" applyFill="1" applyBorder="1" applyAlignment="1" applyProtection="1">
      <alignment horizontal="left" vertical="center"/>
      <protection hidden="1"/>
    </xf>
    <xf numFmtId="0" fontId="47" fillId="9" borderId="143" xfId="4" applyFont="1" applyFill="1" applyBorder="1" applyAlignment="1" applyProtection="1">
      <alignment horizontal="left"/>
      <protection hidden="1"/>
    </xf>
    <xf numFmtId="0" fontId="47" fillId="9" borderId="145" xfId="4" applyFont="1" applyFill="1" applyBorder="1" applyAlignment="1" applyProtection="1">
      <alignment horizontal="left"/>
      <protection hidden="1"/>
    </xf>
    <xf numFmtId="2" fontId="140" fillId="16" borderId="146" xfId="4" applyNumberFormat="1" applyFont="1" applyFill="1" applyBorder="1" applyAlignment="1" applyProtection="1">
      <alignment horizontal="left"/>
      <protection hidden="1"/>
    </xf>
    <xf numFmtId="0" fontId="140" fillId="16" borderId="152" xfId="4" applyFont="1" applyFill="1" applyBorder="1" applyAlignment="1" applyProtection="1">
      <alignment horizontal="left"/>
      <protection hidden="1"/>
    </xf>
    <xf numFmtId="0" fontId="146" fillId="3" borderId="150" xfId="4" applyFont="1" applyFill="1" applyBorder="1" applyAlignment="1" applyProtection="1">
      <alignment horizontal="center"/>
      <protection hidden="1"/>
    </xf>
    <xf numFmtId="0" fontId="146" fillId="3" borderId="151" xfId="4" applyFont="1" applyFill="1" applyBorder="1" applyAlignment="1" applyProtection="1">
      <alignment horizontal="center"/>
      <protection hidden="1"/>
    </xf>
    <xf numFmtId="0" fontId="72" fillId="2" borderId="143" xfId="4" applyFont="1" applyFill="1" applyBorder="1" applyAlignment="1" applyProtection="1">
      <alignment horizontal="left"/>
      <protection hidden="1"/>
    </xf>
    <xf numFmtId="0" fontId="72" fillId="2" borderId="145" xfId="4" applyFont="1" applyFill="1" applyBorder="1" applyAlignment="1" applyProtection="1">
      <alignment horizontal="left"/>
      <protection hidden="1"/>
    </xf>
    <xf numFmtId="0" fontId="47" fillId="2" borderId="0" xfId="4" applyFont="1" applyFill="1" applyBorder="1" applyAlignment="1" applyProtection="1">
      <alignment horizontal="right"/>
      <protection hidden="1"/>
    </xf>
    <xf numFmtId="0" fontId="47" fillId="2" borderId="5" xfId="4" applyFont="1" applyFill="1" applyBorder="1" applyAlignment="1" applyProtection="1">
      <alignment horizontal="right"/>
      <protection hidden="1"/>
    </xf>
    <xf numFmtId="0" fontId="161" fillId="2" borderId="0" xfId="4" applyFont="1" applyFill="1" applyBorder="1" applyAlignment="1" applyProtection="1">
      <alignment horizontal="center" wrapText="1"/>
      <protection hidden="1"/>
    </xf>
    <xf numFmtId="0" fontId="161" fillId="2" borderId="5" xfId="4" applyFont="1" applyFill="1" applyBorder="1" applyAlignment="1" applyProtection="1">
      <alignment horizontal="center" wrapText="1"/>
      <protection hidden="1"/>
    </xf>
    <xf numFmtId="0" fontId="55" fillId="9" borderId="143" xfId="4" applyFont="1" applyFill="1" applyBorder="1" applyAlignment="1" applyProtection="1">
      <alignment horizontal="left"/>
      <protection hidden="1"/>
    </xf>
    <xf numFmtId="0" fontId="55" fillId="9" borderId="144" xfId="4" applyFont="1" applyFill="1" applyBorder="1" applyAlignment="1" applyProtection="1">
      <alignment horizontal="left"/>
      <protection hidden="1"/>
    </xf>
    <xf numFmtId="0" fontId="55" fillId="9" borderId="145" xfId="4" applyFont="1" applyFill="1" applyBorder="1" applyAlignment="1" applyProtection="1">
      <alignment horizontal="left"/>
      <protection hidden="1"/>
    </xf>
    <xf numFmtId="0" fontId="55" fillId="9" borderId="143" xfId="4" applyFont="1" applyFill="1" applyBorder="1" applyAlignment="1" applyProtection="1">
      <alignment horizontal="left" vertical="center"/>
      <protection hidden="1"/>
    </xf>
    <xf numFmtId="0" fontId="55" fillId="9" borderId="152" xfId="4" applyFont="1" applyFill="1" applyBorder="1" applyAlignment="1" applyProtection="1">
      <alignment horizontal="left" vertical="center"/>
      <protection hidden="1"/>
    </xf>
    <xf numFmtId="0" fontId="117" fillId="2" borderId="59" xfId="4" applyFont="1" applyFill="1" applyBorder="1" applyAlignment="1" applyProtection="1">
      <alignment horizontal="right"/>
      <protection hidden="1"/>
    </xf>
    <xf numFmtId="0" fontId="117" fillId="2" borderId="0" xfId="4" applyFont="1" applyFill="1" applyBorder="1" applyAlignment="1" applyProtection="1">
      <alignment horizontal="right"/>
      <protection hidden="1"/>
    </xf>
    <xf numFmtId="0" fontId="74" fillId="2" borderId="0" xfId="4" applyFont="1" applyFill="1" applyBorder="1" applyAlignment="1" applyProtection="1">
      <alignment horizontal="left"/>
      <protection hidden="1"/>
    </xf>
    <xf numFmtId="0" fontId="74" fillId="2" borderId="78" xfId="4" applyFont="1" applyFill="1" applyBorder="1" applyAlignment="1" applyProtection="1">
      <alignment horizontal="left"/>
      <protection hidden="1"/>
    </xf>
    <xf numFmtId="0" fontId="78" fillId="9" borderId="143" xfId="4" applyFont="1" applyFill="1" applyBorder="1" applyAlignment="1" applyProtection="1">
      <alignment horizontal="left"/>
      <protection hidden="1"/>
    </xf>
    <xf numFmtId="0" fontId="78" fillId="9" borderId="144" xfId="4" applyFont="1" applyFill="1" applyBorder="1" applyAlignment="1" applyProtection="1">
      <alignment horizontal="left"/>
      <protection hidden="1"/>
    </xf>
    <xf numFmtId="0" fontId="78" fillId="9" borderId="145" xfId="4" applyFont="1" applyFill="1" applyBorder="1" applyAlignment="1" applyProtection="1">
      <alignment horizontal="left"/>
      <protection hidden="1"/>
    </xf>
    <xf numFmtId="0" fontId="76" fillId="2" borderId="146" xfId="4" applyFont="1" applyFill="1" applyBorder="1" applyAlignment="1" applyProtection="1">
      <alignment horizontal="left"/>
      <protection hidden="1"/>
    </xf>
    <xf numFmtId="0" fontId="76" fillId="2" borderId="147" xfId="4" applyFont="1" applyFill="1" applyBorder="1" applyAlignment="1" applyProtection="1">
      <alignment horizontal="left"/>
      <protection hidden="1"/>
    </xf>
    <xf numFmtId="0" fontId="169" fillId="9" borderId="153" xfId="4" applyFont="1" applyFill="1" applyBorder="1" applyAlignment="1" applyProtection="1">
      <alignment horizontal="left"/>
      <protection hidden="1"/>
    </xf>
    <xf numFmtId="0" fontId="169" fillId="9" borderId="154" xfId="4" applyFont="1" applyFill="1" applyBorder="1" applyAlignment="1" applyProtection="1">
      <alignment horizontal="left"/>
      <protection hidden="1"/>
    </xf>
    <xf numFmtId="0" fontId="169" fillId="9" borderId="146" xfId="4" applyFont="1" applyFill="1" applyBorder="1" applyAlignment="1" applyProtection="1">
      <alignment horizontal="left"/>
      <protection hidden="1"/>
    </xf>
    <xf numFmtId="0" fontId="169" fillId="9" borderId="158" xfId="4" applyFont="1" applyFill="1" applyBorder="1" applyAlignment="1" applyProtection="1">
      <alignment horizontal="left"/>
      <protection hidden="1"/>
    </xf>
    <xf numFmtId="0" fontId="96" fillId="2" borderId="0" xfId="4" applyFont="1" applyFill="1" applyBorder="1" applyAlignment="1" applyProtection="1">
      <alignment horizontal="center"/>
      <protection hidden="1"/>
    </xf>
    <xf numFmtId="0" fontId="96" fillId="2" borderId="78" xfId="4" applyFont="1" applyFill="1" applyBorder="1" applyAlignment="1" applyProtection="1">
      <alignment horizontal="center"/>
      <protection hidden="1"/>
    </xf>
    <xf numFmtId="0" fontId="45" fillId="16" borderId="143" xfId="4" applyFont="1" applyFill="1" applyBorder="1" applyAlignment="1" applyProtection="1">
      <alignment horizontal="left"/>
      <protection hidden="1"/>
    </xf>
    <xf numFmtId="0" fontId="45" fillId="16" borderId="145" xfId="4" applyFont="1" applyFill="1" applyBorder="1" applyAlignment="1" applyProtection="1">
      <alignment horizontal="left"/>
      <protection hidden="1"/>
    </xf>
    <xf numFmtId="0" fontId="88" fillId="16" borderId="143" xfId="4" applyFont="1" applyFill="1" applyBorder="1" applyAlignment="1" applyProtection="1">
      <alignment horizontal="center" vertical="center"/>
      <protection hidden="1"/>
    </xf>
    <xf numFmtId="0" fontId="88" fillId="16" borderId="144" xfId="4" applyFont="1" applyFill="1" applyBorder="1" applyAlignment="1" applyProtection="1">
      <alignment horizontal="center" vertical="center"/>
      <protection hidden="1"/>
    </xf>
    <xf numFmtId="0" fontId="88" fillId="16" borderId="145" xfId="4" applyFont="1" applyFill="1" applyBorder="1" applyAlignment="1" applyProtection="1">
      <alignment horizontal="center" vertical="center"/>
      <protection hidden="1"/>
    </xf>
    <xf numFmtId="0" fontId="45" fillId="9" borderId="148" xfId="4" applyFont="1" applyFill="1" applyBorder="1" applyAlignment="1" applyProtection="1">
      <alignment horizontal="left"/>
      <protection hidden="1"/>
    </xf>
    <xf numFmtId="0" fontId="45" fillId="9" borderId="149" xfId="4" applyFont="1" applyFill="1" applyBorder="1" applyAlignment="1" applyProtection="1">
      <alignment horizontal="left"/>
      <protection hidden="1"/>
    </xf>
    <xf numFmtId="0" fontId="240" fillId="16" borderId="162" xfId="4" applyFont="1" applyFill="1" applyBorder="1" applyAlignment="1" applyProtection="1">
      <alignment horizontal="right"/>
      <protection hidden="1"/>
    </xf>
    <xf numFmtId="0" fontId="240" fillId="16" borderId="163" xfId="4" applyFont="1" applyFill="1" applyBorder="1" applyAlignment="1" applyProtection="1">
      <alignment horizontal="right"/>
      <protection hidden="1"/>
    </xf>
    <xf numFmtId="0" fontId="96" fillId="2" borderId="59" xfId="4" applyFont="1" applyFill="1" applyBorder="1" applyAlignment="1" applyProtection="1">
      <alignment horizontal="left"/>
      <protection hidden="1"/>
    </xf>
    <xf numFmtId="0" fontId="96" fillId="2" borderId="0" xfId="4" applyFont="1" applyFill="1" applyBorder="1" applyAlignment="1" applyProtection="1">
      <alignment horizontal="left"/>
      <protection hidden="1"/>
    </xf>
    <xf numFmtId="0" fontId="124" fillId="15" borderId="77" xfId="4" applyFont="1" applyFill="1" applyBorder="1" applyAlignment="1" applyProtection="1">
      <alignment horizontal="center" vertical="center" wrapText="1"/>
      <protection hidden="1"/>
    </xf>
    <xf numFmtId="0" fontId="124" fillId="15" borderId="156" xfId="4" applyFont="1" applyFill="1" applyBorder="1" applyAlignment="1" applyProtection="1">
      <alignment horizontal="center" vertical="center" wrapText="1"/>
      <protection hidden="1"/>
    </xf>
    <xf numFmtId="0" fontId="124" fillId="15" borderId="164" xfId="4" applyFont="1" applyFill="1" applyBorder="1" applyAlignment="1" applyProtection="1">
      <alignment horizontal="center" vertical="center" wrapText="1"/>
      <protection hidden="1"/>
    </xf>
    <xf numFmtId="0" fontId="124" fillId="15" borderId="157" xfId="4" applyFont="1" applyFill="1" applyBorder="1" applyAlignment="1" applyProtection="1">
      <alignment horizontal="center" vertical="center" wrapText="1"/>
      <protection hidden="1"/>
    </xf>
    <xf numFmtId="0" fontId="47" fillId="2" borderId="76" xfId="4" applyFont="1" applyFill="1" applyBorder="1" applyAlignment="1" applyProtection="1">
      <alignment horizontal="left" vertical="center"/>
      <protection hidden="1"/>
    </xf>
    <xf numFmtId="164" fontId="114" fillId="16" borderId="159" xfId="2" applyFont="1" applyFill="1" applyBorder="1" applyAlignment="1" applyProtection="1">
      <alignment horizontal="center"/>
      <protection hidden="1"/>
    </xf>
    <xf numFmtId="164" fontId="114" fillId="16" borderId="160" xfId="2" applyFont="1" applyFill="1" applyBorder="1" applyAlignment="1" applyProtection="1">
      <alignment horizontal="center"/>
      <protection hidden="1"/>
    </xf>
    <xf numFmtId="0" fontId="219" fillId="2" borderId="155" xfId="4" applyFont="1" applyFill="1" applyBorder="1" applyAlignment="1" applyProtection="1">
      <alignment horizontal="left" vertical="center"/>
      <protection hidden="1"/>
    </xf>
    <xf numFmtId="0" fontId="219" fillId="2" borderId="0" xfId="4" applyFont="1" applyFill="1" applyBorder="1" applyAlignment="1" applyProtection="1">
      <alignment horizontal="left" vertical="center"/>
      <protection hidden="1"/>
    </xf>
    <xf numFmtId="0" fontId="180" fillId="2" borderId="155" xfId="4" applyFont="1" applyFill="1" applyBorder="1" applyAlignment="1" applyProtection="1">
      <alignment horizontal="left" vertical="center"/>
      <protection hidden="1"/>
    </xf>
    <xf numFmtId="0" fontId="180" fillId="2" borderId="161" xfId="4" applyFont="1" applyFill="1" applyBorder="1" applyAlignment="1" applyProtection="1">
      <alignment horizontal="left" vertical="center"/>
      <protection hidden="1"/>
    </xf>
    <xf numFmtId="0" fontId="180" fillId="2" borderId="0" xfId="4" applyFont="1" applyFill="1" applyBorder="1" applyAlignment="1" applyProtection="1">
      <alignment horizontal="left" vertical="center"/>
      <protection hidden="1"/>
    </xf>
    <xf numFmtId="0" fontId="180" fillId="2" borderId="5" xfId="4" applyFont="1" applyFill="1" applyBorder="1" applyAlignment="1" applyProtection="1">
      <alignment horizontal="left" vertical="center"/>
      <protection hidden="1"/>
    </xf>
    <xf numFmtId="0" fontId="124" fillId="15" borderId="155" xfId="4" applyFont="1" applyFill="1" applyBorder="1" applyAlignment="1" applyProtection="1">
      <alignment horizontal="center" vertical="center" wrapText="1"/>
      <protection hidden="1"/>
    </xf>
    <xf numFmtId="0" fontId="124" fillId="15" borderId="76" xfId="4" applyFont="1" applyFill="1" applyBorder="1" applyAlignment="1" applyProtection="1">
      <alignment horizontal="center" vertical="center" wrapText="1"/>
      <protection hidden="1"/>
    </xf>
    <xf numFmtId="9" fontId="96" fillId="2" borderId="59" xfId="4" applyNumberFormat="1" applyFont="1" applyFill="1" applyBorder="1" applyAlignment="1" applyProtection="1">
      <alignment horizontal="center"/>
      <protection hidden="1"/>
    </xf>
    <xf numFmtId="9" fontId="96" fillId="2" borderId="0" xfId="4" applyNumberFormat="1" applyFont="1" applyFill="1" applyBorder="1" applyAlignment="1" applyProtection="1">
      <alignment horizontal="center"/>
      <protection hidden="1"/>
    </xf>
    <xf numFmtId="0" fontId="66" fillId="2" borderId="0" xfId="4" applyFont="1" applyFill="1" applyBorder="1" applyAlignment="1" applyProtection="1">
      <alignment horizontal="left"/>
      <protection hidden="1"/>
    </xf>
    <xf numFmtId="38" fontId="61" fillId="30" borderId="143" xfId="4" applyNumberFormat="1" applyFont="1" applyFill="1" applyBorder="1" applyAlignment="1" applyProtection="1">
      <alignment horizontal="center"/>
      <protection hidden="1"/>
    </xf>
    <xf numFmtId="38" fontId="61" fillId="30" borderId="144" xfId="4" applyNumberFormat="1" applyFont="1" applyFill="1" applyBorder="1" applyAlignment="1" applyProtection="1">
      <alignment horizontal="center"/>
      <protection hidden="1"/>
    </xf>
    <xf numFmtId="38" fontId="61" fillId="30" borderId="145" xfId="4" applyNumberFormat="1" applyFont="1" applyFill="1" applyBorder="1" applyAlignment="1" applyProtection="1">
      <alignment horizontal="center"/>
      <protection hidden="1"/>
    </xf>
    <xf numFmtId="0" fontId="71" fillId="2" borderId="0" xfId="4" applyFont="1" applyFill="1" applyBorder="1" applyAlignment="1" applyProtection="1">
      <alignment horizontal="justify" wrapText="1"/>
      <protection hidden="1"/>
    </xf>
    <xf numFmtId="164" fontId="96" fillId="2" borderId="0" xfId="2" applyFont="1" applyFill="1" applyBorder="1" applyAlignment="1" applyProtection="1">
      <alignment horizontal="left"/>
      <protection hidden="1"/>
    </xf>
    <xf numFmtId="38" fontId="128" fillId="2" borderId="59" xfId="4" applyNumberFormat="1" applyFont="1" applyFill="1" applyBorder="1" applyAlignment="1" applyProtection="1">
      <alignment horizontal="center" vertical="center"/>
      <protection hidden="1"/>
    </xf>
    <xf numFmtId="0" fontId="7" fillId="0" borderId="0" xfId="4" applyAlignment="1" applyProtection="1">
      <alignment horizontal="center" vertical="center"/>
      <protection hidden="1"/>
    </xf>
    <xf numFmtId="3" fontId="198" fillId="11" borderId="0" xfId="4" applyNumberFormat="1" applyFont="1" applyFill="1" applyAlignment="1" applyProtection="1">
      <alignment horizontal="left"/>
      <protection hidden="1"/>
    </xf>
    <xf numFmtId="0" fontId="242" fillId="16" borderId="59" xfId="4" applyFont="1" applyFill="1" applyBorder="1" applyAlignment="1" applyProtection="1">
      <alignment horizontal="left"/>
      <protection hidden="1"/>
    </xf>
    <xf numFmtId="0" fontId="242" fillId="16" borderId="0" xfId="4" applyFont="1" applyFill="1" applyBorder="1" applyAlignment="1" applyProtection="1">
      <alignment horizontal="left"/>
      <protection hidden="1"/>
    </xf>
    <xf numFmtId="0" fontId="124" fillId="11" borderId="0" xfId="4" applyFont="1" applyFill="1" applyAlignment="1" applyProtection="1">
      <alignment horizontal="center" wrapText="1"/>
      <protection hidden="1"/>
    </xf>
    <xf numFmtId="0" fontId="117" fillId="2" borderId="59" xfId="4" applyFont="1" applyFill="1" applyBorder="1" applyAlignment="1" applyProtection="1">
      <alignment horizontal="left"/>
      <protection hidden="1"/>
    </xf>
    <xf numFmtId="0" fontId="117" fillId="2" borderId="0" xfId="4" applyFont="1" applyFill="1" applyBorder="1" applyAlignment="1" applyProtection="1">
      <alignment horizontal="left"/>
      <protection hidden="1"/>
    </xf>
    <xf numFmtId="164" fontId="218" fillId="2" borderId="0" xfId="2" applyFont="1" applyFill="1" applyBorder="1" applyAlignment="1" applyProtection="1">
      <alignment horizontal="left"/>
      <protection hidden="1"/>
    </xf>
    <xf numFmtId="0" fontId="12" fillId="13" borderId="72" xfId="4" applyFont="1" applyFill="1" applyBorder="1" applyAlignment="1" applyProtection="1">
      <alignment horizontal="left" vertical="top" wrapText="1"/>
      <protection hidden="1"/>
    </xf>
    <xf numFmtId="0" fontId="12" fillId="13" borderId="57" xfId="4" applyFont="1" applyFill="1" applyBorder="1" applyAlignment="1" applyProtection="1">
      <alignment horizontal="left" vertical="top" wrapText="1"/>
      <protection hidden="1"/>
    </xf>
    <xf numFmtId="0" fontId="12" fillId="13" borderId="73" xfId="4" applyFont="1" applyFill="1" applyBorder="1" applyAlignment="1" applyProtection="1">
      <alignment horizontal="left" vertical="top" wrapText="1"/>
      <protection hidden="1"/>
    </xf>
    <xf numFmtId="0" fontId="12" fillId="13" borderId="133" xfId="4" applyFont="1" applyFill="1" applyBorder="1" applyAlignment="1" applyProtection="1">
      <alignment horizontal="left" vertical="top" wrapText="1"/>
      <protection hidden="1"/>
    </xf>
    <xf numFmtId="0" fontId="95" fillId="2" borderId="0" xfId="4" applyFont="1" applyFill="1" applyBorder="1" applyAlignment="1" applyProtection="1">
      <alignment horizontal="center" vertical="top" wrapText="1"/>
      <protection hidden="1"/>
    </xf>
    <xf numFmtId="0" fontId="95" fillId="2" borderId="48" xfId="4" applyFont="1" applyFill="1" applyBorder="1" applyAlignment="1" applyProtection="1">
      <alignment horizontal="center" vertical="top" wrapText="1"/>
      <protection hidden="1"/>
    </xf>
  </cellXfs>
  <cellStyles count="7">
    <cellStyle name="Comma" xfId="1" builtinId="3"/>
    <cellStyle name="Comma 2" xfId="2" xr:uid="{00000000-0005-0000-0000-000001000000}"/>
    <cellStyle name="Hyperlink" xfId="3" builtinId="8"/>
    <cellStyle name="Normal" xfId="0" builtinId="0"/>
    <cellStyle name="Normal 2" xfId="4" xr:uid="{00000000-0005-0000-0000-000004000000}"/>
    <cellStyle name="Percent" xfId="5" builtinId="5"/>
    <cellStyle name="Percent 2" xfId="6" xr:uid="{00000000-0005-0000-0000-000006000000}"/>
  </cellStyles>
  <dxfs count="343">
    <dxf>
      <font>
        <condense val="0"/>
        <extend val="0"/>
        <color auto="1"/>
      </font>
    </dxf>
    <dxf>
      <font>
        <b/>
        <i val="0"/>
        <condense val="0"/>
        <extend val="0"/>
      </font>
    </dxf>
    <dxf>
      <font>
        <condense val="0"/>
        <extend val="0"/>
        <color indexed="13"/>
      </font>
    </dxf>
    <dxf>
      <font>
        <color theme="5" tint="-0.499984740745262"/>
        <name val="Cambria"/>
        <scheme val="none"/>
      </font>
      <fill>
        <patternFill>
          <bgColor theme="5" tint="0.59996337778862885"/>
        </patternFill>
      </fill>
      <border>
        <left style="thin">
          <color indexed="64"/>
        </left>
        <right style="thin">
          <color indexed="64"/>
        </right>
        <top style="thin">
          <color indexed="64"/>
        </top>
        <bottom style="thin">
          <color indexed="64"/>
        </bottom>
      </border>
    </dxf>
    <dxf>
      <font>
        <color rgb="FF003300"/>
        <name val="Cambria"/>
        <scheme val="none"/>
      </font>
      <fill>
        <patternFill>
          <bgColor rgb="FF00FF00"/>
        </patternFill>
      </fill>
      <border>
        <left style="thin">
          <color indexed="64"/>
        </left>
        <right style="thin">
          <color indexed="64"/>
        </right>
        <top style="thin">
          <color indexed="64"/>
        </top>
        <bottom style="thin">
          <color indexed="64"/>
        </bottom>
      </border>
    </dxf>
    <dxf>
      <font>
        <color rgb="FF003300"/>
        <name val="Cambria"/>
        <scheme val="none"/>
      </font>
      <fill>
        <patternFill>
          <bgColor rgb="FF00FF00"/>
        </patternFill>
      </fill>
      <border>
        <left style="thin">
          <color indexed="64"/>
        </left>
        <right style="thin">
          <color indexed="64"/>
        </right>
        <top style="thin">
          <color indexed="64"/>
        </top>
        <bottom style="thin">
          <color indexed="64"/>
        </bottom>
      </border>
    </dxf>
    <dxf>
      <font>
        <condense val="0"/>
        <extend val="0"/>
        <color indexed="8"/>
      </font>
      <fill>
        <patternFill>
          <bgColor rgb="FF00B0F0"/>
        </patternFill>
      </fill>
      <border>
        <left style="thin">
          <color indexed="64"/>
        </left>
        <right style="thin">
          <color indexed="64"/>
        </right>
        <top style="thin">
          <color indexed="64"/>
        </top>
        <bottom style="thin">
          <color indexed="64"/>
        </bottom>
      </border>
    </dxf>
    <dxf>
      <font>
        <condense val="0"/>
        <extend val="0"/>
        <color indexed="10"/>
      </font>
    </dxf>
    <dxf>
      <fill>
        <patternFill>
          <bgColor rgb="FFFF6600"/>
        </patternFill>
      </fill>
    </dxf>
    <dxf>
      <fill>
        <patternFill>
          <bgColor rgb="FFFF5050"/>
        </patternFill>
      </fill>
    </dxf>
    <dxf>
      <font>
        <color theme="0"/>
      </font>
      <fill>
        <patternFill>
          <bgColor theme="0"/>
        </patternFill>
      </fill>
      <border>
        <right/>
        <top/>
        <bottom/>
      </border>
    </dxf>
    <dxf>
      <font>
        <condense val="0"/>
        <extend val="0"/>
        <color indexed="8"/>
      </font>
      <fill>
        <patternFill>
          <bgColor indexed="52"/>
        </patternFill>
      </fill>
      <border>
        <left style="thin">
          <color indexed="64"/>
        </left>
        <right style="thin">
          <color indexed="64"/>
        </right>
        <top style="thin">
          <color indexed="64"/>
        </top>
        <bottom style="thin">
          <color indexed="64"/>
        </bottom>
      </border>
    </dxf>
    <dxf>
      <font>
        <b/>
        <i val="0"/>
        <condense val="0"/>
        <extend val="0"/>
        <color indexed="8"/>
      </font>
    </dxf>
    <dxf>
      <font>
        <condense val="0"/>
        <extend val="0"/>
        <color indexed="16"/>
      </font>
      <fill>
        <patternFill>
          <bgColor indexed="11"/>
        </patternFill>
      </fill>
      <border>
        <left style="thin">
          <color indexed="64"/>
        </left>
        <right style="thin">
          <color indexed="64"/>
        </right>
        <top style="thin">
          <color indexed="64"/>
        </top>
        <bottom style="thin">
          <color indexed="64"/>
        </bottom>
      </border>
    </dxf>
    <dxf>
      <font>
        <condense val="0"/>
        <extend val="0"/>
        <color indexed="8"/>
      </font>
      <fill>
        <patternFill>
          <bgColor indexed="51"/>
        </patternFill>
      </fill>
      <border>
        <left style="thin">
          <color indexed="64"/>
        </left>
        <right style="thin">
          <color indexed="64"/>
        </right>
        <top style="thin">
          <color indexed="64"/>
        </top>
        <bottom style="thin">
          <color indexed="64"/>
        </bottom>
      </border>
    </dxf>
    <dxf>
      <font>
        <condense val="0"/>
        <extend val="0"/>
        <color indexed="56"/>
      </font>
      <fill>
        <patternFill>
          <bgColor indexed="44"/>
        </patternFill>
      </fill>
      <border>
        <left style="thin">
          <color indexed="64"/>
        </left>
        <right style="thin">
          <color indexed="64"/>
        </right>
        <top style="thin">
          <color indexed="64"/>
        </top>
        <bottom style="thin">
          <color indexed="64"/>
        </bottom>
      </border>
    </dxf>
    <dxf>
      <font>
        <b/>
        <i val="0"/>
        <condense val="0"/>
        <extend val="0"/>
        <color indexed="10"/>
      </font>
      <fill>
        <patternFill>
          <bgColor indexed="13"/>
        </patternFill>
      </fill>
      <border>
        <left style="thin">
          <color indexed="64"/>
        </left>
        <right style="thin">
          <color indexed="64"/>
        </right>
        <top style="thin">
          <color indexed="64"/>
        </top>
        <bottom style="thin">
          <color indexed="64"/>
        </bottom>
      </border>
    </dxf>
    <dxf>
      <font>
        <condense val="0"/>
        <extend val="0"/>
        <color indexed="9"/>
      </font>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condense val="0"/>
        <extend val="0"/>
        <color indexed="12"/>
      </font>
    </dxf>
    <dxf>
      <font>
        <condense val="0"/>
        <extend val="0"/>
        <color indexed="8"/>
      </font>
      <fill>
        <patternFill>
          <bgColor indexed="44"/>
        </patternFill>
      </fill>
      <border>
        <right style="thin">
          <color indexed="64"/>
        </right>
        <top style="thin">
          <color indexed="64"/>
        </top>
        <bottom style="thin">
          <color indexed="64"/>
        </bottom>
      </border>
    </dxf>
    <dxf>
      <font>
        <b/>
        <i val="0"/>
        <condense val="0"/>
        <extend val="0"/>
      </font>
    </dxf>
    <dxf>
      <font>
        <b/>
        <i val="0"/>
        <condense val="0"/>
        <extend val="0"/>
        <color indexed="10"/>
      </font>
      <fill>
        <patternFill>
          <bgColor indexed="47"/>
        </patternFill>
      </fill>
      <border>
        <left style="thin">
          <color indexed="10"/>
        </left>
        <right style="thin">
          <color indexed="10"/>
        </right>
        <top style="thin">
          <color indexed="10"/>
        </top>
        <bottom style="thin">
          <color indexed="10"/>
        </bottom>
      </border>
    </dxf>
    <dxf>
      <font>
        <color theme="1"/>
        <name val="Cambria"/>
        <scheme val="none"/>
      </font>
    </dxf>
    <dxf>
      <font>
        <condense val="0"/>
        <extend val="0"/>
        <color indexed="10"/>
      </font>
    </dxf>
    <dxf>
      <font>
        <condense val="0"/>
        <extend val="0"/>
        <color indexed="14"/>
      </font>
    </dxf>
    <dxf>
      <font>
        <condense val="0"/>
        <extend val="0"/>
        <color indexed="9"/>
      </font>
    </dxf>
    <dxf>
      <font>
        <b/>
        <i val="0"/>
        <condense val="0"/>
        <extend val="0"/>
      </font>
    </dxf>
    <dxf>
      <font>
        <b/>
        <i val="0"/>
        <condense val="0"/>
        <extend val="0"/>
      </font>
    </dxf>
    <dxf>
      <font>
        <condense val="0"/>
        <extend val="0"/>
        <color indexed="50"/>
      </font>
    </dxf>
    <dxf>
      <font>
        <condense val="0"/>
        <extend val="0"/>
        <color indexed="9"/>
      </font>
    </dxf>
    <dxf>
      <font>
        <condense val="0"/>
        <extend val="0"/>
        <color auto="1"/>
      </font>
    </dxf>
    <dxf>
      <font>
        <condense val="0"/>
        <extend val="0"/>
        <color auto="1"/>
      </font>
    </dxf>
    <dxf>
      <font>
        <condense val="0"/>
        <extend val="0"/>
        <color auto="1"/>
      </font>
    </dxf>
    <dxf>
      <font>
        <condense val="0"/>
        <extend val="0"/>
        <color indexed="8"/>
      </font>
      <fill>
        <patternFill>
          <bgColor indexed="44"/>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auto="1"/>
      </font>
    </dxf>
    <dxf>
      <font>
        <condense val="0"/>
        <extend val="0"/>
        <color indexed="8"/>
      </font>
      <fill>
        <patternFill>
          <bgColor indexed="10"/>
        </patternFill>
      </fill>
    </dxf>
    <dxf>
      <font>
        <condense val="0"/>
        <extend val="0"/>
        <color indexed="44"/>
      </font>
      <fill>
        <patternFill>
          <bgColor indexed="44"/>
        </patternFill>
      </fill>
      <border>
        <left style="thin">
          <color indexed="64"/>
        </left>
        <right style="thin">
          <color indexed="64"/>
        </right>
        <top style="thin">
          <color indexed="64"/>
        </top>
        <bottom style="thin">
          <color indexed="64"/>
        </bottom>
      </border>
    </dxf>
    <dxf>
      <font>
        <b/>
        <i val="0"/>
        <condense val="0"/>
        <extend val="0"/>
        <color indexed="10"/>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auto="1"/>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font>
    </dxf>
    <dxf>
      <font>
        <condense val="0"/>
        <extend val="0"/>
        <color auto="1"/>
      </font>
    </dxf>
    <dxf>
      <font>
        <b/>
        <i val="0"/>
        <condense val="0"/>
        <extend val="0"/>
        <color auto="1"/>
      </font>
    </dxf>
    <dxf>
      <font>
        <b/>
        <i val="0"/>
        <condense val="0"/>
        <extend val="0"/>
      </font>
    </dxf>
    <dxf>
      <font>
        <b/>
        <i val="0"/>
        <condense val="0"/>
        <extend val="0"/>
      </font>
    </dxf>
    <dxf>
      <font>
        <condense val="0"/>
        <extend val="0"/>
        <color indexed="8"/>
      </font>
      <fill>
        <patternFill>
          <bgColor indexed="10"/>
        </patternFill>
      </fill>
      <border>
        <left style="thin">
          <color indexed="64"/>
        </left>
        <right style="thin">
          <color indexed="64"/>
        </right>
        <top style="thin">
          <color indexed="64"/>
        </top>
        <bottom style="thin">
          <color indexed="64"/>
        </bottom>
      </border>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b/>
        <i val="0"/>
        <condense val="0"/>
        <extend val="0"/>
      </font>
    </dxf>
    <dxf>
      <font>
        <condense val="0"/>
        <extend val="0"/>
        <color auto="1"/>
      </font>
    </dxf>
    <dxf>
      <font>
        <condense val="0"/>
        <extend val="0"/>
        <color indexed="9"/>
      </font>
    </dxf>
    <dxf>
      <font>
        <condense val="0"/>
        <extend val="0"/>
        <color indexed="9"/>
      </font>
      <fill>
        <patternFill>
          <bgColor indexed="9"/>
        </patternFill>
      </fill>
      <border>
        <left/>
        <top/>
        <bottom/>
      </border>
    </dxf>
    <dxf>
      <font>
        <condense val="0"/>
        <extend val="0"/>
        <color indexed="9"/>
      </font>
      <fill>
        <patternFill>
          <bgColor indexed="9"/>
        </patternFill>
      </fill>
      <border>
        <left/>
        <right/>
        <top/>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auto="1"/>
      </font>
    </dxf>
    <dxf>
      <font>
        <b/>
        <i val="0"/>
        <condense val="0"/>
        <extend val="0"/>
        <color auto="1"/>
      </font>
    </dxf>
    <dxf>
      <font>
        <condense val="0"/>
        <extend val="0"/>
        <color auto="1"/>
      </font>
    </dxf>
    <dxf>
      <font>
        <b/>
        <i val="0"/>
        <condense val="0"/>
        <extend val="0"/>
        <color auto="1"/>
      </font>
    </dxf>
    <dxf>
      <font>
        <condense val="0"/>
        <extend val="0"/>
        <color auto="1"/>
      </font>
    </dxf>
    <dxf>
      <font>
        <b/>
        <i val="0"/>
        <condense val="0"/>
        <extend val="0"/>
        <color auto="1"/>
      </font>
    </dxf>
    <dxf>
      <font>
        <b/>
        <i val="0"/>
        <condense val="0"/>
        <extend val="0"/>
        <color indexed="10"/>
      </font>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condense val="0"/>
        <extend val="0"/>
        <color indexed="9"/>
      </font>
    </dxf>
    <dxf>
      <font>
        <b/>
        <i val="0"/>
        <condense val="0"/>
        <extend val="0"/>
        <color auto="1"/>
      </font>
    </dxf>
    <dxf>
      <font>
        <b/>
        <i val="0"/>
        <condense val="0"/>
        <extend val="0"/>
        <color indexed="8"/>
      </font>
    </dxf>
    <dxf>
      <font>
        <b/>
        <i val="0"/>
        <condense val="0"/>
        <extend val="0"/>
        <color indexed="8"/>
      </font>
    </dxf>
    <dxf>
      <font>
        <b/>
        <i val="0"/>
        <condense val="0"/>
        <extend val="0"/>
      </font>
    </dxf>
    <dxf>
      <font>
        <condense val="0"/>
        <extend val="0"/>
        <color indexed="13"/>
      </font>
    </dxf>
    <dxf>
      <font>
        <b/>
        <i val="0"/>
        <condense val="0"/>
        <extend val="0"/>
        <color indexed="8"/>
      </font>
      <border>
        <left style="hair">
          <color indexed="64"/>
        </left>
        <right style="hair">
          <color indexed="64"/>
        </right>
        <top style="hair">
          <color indexed="64"/>
        </top>
        <bottom style="hair">
          <color indexed="64"/>
        </bottom>
      </border>
    </dxf>
    <dxf>
      <font>
        <condense val="0"/>
        <extend val="0"/>
        <color indexed="10"/>
      </font>
    </dxf>
    <dxf>
      <font>
        <condense val="0"/>
        <extend val="0"/>
        <color auto="1"/>
      </font>
    </dxf>
    <dxf>
      <font>
        <condense val="0"/>
        <extend val="0"/>
        <color indexed="8"/>
      </font>
    </dxf>
    <dxf>
      <font>
        <condense val="0"/>
        <extend val="0"/>
        <color indexed="8"/>
      </font>
      <border>
        <left style="thin">
          <color indexed="64"/>
        </left>
        <right style="thin">
          <color indexed="64"/>
        </right>
        <top style="thin">
          <color indexed="64"/>
        </top>
        <bottom style="thin">
          <color indexed="64"/>
        </bottom>
      </border>
    </dxf>
    <dxf>
      <font>
        <b/>
        <i val="0"/>
        <condense val="0"/>
        <extend val="0"/>
        <color indexed="14"/>
      </font>
    </dxf>
    <dxf>
      <font>
        <b/>
        <i val="0"/>
        <condense val="0"/>
        <extend val="0"/>
        <color indexed="14"/>
      </font>
    </dxf>
    <dxf>
      <font>
        <condense val="0"/>
        <extend val="0"/>
        <color indexed="8"/>
      </font>
    </dxf>
    <dxf>
      <font>
        <condense val="0"/>
        <extend val="0"/>
        <color auto="1"/>
      </font>
    </dxf>
    <dxf>
      <font>
        <b/>
        <i val="0"/>
        <condense val="0"/>
        <extend val="0"/>
      </font>
    </dxf>
    <dxf>
      <font>
        <condense val="0"/>
        <extend val="0"/>
        <color auto="1"/>
      </font>
    </dxf>
    <dxf>
      <font>
        <condense val="0"/>
        <extend val="0"/>
        <color auto="1"/>
      </font>
    </dxf>
    <dxf>
      <font>
        <b/>
        <i val="0"/>
        <condense val="0"/>
        <extend val="0"/>
      </font>
    </dxf>
    <dxf>
      <font>
        <b/>
        <i val="0"/>
        <condense val="0"/>
        <extend val="0"/>
        <color auto="1"/>
      </font>
    </dxf>
    <dxf>
      <font>
        <condense val="0"/>
        <extend val="0"/>
        <color indexed="8"/>
      </font>
    </dxf>
    <dxf>
      <font>
        <b/>
        <i val="0"/>
        <condense val="0"/>
        <extend val="0"/>
        <color auto="1"/>
      </font>
    </dxf>
    <dxf>
      <font>
        <b/>
        <i val="0"/>
        <condense val="0"/>
        <extend val="0"/>
        <color auto="1"/>
      </font>
    </dxf>
    <dxf>
      <font>
        <condense val="0"/>
        <extend val="0"/>
        <color auto="1"/>
      </font>
    </dxf>
    <dxf>
      <font>
        <b/>
        <i val="0"/>
        <condense val="0"/>
        <extend val="0"/>
      </font>
    </dxf>
    <dxf>
      <font>
        <condense val="0"/>
        <extend val="0"/>
        <color indexed="8"/>
      </font>
    </dxf>
    <dxf>
      <font>
        <b/>
        <i val="0"/>
        <condense val="0"/>
        <extend val="0"/>
        <color auto="1"/>
      </font>
    </dxf>
    <dxf>
      <font>
        <condense val="0"/>
        <extend val="0"/>
        <color auto="1"/>
      </font>
    </dxf>
    <dxf>
      <font>
        <b/>
        <i val="0"/>
        <condense val="0"/>
        <extend val="0"/>
        <color auto="1"/>
      </font>
    </dxf>
    <dxf>
      <font>
        <b/>
        <i val="0"/>
        <condense val="0"/>
        <extend val="0"/>
        <color auto="1"/>
      </font>
    </dxf>
    <dxf>
      <font>
        <condense val="0"/>
        <extend val="0"/>
        <color auto="1"/>
      </font>
    </dxf>
    <dxf>
      <font>
        <condense val="0"/>
        <extend val="0"/>
        <color auto="1"/>
      </font>
    </dxf>
    <dxf>
      <font>
        <b/>
        <i val="0"/>
        <condense val="0"/>
        <extend val="0"/>
        <color auto="1"/>
      </font>
    </dxf>
    <dxf>
      <font>
        <b/>
        <i val="0"/>
        <condense val="0"/>
        <extend val="0"/>
      </font>
    </dxf>
    <dxf>
      <font>
        <condense val="0"/>
        <extend val="0"/>
        <color auto="1"/>
      </font>
    </dxf>
    <dxf>
      <font>
        <condense val="0"/>
        <extend val="0"/>
        <color auto="1"/>
      </font>
    </dxf>
    <dxf>
      <font>
        <condense val="0"/>
        <extend val="0"/>
        <color auto="1"/>
      </font>
    </dxf>
    <dxf>
      <font>
        <b/>
        <i val="0"/>
        <condense val="0"/>
        <extend val="0"/>
      </font>
    </dxf>
    <dxf>
      <font>
        <condense val="0"/>
        <extend val="0"/>
        <color auto="1"/>
      </font>
    </dxf>
    <dxf>
      <font>
        <condense val="0"/>
        <extend val="0"/>
        <color indexed="9"/>
      </font>
    </dxf>
    <dxf>
      <font>
        <condense val="0"/>
        <extend val="0"/>
        <color auto="1"/>
      </font>
      <fill>
        <patternFill patternType="gray125"/>
      </fill>
    </dxf>
    <dxf>
      <font>
        <condense val="0"/>
        <extend val="0"/>
        <color indexed="9"/>
      </font>
    </dxf>
    <dxf>
      <font>
        <color theme="1"/>
      </font>
      <fill>
        <patternFill patternType="gray125"/>
      </fill>
      <border>
        <left style="hair">
          <color indexed="64"/>
        </left>
        <right style="hair">
          <color indexed="64"/>
        </right>
        <top style="hair">
          <color indexed="64"/>
        </top>
        <bottom style="hair">
          <color indexed="64"/>
        </bottom>
      </border>
    </dxf>
    <dxf>
      <font>
        <color theme="1"/>
      </font>
      <fill>
        <patternFill patternType="gray125"/>
      </fill>
      <border>
        <left style="hair">
          <color indexed="64"/>
        </left>
        <right style="hair">
          <color indexed="64"/>
        </right>
        <top style="hair">
          <color indexed="64"/>
        </top>
        <bottom style="hair">
          <color indexed="64"/>
        </bottom>
      </border>
    </dxf>
    <dxf>
      <font>
        <b/>
        <i val="0"/>
        <condense val="0"/>
        <extend val="0"/>
      </font>
    </dxf>
    <dxf>
      <font>
        <condense val="0"/>
        <extend val="0"/>
        <color auto="1"/>
      </font>
      <fill>
        <patternFill patternType="gray125"/>
      </fill>
    </dxf>
    <dxf>
      <font>
        <condense val="0"/>
        <extend val="0"/>
        <color auto="1"/>
      </font>
    </dxf>
    <dxf>
      <font>
        <condense val="0"/>
        <extend val="0"/>
        <color auto="1"/>
      </font>
    </dxf>
    <dxf>
      <font>
        <b/>
        <i val="0"/>
        <condense val="0"/>
        <extend val="0"/>
      </font>
    </dxf>
    <dxf>
      <font>
        <condense val="0"/>
        <extend val="0"/>
        <color auto="1"/>
      </font>
      <fill>
        <patternFill patternType="gray125"/>
      </fill>
    </dxf>
    <dxf>
      <font>
        <b/>
        <i val="0"/>
        <condense val="0"/>
        <extend val="0"/>
      </font>
    </dxf>
    <dxf>
      <border>
        <left style="hair">
          <color indexed="64"/>
        </left>
        <right style="hair">
          <color indexed="64"/>
        </right>
        <top style="hair">
          <color indexed="64"/>
        </top>
        <bottom style="hair">
          <color indexed="64"/>
        </bottom>
      </border>
    </dxf>
    <dxf>
      <font>
        <condense val="0"/>
        <extend val="0"/>
        <color indexed="9"/>
      </font>
    </dxf>
    <dxf>
      <font>
        <b/>
        <i val="0"/>
        <condense val="0"/>
        <extend val="0"/>
      </font>
    </dxf>
    <dxf>
      <font>
        <condense val="0"/>
        <extend val="0"/>
        <color indexed="27"/>
      </font>
    </dxf>
    <dxf>
      <font>
        <condense val="0"/>
        <extend val="0"/>
        <color indexed="9"/>
      </font>
    </dxf>
    <dxf>
      <font>
        <condense val="0"/>
        <extend val="0"/>
        <color auto="1"/>
      </font>
    </dxf>
    <dxf>
      <font>
        <condense val="0"/>
        <extend val="0"/>
        <color indexed="9"/>
      </font>
    </dxf>
    <dxf>
      <font>
        <condense val="0"/>
        <extend val="0"/>
        <color indexed="9"/>
      </font>
    </dxf>
    <dxf>
      <font>
        <b/>
        <i val="0"/>
        <condense val="0"/>
        <extend val="0"/>
      </font>
    </dxf>
    <dxf>
      <font>
        <condense val="0"/>
        <extend val="0"/>
        <color indexed="9"/>
      </font>
    </dxf>
    <dxf>
      <font>
        <b/>
        <i val="0"/>
        <strike val="0"/>
        <condense val="0"/>
        <extend val="0"/>
        <u val="none"/>
      </font>
    </dxf>
    <dxf>
      <font>
        <condense val="0"/>
        <extend val="0"/>
        <color indexed="8"/>
      </font>
    </dxf>
    <dxf>
      <font>
        <b/>
        <i val="0"/>
        <condense val="0"/>
        <extend val="0"/>
      </font>
    </dxf>
    <dxf>
      <font>
        <b/>
        <i val="0"/>
        <condense val="0"/>
        <extend val="0"/>
      </font>
    </dxf>
    <dxf>
      <font>
        <condense val="0"/>
        <extend val="0"/>
        <color auto="1"/>
      </font>
      <fill>
        <patternFill patternType="gray125"/>
      </fill>
      <border>
        <left style="hair">
          <color indexed="64"/>
        </left>
        <right style="hair">
          <color indexed="64"/>
        </right>
        <top style="hair">
          <color indexed="64"/>
        </top>
        <bottom style="hair">
          <color indexed="64"/>
        </bottom>
      </border>
    </dxf>
    <dxf>
      <font>
        <condense val="0"/>
        <extend val="0"/>
        <color auto="1"/>
      </font>
      <fill>
        <patternFill patternType="gray125"/>
      </fill>
      <border>
        <left style="hair">
          <color indexed="64"/>
        </left>
        <right style="hair">
          <color indexed="64"/>
        </right>
        <top style="hair">
          <color indexed="64"/>
        </top>
        <bottom style="hair">
          <color indexed="64"/>
        </bottom>
      </border>
    </dxf>
    <dxf>
      <font>
        <condense val="0"/>
        <extend val="0"/>
        <color auto="1"/>
      </font>
      <fill>
        <patternFill patternType="gray125"/>
      </fill>
    </dxf>
    <dxf>
      <font>
        <b/>
        <i val="0"/>
        <condense val="0"/>
        <extend val="0"/>
      </font>
    </dxf>
    <dxf>
      <font>
        <b/>
        <i val="0"/>
        <condense val="0"/>
        <extend val="0"/>
      </font>
    </dxf>
    <dxf>
      <font>
        <condense val="0"/>
        <extend val="0"/>
        <color auto="1"/>
      </font>
      <fill>
        <patternFill patternType="gray125"/>
      </fill>
    </dxf>
    <dxf>
      <font>
        <b/>
        <i val="0"/>
        <condense val="0"/>
        <extend val="0"/>
      </font>
    </dxf>
    <dxf>
      <font>
        <b/>
        <i val="0"/>
        <condense val="0"/>
        <extend val="0"/>
      </font>
    </dxf>
    <dxf>
      <font>
        <condense val="0"/>
        <extend val="0"/>
        <color auto="1"/>
      </font>
      <fill>
        <patternFill patternType="gray125"/>
      </fill>
    </dxf>
    <dxf>
      <font>
        <b/>
        <i val="0"/>
        <condense val="0"/>
        <extend val="0"/>
        <color auto="1"/>
      </font>
    </dxf>
    <dxf>
      <font>
        <condense val="0"/>
        <extend val="0"/>
        <color indexed="8"/>
      </font>
      <fill>
        <patternFill patternType="gray125"/>
      </fill>
    </dxf>
    <dxf>
      <font>
        <b/>
        <i val="0"/>
        <condense val="0"/>
        <extend val="0"/>
      </font>
    </dxf>
    <dxf>
      <font>
        <condense val="0"/>
        <extend val="0"/>
        <color auto="1"/>
      </font>
      <fill>
        <patternFill patternType="gray125"/>
      </fill>
    </dxf>
    <dxf>
      <font>
        <b/>
        <i val="0"/>
        <condense val="0"/>
        <extend val="0"/>
      </font>
    </dxf>
    <dxf>
      <font>
        <condense val="0"/>
        <extend val="0"/>
        <color auto="1"/>
      </font>
      <fill>
        <patternFill patternType="gray125"/>
      </fill>
    </dxf>
    <dxf>
      <font>
        <b/>
        <i val="0"/>
        <condense val="0"/>
        <extend val="0"/>
      </font>
    </dxf>
    <dxf>
      <font>
        <b/>
        <i val="0"/>
        <condense val="0"/>
        <extend val="0"/>
      </font>
    </dxf>
    <dxf>
      <font>
        <condense val="0"/>
        <extend val="0"/>
        <color auto="1"/>
      </font>
      <fill>
        <patternFill patternType="gray125"/>
      </fill>
    </dxf>
    <dxf>
      <font>
        <condense val="0"/>
        <extend val="0"/>
        <color auto="1"/>
      </font>
      <fill>
        <patternFill patternType="gray125"/>
      </fill>
      <border>
        <left style="hair">
          <color indexed="64"/>
        </left>
        <right style="hair">
          <color indexed="64"/>
        </right>
        <top style="hair">
          <color indexed="64"/>
        </top>
        <bottom style="hair">
          <color indexed="64"/>
        </bottom>
      </border>
    </dxf>
    <dxf>
      <font>
        <b/>
        <i val="0"/>
        <condense val="0"/>
        <extend val="0"/>
      </font>
    </dxf>
    <dxf>
      <font>
        <b/>
        <i val="0"/>
        <condense val="0"/>
        <extend val="0"/>
      </font>
    </dxf>
    <dxf>
      <font>
        <b/>
        <i val="0"/>
        <condense val="0"/>
        <extend val="0"/>
      </font>
    </dxf>
    <dxf>
      <font>
        <b/>
        <i val="0"/>
        <condense val="0"/>
        <extend val="0"/>
        <color auto="1"/>
      </font>
    </dxf>
    <dxf>
      <font>
        <b/>
        <i val="0"/>
        <condense val="0"/>
        <extend val="0"/>
      </font>
    </dxf>
    <dxf>
      <font>
        <condense val="0"/>
        <extend val="0"/>
        <color indexed="41"/>
      </font>
    </dxf>
    <dxf>
      <font>
        <condense val="0"/>
        <extend val="0"/>
        <color indexed="41"/>
      </font>
    </dxf>
    <dxf>
      <font>
        <condense val="0"/>
        <extend val="0"/>
        <color indexed="41"/>
      </font>
    </dxf>
    <dxf>
      <font>
        <condense val="0"/>
        <extend val="0"/>
        <color indexed="41"/>
      </font>
    </dxf>
    <dxf>
      <font>
        <condense val="0"/>
        <extend val="0"/>
        <color indexed="41"/>
      </font>
    </dxf>
    <dxf>
      <font>
        <b/>
        <i val="0"/>
        <condense val="0"/>
        <extend val="0"/>
        <color indexed="10"/>
      </font>
    </dxf>
    <dxf>
      <font>
        <b/>
        <i val="0"/>
        <condense val="0"/>
        <extend val="0"/>
        <color indexed="10"/>
      </font>
    </dxf>
    <dxf>
      <font>
        <condense val="0"/>
        <extend val="0"/>
        <color auto="1"/>
      </font>
    </dxf>
    <dxf>
      <font>
        <b/>
        <i val="0"/>
        <condense val="0"/>
        <extend val="0"/>
      </font>
    </dxf>
    <dxf>
      <font>
        <condense val="0"/>
        <extend val="0"/>
        <color indexed="13"/>
      </font>
    </dxf>
    <dxf>
      <font>
        <color theme="5" tint="-0.499984740745262"/>
        <name val="Cambria"/>
        <scheme val="none"/>
      </font>
      <fill>
        <patternFill>
          <bgColor theme="5" tint="0.59996337778862885"/>
        </patternFill>
      </fill>
      <border>
        <left style="thin">
          <color indexed="64"/>
        </left>
        <right style="thin">
          <color indexed="64"/>
        </right>
        <top style="thin">
          <color indexed="64"/>
        </top>
        <bottom style="thin">
          <color indexed="64"/>
        </bottom>
      </border>
    </dxf>
    <dxf>
      <font>
        <color rgb="FF003300"/>
        <name val="Cambria"/>
        <scheme val="none"/>
      </font>
      <fill>
        <patternFill>
          <bgColor rgb="FF00FF00"/>
        </patternFill>
      </fill>
      <border>
        <left style="thin">
          <color indexed="64"/>
        </left>
        <right style="thin">
          <color indexed="64"/>
        </right>
        <top style="thin">
          <color indexed="64"/>
        </top>
        <bottom style="thin">
          <color indexed="64"/>
        </bottom>
      </border>
    </dxf>
    <dxf>
      <font>
        <color rgb="FF003300"/>
        <name val="Cambria"/>
        <scheme val="none"/>
      </font>
      <fill>
        <patternFill>
          <bgColor rgb="FF00FF00"/>
        </patternFill>
      </fill>
      <border>
        <left style="thin">
          <color indexed="64"/>
        </left>
        <right style="thin">
          <color indexed="64"/>
        </right>
        <top style="thin">
          <color indexed="64"/>
        </top>
        <bottom style="thin">
          <color indexed="64"/>
        </bottom>
      </border>
    </dxf>
    <dxf>
      <font>
        <condense val="0"/>
        <extend val="0"/>
        <color indexed="8"/>
      </font>
      <fill>
        <patternFill>
          <bgColor rgb="FF00B0F0"/>
        </patternFill>
      </fill>
      <border>
        <left style="thin">
          <color indexed="64"/>
        </left>
        <right style="thin">
          <color indexed="64"/>
        </right>
        <top style="thin">
          <color indexed="64"/>
        </top>
        <bottom style="thin">
          <color indexed="64"/>
        </bottom>
      </border>
    </dxf>
    <dxf>
      <font>
        <condense val="0"/>
        <extend val="0"/>
        <color indexed="10"/>
      </font>
    </dxf>
    <dxf>
      <fill>
        <patternFill>
          <bgColor rgb="FFFF6600"/>
        </patternFill>
      </fill>
    </dxf>
    <dxf>
      <fill>
        <patternFill>
          <bgColor rgb="FFFF5050"/>
        </patternFill>
      </fill>
    </dxf>
    <dxf>
      <font>
        <color theme="0"/>
      </font>
      <fill>
        <patternFill>
          <bgColor theme="0"/>
        </patternFill>
      </fill>
      <border>
        <right/>
        <top/>
        <bottom/>
      </border>
    </dxf>
    <dxf>
      <font>
        <condense val="0"/>
        <extend val="0"/>
        <color indexed="8"/>
      </font>
      <fill>
        <patternFill>
          <bgColor indexed="52"/>
        </patternFill>
      </fill>
      <border>
        <left style="thin">
          <color indexed="64"/>
        </left>
        <right style="thin">
          <color indexed="64"/>
        </right>
        <top style="thin">
          <color indexed="64"/>
        </top>
        <bottom style="thin">
          <color indexed="64"/>
        </bottom>
      </border>
    </dxf>
    <dxf>
      <font>
        <b/>
        <i val="0"/>
        <condense val="0"/>
        <extend val="0"/>
        <color indexed="8"/>
      </font>
    </dxf>
    <dxf>
      <font>
        <condense val="0"/>
        <extend val="0"/>
        <color indexed="16"/>
      </font>
      <fill>
        <patternFill>
          <bgColor indexed="11"/>
        </patternFill>
      </fill>
      <border>
        <left style="thin">
          <color indexed="64"/>
        </left>
        <right style="thin">
          <color indexed="64"/>
        </right>
        <top style="thin">
          <color indexed="64"/>
        </top>
        <bottom style="thin">
          <color indexed="64"/>
        </bottom>
      </border>
    </dxf>
    <dxf>
      <font>
        <condense val="0"/>
        <extend val="0"/>
        <color indexed="8"/>
      </font>
      <fill>
        <patternFill>
          <bgColor indexed="51"/>
        </patternFill>
      </fill>
      <border>
        <left style="thin">
          <color indexed="64"/>
        </left>
        <right style="thin">
          <color indexed="64"/>
        </right>
        <top style="thin">
          <color indexed="64"/>
        </top>
        <bottom style="thin">
          <color indexed="64"/>
        </bottom>
      </border>
    </dxf>
    <dxf>
      <font>
        <condense val="0"/>
        <extend val="0"/>
        <color indexed="56"/>
      </font>
      <fill>
        <patternFill>
          <bgColor indexed="44"/>
        </patternFill>
      </fill>
      <border>
        <left style="thin">
          <color indexed="64"/>
        </left>
        <right style="thin">
          <color indexed="64"/>
        </right>
        <top style="thin">
          <color indexed="64"/>
        </top>
        <bottom style="thin">
          <color indexed="64"/>
        </bottom>
      </border>
    </dxf>
    <dxf>
      <font>
        <b/>
        <i val="0"/>
        <condense val="0"/>
        <extend val="0"/>
        <color indexed="10"/>
      </font>
      <fill>
        <patternFill>
          <bgColor indexed="13"/>
        </patternFill>
      </fill>
      <border>
        <left style="thin">
          <color indexed="64"/>
        </left>
        <right style="thin">
          <color indexed="64"/>
        </right>
        <top style="thin">
          <color indexed="64"/>
        </top>
        <bottom style="thin">
          <color indexed="64"/>
        </bottom>
      </border>
    </dxf>
    <dxf>
      <font>
        <condense val="0"/>
        <extend val="0"/>
        <color indexed="9"/>
      </font>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condense val="0"/>
        <extend val="0"/>
        <color indexed="12"/>
      </font>
    </dxf>
    <dxf>
      <font>
        <condense val="0"/>
        <extend val="0"/>
        <color indexed="8"/>
      </font>
      <fill>
        <patternFill>
          <bgColor indexed="44"/>
        </patternFill>
      </fill>
      <border>
        <right style="thin">
          <color indexed="64"/>
        </right>
        <top style="thin">
          <color indexed="64"/>
        </top>
        <bottom style="thin">
          <color indexed="64"/>
        </bottom>
      </border>
    </dxf>
    <dxf>
      <font>
        <b/>
        <i val="0"/>
        <condense val="0"/>
        <extend val="0"/>
      </font>
    </dxf>
    <dxf>
      <font>
        <b/>
        <i val="0"/>
        <condense val="0"/>
        <extend val="0"/>
        <color indexed="10"/>
      </font>
      <fill>
        <patternFill>
          <bgColor indexed="47"/>
        </patternFill>
      </fill>
      <border>
        <left style="thin">
          <color indexed="10"/>
        </left>
        <right style="thin">
          <color indexed="10"/>
        </right>
        <top style="thin">
          <color indexed="10"/>
        </top>
        <bottom style="thin">
          <color indexed="10"/>
        </bottom>
      </border>
    </dxf>
    <dxf>
      <font>
        <color theme="1"/>
        <name val="Cambria"/>
        <scheme val="none"/>
      </font>
    </dxf>
    <dxf>
      <font>
        <condense val="0"/>
        <extend val="0"/>
        <color indexed="10"/>
      </font>
    </dxf>
    <dxf>
      <font>
        <condense val="0"/>
        <extend val="0"/>
        <color indexed="14"/>
      </font>
    </dxf>
    <dxf>
      <font>
        <condense val="0"/>
        <extend val="0"/>
        <color indexed="9"/>
      </font>
    </dxf>
    <dxf>
      <font>
        <b/>
        <i val="0"/>
        <condense val="0"/>
        <extend val="0"/>
      </font>
    </dxf>
    <dxf>
      <font>
        <b/>
        <i val="0"/>
        <condense val="0"/>
        <extend val="0"/>
      </font>
    </dxf>
    <dxf>
      <font>
        <condense val="0"/>
        <extend val="0"/>
        <color indexed="50"/>
      </font>
    </dxf>
    <dxf>
      <font>
        <condense val="0"/>
        <extend val="0"/>
        <color indexed="9"/>
      </font>
    </dxf>
    <dxf>
      <font>
        <condense val="0"/>
        <extend val="0"/>
        <color auto="1"/>
      </font>
    </dxf>
    <dxf>
      <font>
        <condense val="0"/>
        <extend val="0"/>
        <color auto="1"/>
      </font>
    </dxf>
    <dxf>
      <font>
        <condense val="0"/>
        <extend val="0"/>
        <color auto="1"/>
      </font>
    </dxf>
    <dxf>
      <font>
        <condense val="0"/>
        <extend val="0"/>
        <color indexed="8"/>
      </font>
      <fill>
        <patternFill>
          <bgColor indexed="44"/>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auto="1"/>
      </font>
    </dxf>
    <dxf>
      <font>
        <condense val="0"/>
        <extend val="0"/>
        <color indexed="8"/>
      </font>
      <fill>
        <patternFill>
          <bgColor indexed="10"/>
        </patternFill>
      </fill>
    </dxf>
    <dxf>
      <font>
        <condense val="0"/>
        <extend val="0"/>
        <color indexed="44"/>
      </font>
      <fill>
        <patternFill>
          <bgColor indexed="44"/>
        </patternFill>
      </fill>
      <border>
        <left style="thin">
          <color indexed="64"/>
        </left>
        <right style="thin">
          <color indexed="64"/>
        </right>
        <top style="thin">
          <color indexed="64"/>
        </top>
        <bottom style="thin">
          <color indexed="64"/>
        </bottom>
      </border>
    </dxf>
    <dxf>
      <font>
        <b/>
        <i val="0"/>
        <condense val="0"/>
        <extend val="0"/>
        <color indexed="10"/>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auto="1"/>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font>
    </dxf>
    <dxf>
      <font>
        <condense val="0"/>
        <extend val="0"/>
        <color auto="1"/>
      </font>
    </dxf>
    <dxf>
      <font>
        <b/>
        <i val="0"/>
        <condense val="0"/>
        <extend val="0"/>
        <color auto="1"/>
      </font>
    </dxf>
    <dxf>
      <font>
        <b/>
        <i val="0"/>
        <condense val="0"/>
        <extend val="0"/>
      </font>
    </dxf>
    <dxf>
      <font>
        <b/>
        <i val="0"/>
        <condense val="0"/>
        <extend val="0"/>
      </font>
    </dxf>
    <dxf>
      <font>
        <condense val="0"/>
        <extend val="0"/>
        <color indexed="8"/>
      </font>
      <fill>
        <patternFill>
          <bgColor indexed="10"/>
        </patternFill>
      </fill>
      <border>
        <left style="thin">
          <color indexed="64"/>
        </left>
        <right style="thin">
          <color indexed="64"/>
        </right>
        <top style="thin">
          <color indexed="64"/>
        </top>
        <bottom style="thin">
          <color indexed="64"/>
        </bottom>
      </border>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b/>
        <i val="0"/>
        <condense val="0"/>
        <extend val="0"/>
      </font>
    </dxf>
    <dxf>
      <font>
        <condense val="0"/>
        <extend val="0"/>
        <color auto="1"/>
      </font>
    </dxf>
    <dxf>
      <font>
        <condense val="0"/>
        <extend val="0"/>
        <color indexed="9"/>
      </font>
    </dxf>
    <dxf>
      <font>
        <condense val="0"/>
        <extend val="0"/>
        <color indexed="9"/>
      </font>
      <fill>
        <patternFill>
          <bgColor indexed="9"/>
        </patternFill>
      </fill>
      <border>
        <left/>
        <top/>
        <bottom/>
      </border>
    </dxf>
    <dxf>
      <font>
        <condense val="0"/>
        <extend val="0"/>
        <color indexed="9"/>
      </font>
      <fill>
        <patternFill>
          <bgColor indexed="9"/>
        </patternFill>
      </fill>
      <border>
        <left/>
        <right/>
        <top/>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auto="1"/>
      </font>
    </dxf>
    <dxf>
      <font>
        <b/>
        <i val="0"/>
        <condense val="0"/>
        <extend val="0"/>
        <color auto="1"/>
      </font>
    </dxf>
    <dxf>
      <font>
        <condense val="0"/>
        <extend val="0"/>
        <color auto="1"/>
      </font>
    </dxf>
    <dxf>
      <font>
        <b/>
        <i val="0"/>
        <condense val="0"/>
        <extend val="0"/>
        <color auto="1"/>
      </font>
    </dxf>
    <dxf>
      <font>
        <condense val="0"/>
        <extend val="0"/>
        <color auto="1"/>
      </font>
    </dxf>
    <dxf>
      <font>
        <b/>
        <i val="0"/>
        <condense val="0"/>
        <extend val="0"/>
        <color auto="1"/>
      </font>
    </dxf>
    <dxf>
      <font>
        <b/>
        <i val="0"/>
        <condense val="0"/>
        <extend val="0"/>
        <color indexed="10"/>
      </font>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condense val="0"/>
        <extend val="0"/>
        <color indexed="9"/>
      </font>
    </dxf>
    <dxf>
      <font>
        <b/>
        <i val="0"/>
        <condense val="0"/>
        <extend val="0"/>
        <color auto="1"/>
      </font>
    </dxf>
    <dxf>
      <font>
        <b/>
        <i val="0"/>
        <condense val="0"/>
        <extend val="0"/>
        <color indexed="8"/>
      </font>
    </dxf>
    <dxf>
      <font>
        <b/>
        <i val="0"/>
        <condense val="0"/>
        <extend val="0"/>
        <color indexed="8"/>
      </font>
    </dxf>
    <dxf>
      <font>
        <b/>
        <i val="0"/>
        <condense val="0"/>
        <extend val="0"/>
      </font>
    </dxf>
    <dxf>
      <font>
        <condense val="0"/>
        <extend val="0"/>
        <color indexed="13"/>
      </font>
    </dxf>
    <dxf>
      <font>
        <b/>
        <i val="0"/>
        <condense val="0"/>
        <extend val="0"/>
        <color indexed="8"/>
      </font>
      <border>
        <left style="hair">
          <color indexed="64"/>
        </left>
        <right style="hair">
          <color indexed="64"/>
        </right>
        <top style="hair">
          <color indexed="64"/>
        </top>
        <bottom style="hair">
          <color indexed="64"/>
        </bottom>
      </border>
    </dxf>
    <dxf>
      <font>
        <condense val="0"/>
        <extend val="0"/>
        <color indexed="10"/>
      </font>
    </dxf>
    <dxf>
      <font>
        <condense val="0"/>
        <extend val="0"/>
        <color auto="1"/>
      </font>
    </dxf>
    <dxf>
      <font>
        <condense val="0"/>
        <extend val="0"/>
        <color indexed="8"/>
      </font>
    </dxf>
    <dxf>
      <font>
        <condense val="0"/>
        <extend val="0"/>
        <color indexed="8"/>
      </font>
      <border>
        <left style="thin">
          <color indexed="64"/>
        </left>
        <right style="thin">
          <color indexed="64"/>
        </right>
        <top style="thin">
          <color indexed="64"/>
        </top>
        <bottom style="thin">
          <color indexed="64"/>
        </bottom>
      </border>
    </dxf>
    <dxf>
      <font>
        <b/>
        <i val="0"/>
        <condense val="0"/>
        <extend val="0"/>
        <color indexed="14"/>
      </font>
    </dxf>
    <dxf>
      <font>
        <b/>
        <i val="0"/>
        <condense val="0"/>
        <extend val="0"/>
        <color indexed="14"/>
      </font>
    </dxf>
    <dxf>
      <font>
        <condense val="0"/>
        <extend val="0"/>
        <color indexed="8"/>
      </font>
    </dxf>
    <dxf>
      <font>
        <condense val="0"/>
        <extend val="0"/>
        <color auto="1"/>
      </font>
    </dxf>
    <dxf>
      <font>
        <b/>
        <i val="0"/>
        <condense val="0"/>
        <extend val="0"/>
      </font>
    </dxf>
    <dxf>
      <font>
        <condense val="0"/>
        <extend val="0"/>
        <color auto="1"/>
      </font>
    </dxf>
    <dxf>
      <font>
        <condense val="0"/>
        <extend val="0"/>
        <color auto="1"/>
      </font>
    </dxf>
    <dxf>
      <font>
        <b/>
        <i val="0"/>
        <condense val="0"/>
        <extend val="0"/>
      </font>
    </dxf>
    <dxf>
      <font>
        <b/>
        <i val="0"/>
        <condense val="0"/>
        <extend val="0"/>
        <color auto="1"/>
      </font>
    </dxf>
    <dxf>
      <font>
        <condense val="0"/>
        <extend val="0"/>
        <color indexed="8"/>
      </font>
    </dxf>
    <dxf>
      <font>
        <b/>
        <i val="0"/>
        <condense val="0"/>
        <extend val="0"/>
        <color auto="1"/>
      </font>
    </dxf>
    <dxf>
      <font>
        <b/>
        <i val="0"/>
        <condense val="0"/>
        <extend val="0"/>
        <color auto="1"/>
      </font>
    </dxf>
    <dxf>
      <font>
        <condense val="0"/>
        <extend val="0"/>
        <color auto="1"/>
      </font>
    </dxf>
    <dxf>
      <font>
        <b/>
        <i val="0"/>
        <condense val="0"/>
        <extend val="0"/>
      </font>
    </dxf>
    <dxf>
      <font>
        <condense val="0"/>
        <extend val="0"/>
        <color indexed="8"/>
      </font>
    </dxf>
    <dxf>
      <font>
        <b/>
        <i val="0"/>
        <condense val="0"/>
        <extend val="0"/>
        <color auto="1"/>
      </font>
    </dxf>
    <dxf>
      <font>
        <condense val="0"/>
        <extend val="0"/>
        <color auto="1"/>
      </font>
    </dxf>
    <dxf>
      <font>
        <b/>
        <i val="0"/>
        <condense val="0"/>
        <extend val="0"/>
        <color auto="1"/>
      </font>
    </dxf>
    <dxf>
      <font>
        <b/>
        <i val="0"/>
        <condense val="0"/>
        <extend val="0"/>
        <color auto="1"/>
      </font>
    </dxf>
    <dxf>
      <font>
        <condense val="0"/>
        <extend val="0"/>
        <color auto="1"/>
      </font>
    </dxf>
    <dxf>
      <font>
        <condense val="0"/>
        <extend val="0"/>
        <color auto="1"/>
      </font>
    </dxf>
    <dxf>
      <font>
        <b/>
        <i val="0"/>
        <condense val="0"/>
        <extend val="0"/>
        <color auto="1"/>
      </font>
    </dxf>
    <dxf>
      <font>
        <b/>
        <i val="0"/>
        <condense val="0"/>
        <extend val="0"/>
      </font>
    </dxf>
    <dxf>
      <font>
        <condense val="0"/>
        <extend val="0"/>
        <color auto="1"/>
      </font>
    </dxf>
    <dxf>
      <font>
        <condense val="0"/>
        <extend val="0"/>
        <color auto="1"/>
      </font>
    </dxf>
    <dxf>
      <font>
        <condense val="0"/>
        <extend val="0"/>
        <color auto="1"/>
      </font>
    </dxf>
    <dxf>
      <font>
        <color rgb="FF003300"/>
      </font>
      <fill>
        <patternFill>
          <bgColor rgb="FF003300"/>
        </patternFill>
      </fill>
    </dxf>
    <dxf>
      <font>
        <color rgb="FF003300"/>
      </font>
      <fill>
        <patternFill>
          <bgColor rgb="FF003300"/>
        </patternFill>
      </fill>
    </dxf>
    <dxf>
      <font>
        <color rgb="FF003300"/>
      </font>
      <fill>
        <patternFill>
          <bgColor rgb="FF003300"/>
        </patternFill>
      </fill>
    </dxf>
    <dxf>
      <font>
        <b/>
        <i val="0"/>
        <strike val="0"/>
        <condense val="0"/>
        <extend val="0"/>
        <u val="none"/>
      </font>
    </dxf>
    <dxf>
      <font>
        <condense val="0"/>
        <extend val="0"/>
        <color indexed="8"/>
      </font>
      <fill>
        <patternFill patternType="gray125"/>
      </fill>
    </dxf>
    <dxf>
      <font>
        <b/>
        <i val="0"/>
        <condense val="0"/>
        <extend val="0"/>
      </font>
    </dxf>
    <dxf>
      <font>
        <condense val="0"/>
        <extend val="0"/>
        <color indexed="9"/>
      </font>
    </dxf>
    <dxf>
      <font>
        <b/>
        <i val="0"/>
        <condense val="0"/>
        <extend val="0"/>
      </font>
    </dxf>
    <dxf>
      <font>
        <condense val="0"/>
        <extend val="0"/>
        <color auto="1"/>
      </font>
    </dxf>
    <dxf>
      <font>
        <condense val="0"/>
        <extend val="0"/>
        <color indexed="9"/>
      </font>
    </dxf>
    <dxf>
      <font>
        <condense val="0"/>
        <extend val="0"/>
        <color auto="1"/>
      </font>
      <fill>
        <patternFill patternType="gray125"/>
      </fill>
    </dxf>
    <dxf>
      <font>
        <color theme="1"/>
      </font>
      <fill>
        <patternFill patternType="gray125"/>
      </fill>
      <border>
        <left style="hair">
          <color indexed="64"/>
        </left>
        <right style="hair">
          <color indexed="64"/>
        </right>
        <top style="hair">
          <color indexed="64"/>
        </top>
        <bottom style="hair">
          <color indexed="64"/>
        </bottom>
      </border>
    </dxf>
    <dxf>
      <font>
        <color theme="1"/>
      </font>
      <fill>
        <patternFill patternType="gray125"/>
      </fill>
      <border>
        <left style="hair">
          <color indexed="64"/>
        </left>
        <right style="hair">
          <color indexed="64"/>
        </right>
        <top style="hair">
          <color indexed="64"/>
        </top>
        <bottom style="hair">
          <color indexed="64"/>
        </bottom>
      </border>
    </dxf>
    <dxf>
      <font>
        <b/>
        <i val="0"/>
        <condense val="0"/>
        <extend val="0"/>
      </font>
    </dxf>
    <dxf>
      <font>
        <condense val="0"/>
        <extend val="0"/>
        <color auto="1"/>
      </font>
    </dxf>
    <dxf>
      <font>
        <condense val="0"/>
        <extend val="0"/>
        <color auto="1"/>
      </font>
    </dxf>
    <dxf>
      <font>
        <b/>
        <i val="0"/>
        <condense val="0"/>
        <extend val="0"/>
      </font>
    </dxf>
    <dxf>
      <font>
        <condense val="0"/>
        <extend val="0"/>
        <color auto="1"/>
      </font>
      <fill>
        <patternFill patternType="gray125"/>
      </fill>
    </dxf>
    <dxf>
      <font>
        <b/>
        <i val="0"/>
        <condense val="0"/>
        <extend val="0"/>
      </font>
    </dxf>
    <dxf>
      <border>
        <left style="hair">
          <color indexed="64"/>
        </left>
        <right style="hair">
          <color indexed="64"/>
        </right>
        <top style="hair">
          <color indexed="64"/>
        </top>
        <bottom style="hair">
          <color indexed="64"/>
        </bottom>
      </border>
    </dxf>
    <dxf>
      <font>
        <condense val="0"/>
        <extend val="0"/>
        <color indexed="9"/>
      </font>
    </dxf>
    <dxf>
      <font>
        <b/>
        <i val="0"/>
        <condense val="0"/>
        <extend val="0"/>
      </font>
    </dxf>
    <dxf>
      <font>
        <condense val="0"/>
        <extend val="0"/>
        <color indexed="27"/>
      </font>
    </dxf>
    <dxf>
      <font>
        <condense val="0"/>
        <extend val="0"/>
        <color indexed="9"/>
      </font>
    </dxf>
    <dxf>
      <font>
        <condense val="0"/>
        <extend val="0"/>
        <color auto="1"/>
      </font>
    </dxf>
    <dxf>
      <font>
        <condense val="0"/>
        <extend val="0"/>
        <color indexed="9"/>
      </font>
    </dxf>
    <dxf>
      <font>
        <condense val="0"/>
        <extend val="0"/>
        <color indexed="9"/>
      </font>
    </dxf>
    <dxf>
      <font>
        <b/>
        <i val="0"/>
        <condense val="0"/>
        <extend val="0"/>
      </font>
    </dxf>
    <dxf>
      <font>
        <condense val="0"/>
        <extend val="0"/>
        <color indexed="9"/>
      </font>
    </dxf>
    <dxf>
      <font>
        <condense val="0"/>
        <extend val="0"/>
        <color indexed="8"/>
      </font>
    </dxf>
    <dxf>
      <font>
        <b/>
        <i val="0"/>
        <condense val="0"/>
        <extend val="0"/>
      </font>
    </dxf>
    <dxf>
      <font>
        <b/>
        <i val="0"/>
        <condense val="0"/>
        <extend val="0"/>
      </font>
    </dxf>
    <dxf>
      <font>
        <condense val="0"/>
        <extend val="0"/>
        <color auto="1"/>
      </font>
      <fill>
        <patternFill patternType="gray125"/>
      </fill>
      <border>
        <left style="hair">
          <color indexed="64"/>
        </left>
        <right style="hair">
          <color indexed="64"/>
        </right>
        <top style="hair">
          <color indexed="64"/>
        </top>
        <bottom style="hair">
          <color indexed="64"/>
        </bottom>
      </border>
    </dxf>
    <dxf>
      <font>
        <condense val="0"/>
        <extend val="0"/>
        <color auto="1"/>
      </font>
      <fill>
        <patternFill patternType="gray125"/>
      </fill>
      <border>
        <left style="hair">
          <color indexed="64"/>
        </left>
        <right style="hair">
          <color indexed="64"/>
        </right>
        <top style="hair">
          <color indexed="64"/>
        </top>
        <bottom style="hair">
          <color indexed="64"/>
        </bottom>
      </border>
    </dxf>
    <dxf>
      <font>
        <condense val="0"/>
        <extend val="0"/>
        <color auto="1"/>
      </font>
      <fill>
        <patternFill patternType="gray125"/>
      </fill>
    </dxf>
    <dxf>
      <font>
        <b/>
        <i val="0"/>
        <condense val="0"/>
        <extend val="0"/>
      </font>
    </dxf>
    <dxf>
      <font>
        <condense val="0"/>
        <extend val="0"/>
        <color auto="1"/>
      </font>
      <fill>
        <patternFill patternType="gray125"/>
      </fill>
    </dxf>
    <dxf>
      <font>
        <b/>
        <i val="0"/>
        <condense val="0"/>
        <extend val="0"/>
      </font>
    </dxf>
    <dxf>
      <font>
        <b/>
        <i val="0"/>
        <condense val="0"/>
        <extend val="0"/>
      </font>
    </dxf>
    <dxf>
      <font>
        <b/>
        <i val="0"/>
        <condense val="0"/>
        <extend val="0"/>
        <color auto="1"/>
      </font>
    </dxf>
    <dxf>
      <font>
        <condense val="0"/>
        <extend val="0"/>
        <color indexed="8"/>
      </font>
      <fill>
        <patternFill patternType="gray125"/>
      </fill>
    </dxf>
    <dxf>
      <font>
        <b/>
        <i val="0"/>
        <condense val="0"/>
        <extend val="0"/>
      </font>
    </dxf>
    <dxf>
      <font>
        <condense val="0"/>
        <extend val="0"/>
        <color auto="1"/>
      </font>
      <fill>
        <patternFill patternType="gray125"/>
      </fill>
    </dxf>
    <dxf>
      <font>
        <b/>
        <i val="0"/>
        <condense val="0"/>
        <extend val="0"/>
      </font>
    </dxf>
    <dxf>
      <font>
        <condense val="0"/>
        <extend val="0"/>
        <color auto="1"/>
      </font>
      <fill>
        <patternFill patternType="gray125"/>
      </fill>
    </dxf>
    <dxf>
      <font>
        <b/>
        <i val="0"/>
        <condense val="0"/>
        <extend val="0"/>
      </font>
    </dxf>
    <dxf>
      <font>
        <b/>
        <i val="0"/>
        <condense val="0"/>
        <extend val="0"/>
      </font>
    </dxf>
    <dxf>
      <font>
        <condense val="0"/>
        <extend val="0"/>
        <color auto="1"/>
      </font>
      <fill>
        <patternFill patternType="gray125"/>
      </fill>
    </dxf>
    <dxf>
      <font>
        <condense val="0"/>
        <extend val="0"/>
        <color auto="1"/>
      </font>
      <fill>
        <patternFill patternType="gray125"/>
      </fill>
      <border>
        <left style="hair">
          <color indexed="64"/>
        </left>
        <right style="hair">
          <color indexed="64"/>
        </right>
        <top style="hair">
          <color indexed="64"/>
        </top>
        <bottom style="hair">
          <color indexed="64"/>
        </bottom>
      </border>
    </dxf>
    <dxf>
      <font>
        <b/>
        <i val="0"/>
        <condense val="0"/>
        <extend val="0"/>
      </font>
    </dxf>
    <dxf>
      <font>
        <b/>
        <i val="0"/>
        <condense val="0"/>
        <extend val="0"/>
      </font>
    </dxf>
    <dxf>
      <font>
        <b/>
        <i val="0"/>
        <condense val="0"/>
        <extend val="0"/>
      </font>
    </dxf>
    <dxf>
      <font>
        <b/>
        <i val="0"/>
        <condense val="0"/>
        <extend val="0"/>
        <color auto="1"/>
      </font>
    </dxf>
    <dxf>
      <font>
        <b/>
        <i val="0"/>
        <condense val="0"/>
        <extend val="0"/>
      </font>
    </dxf>
    <dxf>
      <font>
        <b/>
        <i val="0"/>
        <condense val="0"/>
        <extend val="0"/>
        <color indexed="14"/>
      </font>
    </dxf>
    <dxf>
      <font>
        <condense val="0"/>
        <extend val="0"/>
        <color indexed="41"/>
      </font>
    </dxf>
    <dxf>
      <font>
        <condense val="0"/>
        <extend val="0"/>
        <color indexed="41"/>
      </font>
    </dxf>
    <dxf>
      <font>
        <condense val="0"/>
        <extend val="0"/>
        <color indexed="41"/>
      </font>
    </dxf>
    <dxf>
      <font>
        <condense val="0"/>
        <extend val="0"/>
        <color indexed="41"/>
      </font>
    </dxf>
    <dxf>
      <font>
        <condense val="0"/>
        <extend val="0"/>
        <color indexed="41"/>
      </font>
    </dxf>
    <dxf>
      <font>
        <b/>
        <i val="0"/>
        <condense val="0"/>
        <extend val="0"/>
        <color indexed="10"/>
      </font>
    </dxf>
    <dxf>
      <font>
        <b/>
        <i val="0"/>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Data Entry'!K52"/></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4.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10</xdr:col>
      <xdr:colOff>450850</xdr:colOff>
      <xdr:row>0</xdr:row>
      <xdr:rowOff>0</xdr:rowOff>
    </xdr:from>
    <xdr:to>
      <xdr:col>28</xdr:col>
      <xdr:colOff>539750</xdr:colOff>
      <xdr:row>34</xdr:row>
      <xdr:rowOff>139700</xdr:rowOff>
    </xdr:to>
    <xdr:sp macro="" textlink="">
      <xdr:nvSpPr>
        <xdr:cNvPr id="92566" name="Rectangle 18">
          <a:extLst>
            <a:ext uri="{FF2B5EF4-FFF2-40B4-BE49-F238E27FC236}">
              <a16:creationId xmlns:a16="http://schemas.microsoft.com/office/drawing/2014/main" id="{C6E172DD-6182-4613-90CD-5DBDE5EA906D}"/>
            </a:ext>
          </a:extLst>
        </xdr:cNvPr>
        <xdr:cNvSpPr>
          <a:spLocks noChangeArrowheads="1"/>
        </xdr:cNvSpPr>
      </xdr:nvSpPr>
      <xdr:spPr bwMode="auto">
        <a:xfrm>
          <a:off x="9836150" y="0"/>
          <a:ext cx="12407900" cy="85725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1530350</xdr:colOff>
      <xdr:row>23</xdr:row>
      <xdr:rowOff>133350</xdr:rowOff>
    </xdr:from>
    <xdr:to>
      <xdr:col>10</xdr:col>
      <xdr:colOff>36120</xdr:colOff>
      <xdr:row>24</xdr:row>
      <xdr:rowOff>38100</xdr:rowOff>
    </xdr:to>
    <xdr:sp macro="" textlink="">
      <xdr:nvSpPr>
        <xdr:cNvPr id="8193" name="Text Box 1">
          <a:extLst>
            <a:ext uri="{FF2B5EF4-FFF2-40B4-BE49-F238E27FC236}">
              <a16:creationId xmlns:a16="http://schemas.microsoft.com/office/drawing/2014/main" id="{C49ABBC4-94B6-4B2B-BFA7-740A7F723918}"/>
            </a:ext>
          </a:extLst>
        </xdr:cNvPr>
        <xdr:cNvSpPr txBox="1">
          <a:spLocks noChangeArrowheads="1"/>
        </xdr:cNvSpPr>
      </xdr:nvSpPr>
      <xdr:spPr bwMode="auto">
        <a:xfrm>
          <a:off x="4943475" y="5972175"/>
          <a:ext cx="247650" cy="152400"/>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0</xdr:colOff>
      <xdr:row>16</xdr:row>
      <xdr:rowOff>47625</xdr:rowOff>
    </xdr:from>
    <xdr:to>
      <xdr:col>12</xdr:col>
      <xdr:colOff>266722</xdr:colOff>
      <xdr:row>17</xdr:row>
      <xdr:rowOff>0</xdr:rowOff>
    </xdr:to>
    <xdr:sp macro="" textlink="">
      <xdr:nvSpPr>
        <xdr:cNvPr id="8194" name="Text Box 2">
          <a:extLst>
            <a:ext uri="{FF2B5EF4-FFF2-40B4-BE49-F238E27FC236}">
              <a16:creationId xmlns:a16="http://schemas.microsoft.com/office/drawing/2014/main" id="{6BF1D804-691E-4B67-862B-3F355BD24F2C}"/>
            </a:ext>
          </a:extLst>
        </xdr:cNvPr>
        <xdr:cNvSpPr txBox="1">
          <a:spLocks noChangeArrowheads="1"/>
        </xdr:cNvSpPr>
      </xdr:nvSpPr>
      <xdr:spPr bwMode="auto">
        <a:xfrm>
          <a:off x="7038975" y="401002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9525</xdr:colOff>
      <xdr:row>17</xdr:row>
      <xdr:rowOff>76200</xdr:rowOff>
    </xdr:from>
    <xdr:to>
      <xdr:col>12</xdr:col>
      <xdr:colOff>266585</xdr:colOff>
      <xdr:row>18</xdr:row>
      <xdr:rowOff>28575</xdr:rowOff>
    </xdr:to>
    <xdr:sp macro="" textlink="">
      <xdr:nvSpPr>
        <xdr:cNvPr id="8195" name="Text Box 3">
          <a:extLst>
            <a:ext uri="{FF2B5EF4-FFF2-40B4-BE49-F238E27FC236}">
              <a16:creationId xmlns:a16="http://schemas.microsoft.com/office/drawing/2014/main" id="{46013D81-ABB2-485B-9F74-E431A2C7D9C7}"/>
            </a:ext>
          </a:extLst>
        </xdr:cNvPr>
        <xdr:cNvSpPr txBox="1">
          <a:spLocks noChangeArrowheads="1"/>
        </xdr:cNvSpPr>
      </xdr:nvSpPr>
      <xdr:spPr bwMode="auto">
        <a:xfrm>
          <a:off x="7048500" y="42862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1339850</xdr:colOff>
      <xdr:row>23</xdr:row>
      <xdr:rowOff>31750</xdr:rowOff>
    </xdr:from>
    <xdr:to>
      <xdr:col>9</xdr:col>
      <xdr:colOff>1428750</xdr:colOff>
      <xdr:row>24</xdr:row>
      <xdr:rowOff>0</xdr:rowOff>
    </xdr:to>
    <xdr:sp macro="" textlink="">
      <xdr:nvSpPr>
        <xdr:cNvPr id="154175" name="AutoShape 4">
          <a:extLst>
            <a:ext uri="{FF2B5EF4-FFF2-40B4-BE49-F238E27FC236}">
              <a16:creationId xmlns:a16="http://schemas.microsoft.com/office/drawing/2014/main" id="{90898ADB-251E-4CA9-B618-D4C7F9699AF2}"/>
            </a:ext>
          </a:extLst>
        </xdr:cNvPr>
        <xdr:cNvSpPr>
          <a:spLocks/>
        </xdr:cNvSpPr>
      </xdr:nvSpPr>
      <xdr:spPr bwMode="auto">
        <a:xfrm>
          <a:off x="5734050" y="6007100"/>
          <a:ext cx="88900" cy="222250"/>
        </a:xfrm>
        <a:prstGeom prst="rightBrace">
          <a:avLst>
            <a:gd name="adj1" fmla="val 20833"/>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1511300</xdr:colOff>
      <xdr:row>26</xdr:row>
      <xdr:rowOff>76200</xdr:rowOff>
    </xdr:from>
    <xdr:to>
      <xdr:col>10</xdr:col>
      <xdr:colOff>20980</xdr:colOff>
      <xdr:row>27</xdr:row>
      <xdr:rowOff>28575</xdr:rowOff>
    </xdr:to>
    <xdr:sp macro="" textlink="">
      <xdr:nvSpPr>
        <xdr:cNvPr id="8197" name="Text Box 5">
          <a:extLst>
            <a:ext uri="{FF2B5EF4-FFF2-40B4-BE49-F238E27FC236}">
              <a16:creationId xmlns:a16="http://schemas.microsoft.com/office/drawing/2014/main" id="{AB856EE8-F29F-438A-9EDA-3307C4E0EC8A}"/>
            </a:ext>
          </a:extLst>
        </xdr:cNvPr>
        <xdr:cNvSpPr txBox="1">
          <a:spLocks noChangeArrowheads="1"/>
        </xdr:cNvSpPr>
      </xdr:nvSpPr>
      <xdr:spPr bwMode="auto">
        <a:xfrm>
          <a:off x="4924425" y="66579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1511300</xdr:colOff>
      <xdr:row>27</xdr:row>
      <xdr:rowOff>76200</xdr:rowOff>
    </xdr:from>
    <xdr:to>
      <xdr:col>10</xdr:col>
      <xdr:colOff>20980</xdr:colOff>
      <xdr:row>28</xdr:row>
      <xdr:rowOff>28575</xdr:rowOff>
    </xdr:to>
    <xdr:sp macro="" textlink="">
      <xdr:nvSpPr>
        <xdr:cNvPr id="8198" name="Text Box 6">
          <a:extLst>
            <a:ext uri="{FF2B5EF4-FFF2-40B4-BE49-F238E27FC236}">
              <a16:creationId xmlns:a16="http://schemas.microsoft.com/office/drawing/2014/main" id="{431FA25A-511C-4C4C-865A-F08AC7E266C1}"/>
            </a:ext>
          </a:extLst>
        </xdr:cNvPr>
        <xdr:cNvSpPr txBox="1">
          <a:spLocks noChangeArrowheads="1"/>
        </xdr:cNvSpPr>
      </xdr:nvSpPr>
      <xdr:spPr bwMode="auto">
        <a:xfrm>
          <a:off x="4924425" y="690562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1520825</xdr:colOff>
      <xdr:row>28</xdr:row>
      <xdr:rowOff>76200</xdr:rowOff>
    </xdr:from>
    <xdr:to>
      <xdr:col>10</xdr:col>
      <xdr:colOff>30505</xdr:colOff>
      <xdr:row>29</xdr:row>
      <xdr:rowOff>28575</xdr:rowOff>
    </xdr:to>
    <xdr:sp macro="" textlink="">
      <xdr:nvSpPr>
        <xdr:cNvPr id="8199" name="Text Box 7">
          <a:extLst>
            <a:ext uri="{FF2B5EF4-FFF2-40B4-BE49-F238E27FC236}">
              <a16:creationId xmlns:a16="http://schemas.microsoft.com/office/drawing/2014/main" id="{9BC723D9-E61D-4675-8517-63905D5A2644}"/>
            </a:ext>
          </a:extLst>
        </xdr:cNvPr>
        <xdr:cNvSpPr txBox="1">
          <a:spLocks noChangeArrowheads="1"/>
        </xdr:cNvSpPr>
      </xdr:nvSpPr>
      <xdr:spPr bwMode="auto">
        <a:xfrm>
          <a:off x="4933950" y="71532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1520825</xdr:colOff>
      <xdr:row>29</xdr:row>
      <xdr:rowOff>76200</xdr:rowOff>
    </xdr:from>
    <xdr:to>
      <xdr:col>10</xdr:col>
      <xdr:colOff>30505</xdr:colOff>
      <xdr:row>30</xdr:row>
      <xdr:rowOff>28575</xdr:rowOff>
    </xdr:to>
    <xdr:sp macro="" textlink="">
      <xdr:nvSpPr>
        <xdr:cNvPr id="8200" name="Text Box 8">
          <a:extLst>
            <a:ext uri="{FF2B5EF4-FFF2-40B4-BE49-F238E27FC236}">
              <a16:creationId xmlns:a16="http://schemas.microsoft.com/office/drawing/2014/main" id="{B0D89370-662D-448D-92C8-95AF6A5801BD}"/>
            </a:ext>
          </a:extLst>
        </xdr:cNvPr>
        <xdr:cNvSpPr txBox="1">
          <a:spLocks noChangeArrowheads="1"/>
        </xdr:cNvSpPr>
      </xdr:nvSpPr>
      <xdr:spPr bwMode="auto">
        <a:xfrm>
          <a:off x="4933950" y="740092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26</xdr:row>
      <xdr:rowOff>76200</xdr:rowOff>
    </xdr:from>
    <xdr:to>
      <xdr:col>12</xdr:col>
      <xdr:colOff>315462</xdr:colOff>
      <xdr:row>27</xdr:row>
      <xdr:rowOff>28575</xdr:rowOff>
    </xdr:to>
    <xdr:sp macro="" textlink="">
      <xdr:nvSpPr>
        <xdr:cNvPr id="8201" name="Text Box 9">
          <a:extLst>
            <a:ext uri="{FF2B5EF4-FFF2-40B4-BE49-F238E27FC236}">
              <a16:creationId xmlns:a16="http://schemas.microsoft.com/office/drawing/2014/main" id="{19D13314-4FA2-49FF-A4C1-8E590F8C3E6C}"/>
            </a:ext>
          </a:extLst>
        </xdr:cNvPr>
        <xdr:cNvSpPr txBox="1">
          <a:spLocks noChangeArrowheads="1"/>
        </xdr:cNvSpPr>
      </xdr:nvSpPr>
      <xdr:spPr bwMode="auto">
        <a:xfrm>
          <a:off x="7096125" y="66579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27</xdr:row>
      <xdr:rowOff>66675</xdr:rowOff>
    </xdr:from>
    <xdr:to>
      <xdr:col>12</xdr:col>
      <xdr:colOff>315462</xdr:colOff>
      <xdr:row>28</xdr:row>
      <xdr:rowOff>11501</xdr:rowOff>
    </xdr:to>
    <xdr:sp macro="" textlink="">
      <xdr:nvSpPr>
        <xdr:cNvPr id="8202" name="Text Box 10">
          <a:extLst>
            <a:ext uri="{FF2B5EF4-FFF2-40B4-BE49-F238E27FC236}">
              <a16:creationId xmlns:a16="http://schemas.microsoft.com/office/drawing/2014/main" id="{C9971280-7C1C-40F7-A908-BBBA29FBF8C3}"/>
            </a:ext>
          </a:extLst>
        </xdr:cNvPr>
        <xdr:cNvSpPr txBox="1">
          <a:spLocks noChangeArrowheads="1"/>
        </xdr:cNvSpPr>
      </xdr:nvSpPr>
      <xdr:spPr bwMode="auto">
        <a:xfrm>
          <a:off x="7096125" y="689610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28</xdr:row>
      <xdr:rowOff>76200</xdr:rowOff>
    </xdr:from>
    <xdr:to>
      <xdr:col>12</xdr:col>
      <xdr:colOff>315462</xdr:colOff>
      <xdr:row>29</xdr:row>
      <xdr:rowOff>28575</xdr:rowOff>
    </xdr:to>
    <xdr:sp macro="" textlink="">
      <xdr:nvSpPr>
        <xdr:cNvPr id="8203" name="Text Box 11">
          <a:extLst>
            <a:ext uri="{FF2B5EF4-FFF2-40B4-BE49-F238E27FC236}">
              <a16:creationId xmlns:a16="http://schemas.microsoft.com/office/drawing/2014/main" id="{B28653B6-67C2-43E1-A4A6-0D445D19528B}"/>
            </a:ext>
          </a:extLst>
        </xdr:cNvPr>
        <xdr:cNvSpPr txBox="1">
          <a:spLocks noChangeArrowheads="1"/>
        </xdr:cNvSpPr>
      </xdr:nvSpPr>
      <xdr:spPr bwMode="auto">
        <a:xfrm>
          <a:off x="7096125" y="71532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1530350</xdr:colOff>
      <xdr:row>30</xdr:row>
      <xdr:rowOff>66675</xdr:rowOff>
    </xdr:from>
    <xdr:to>
      <xdr:col>10</xdr:col>
      <xdr:colOff>36120</xdr:colOff>
      <xdr:row>31</xdr:row>
      <xdr:rowOff>11501</xdr:rowOff>
    </xdr:to>
    <xdr:sp macro="" textlink="">
      <xdr:nvSpPr>
        <xdr:cNvPr id="8204" name="Text Box 12">
          <a:extLst>
            <a:ext uri="{FF2B5EF4-FFF2-40B4-BE49-F238E27FC236}">
              <a16:creationId xmlns:a16="http://schemas.microsoft.com/office/drawing/2014/main" id="{EEA687DE-6C82-42B5-B10E-99AC07D4692C}"/>
            </a:ext>
          </a:extLst>
        </xdr:cNvPr>
        <xdr:cNvSpPr txBox="1">
          <a:spLocks noChangeArrowheads="1"/>
        </xdr:cNvSpPr>
      </xdr:nvSpPr>
      <xdr:spPr bwMode="auto">
        <a:xfrm>
          <a:off x="4943475" y="76390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33</xdr:row>
      <xdr:rowOff>76200</xdr:rowOff>
    </xdr:from>
    <xdr:to>
      <xdr:col>10</xdr:col>
      <xdr:colOff>220777</xdr:colOff>
      <xdr:row>34</xdr:row>
      <xdr:rowOff>28575</xdr:rowOff>
    </xdr:to>
    <xdr:sp macro="" textlink="">
      <xdr:nvSpPr>
        <xdr:cNvPr id="8205" name="Text Box 13">
          <a:extLst>
            <a:ext uri="{FF2B5EF4-FFF2-40B4-BE49-F238E27FC236}">
              <a16:creationId xmlns:a16="http://schemas.microsoft.com/office/drawing/2014/main" id="{A77E3020-561E-4D5B-8E9C-F47645B0FA30}"/>
            </a:ext>
          </a:extLst>
        </xdr:cNvPr>
        <xdr:cNvSpPr txBox="1">
          <a:spLocks noChangeArrowheads="1"/>
        </xdr:cNvSpPr>
      </xdr:nvSpPr>
      <xdr:spPr bwMode="auto">
        <a:xfrm>
          <a:off x="5124450" y="839152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34</xdr:row>
      <xdr:rowOff>85725</xdr:rowOff>
    </xdr:from>
    <xdr:to>
      <xdr:col>10</xdr:col>
      <xdr:colOff>220777</xdr:colOff>
      <xdr:row>35</xdr:row>
      <xdr:rowOff>38100</xdr:rowOff>
    </xdr:to>
    <xdr:sp macro="" textlink="">
      <xdr:nvSpPr>
        <xdr:cNvPr id="8206" name="Text Box 14">
          <a:extLst>
            <a:ext uri="{FF2B5EF4-FFF2-40B4-BE49-F238E27FC236}">
              <a16:creationId xmlns:a16="http://schemas.microsoft.com/office/drawing/2014/main" id="{D9F140BA-48F5-4D19-A2D0-4B0E7F0026D0}"/>
            </a:ext>
          </a:extLst>
        </xdr:cNvPr>
        <xdr:cNvSpPr txBox="1">
          <a:spLocks noChangeArrowheads="1"/>
        </xdr:cNvSpPr>
      </xdr:nvSpPr>
      <xdr:spPr bwMode="auto">
        <a:xfrm>
          <a:off x="5124450" y="864870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35</xdr:row>
      <xdr:rowOff>85725</xdr:rowOff>
    </xdr:from>
    <xdr:to>
      <xdr:col>10</xdr:col>
      <xdr:colOff>220777</xdr:colOff>
      <xdr:row>36</xdr:row>
      <xdr:rowOff>38100</xdr:rowOff>
    </xdr:to>
    <xdr:sp macro="" textlink="">
      <xdr:nvSpPr>
        <xdr:cNvPr id="8207" name="Text Box 15">
          <a:extLst>
            <a:ext uri="{FF2B5EF4-FFF2-40B4-BE49-F238E27FC236}">
              <a16:creationId xmlns:a16="http://schemas.microsoft.com/office/drawing/2014/main" id="{AF27CF05-305C-43D7-A75A-85211CC5BDA2}"/>
            </a:ext>
          </a:extLst>
        </xdr:cNvPr>
        <xdr:cNvSpPr txBox="1">
          <a:spLocks noChangeArrowheads="1"/>
        </xdr:cNvSpPr>
      </xdr:nvSpPr>
      <xdr:spPr bwMode="auto">
        <a:xfrm>
          <a:off x="5124450" y="88963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8</xdr:col>
      <xdr:colOff>171450</xdr:colOff>
      <xdr:row>37</xdr:row>
      <xdr:rowOff>95250</xdr:rowOff>
    </xdr:from>
    <xdr:to>
      <xdr:col>9</xdr:col>
      <xdr:colOff>1409395</xdr:colOff>
      <xdr:row>38</xdr:row>
      <xdr:rowOff>49530</xdr:rowOff>
    </xdr:to>
    <xdr:sp macro="" textlink="">
      <xdr:nvSpPr>
        <xdr:cNvPr id="8208" name="Text Box 16">
          <a:extLst>
            <a:ext uri="{FF2B5EF4-FFF2-40B4-BE49-F238E27FC236}">
              <a16:creationId xmlns:a16="http://schemas.microsoft.com/office/drawing/2014/main" id="{A1F9F70D-20A8-406C-B953-0E58A1BA78C8}"/>
            </a:ext>
          </a:extLst>
        </xdr:cNvPr>
        <xdr:cNvSpPr txBox="1">
          <a:spLocks noChangeArrowheads="1"/>
        </xdr:cNvSpPr>
      </xdr:nvSpPr>
      <xdr:spPr bwMode="auto">
        <a:xfrm>
          <a:off x="3467100" y="9401175"/>
          <a:ext cx="1362075"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For Rs.2,000/- excess</a:t>
          </a:r>
        </a:p>
      </xdr:txBody>
    </xdr:sp>
    <xdr:clientData/>
  </xdr:twoCellAnchor>
  <xdr:twoCellAnchor>
    <xdr:from>
      <xdr:col>11</xdr:col>
      <xdr:colOff>57150</xdr:colOff>
      <xdr:row>35</xdr:row>
      <xdr:rowOff>95250</xdr:rowOff>
    </xdr:from>
    <xdr:to>
      <xdr:col>14</xdr:col>
      <xdr:colOff>229265</xdr:colOff>
      <xdr:row>36</xdr:row>
      <xdr:rowOff>49530</xdr:rowOff>
    </xdr:to>
    <xdr:sp macro="" textlink="">
      <xdr:nvSpPr>
        <xdr:cNvPr id="8209" name="Text Box 17">
          <a:extLst>
            <a:ext uri="{FF2B5EF4-FFF2-40B4-BE49-F238E27FC236}">
              <a16:creationId xmlns:a16="http://schemas.microsoft.com/office/drawing/2014/main" id="{9691DF79-2D2F-4AD9-8E34-D55C319BB626}"/>
            </a:ext>
          </a:extLst>
        </xdr:cNvPr>
        <xdr:cNvSpPr txBox="1">
          <a:spLocks noChangeArrowheads="1"/>
        </xdr:cNvSpPr>
      </xdr:nvSpPr>
      <xdr:spPr bwMode="auto">
        <a:xfrm>
          <a:off x="5724525" y="8905875"/>
          <a:ext cx="318135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9</xdr:col>
      <xdr:colOff>1224915</xdr:colOff>
      <xdr:row>37</xdr:row>
      <xdr:rowOff>85725</xdr:rowOff>
    </xdr:from>
    <xdr:to>
      <xdr:col>9</xdr:col>
      <xdr:colOff>1224915</xdr:colOff>
      <xdr:row>38</xdr:row>
      <xdr:rowOff>38100</xdr:rowOff>
    </xdr:to>
    <xdr:sp macro="" textlink="">
      <xdr:nvSpPr>
        <xdr:cNvPr id="8210" name="Text Box 18">
          <a:extLst>
            <a:ext uri="{FF2B5EF4-FFF2-40B4-BE49-F238E27FC236}">
              <a16:creationId xmlns:a16="http://schemas.microsoft.com/office/drawing/2014/main" id="{1606DD5B-2311-4BA3-B4F4-BF4E0554B1DE}"/>
            </a:ext>
          </a:extLst>
        </xdr:cNvPr>
        <xdr:cNvSpPr txBox="1">
          <a:spLocks noChangeArrowheads="1"/>
        </xdr:cNvSpPr>
      </xdr:nvSpPr>
      <xdr:spPr bwMode="auto">
        <a:xfrm>
          <a:off x="4648200" y="93916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37</xdr:row>
      <xdr:rowOff>85725</xdr:rowOff>
    </xdr:from>
    <xdr:to>
      <xdr:col>10</xdr:col>
      <xdr:colOff>314578</xdr:colOff>
      <xdr:row>38</xdr:row>
      <xdr:rowOff>38100</xdr:rowOff>
    </xdr:to>
    <xdr:sp macro="" textlink="">
      <xdr:nvSpPr>
        <xdr:cNvPr id="8211" name="Text Box 19">
          <a:extLst>
            <a:ext uri="{FF2B5EF4-FFF2-40B4-BE49-F238E27FC236}">
              <a16:creationId xmlns:a16="http://schemas.microsoft.com/office/drawing/2014/main" id="{51B55B52-188B-4DC9-BFFD-BDE7C247AC2F}"/>
            </a:ext>
          </a:extLst>
        </xdr:cNvPr>
        <xdr:cNvSpPr txBox="1">
          <a:spLocks noChangeArrowheads="1"/>
        </xdr:cNvSpPr>
      </xdr:nvSpPr>
      <xdr:spPr bwMode="auto">
        <a:xfrm>
          <a:off x="5200650" y="93916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8</xdr:col>
      <xdr:colOff>171450</xdr:colOff>
      <xdr:row>38</xdr:row>
      <xdr:rowOff>76200</xdr:rowOff>
    </xdr:from>
    <xdr:to>
      <xdr:col>9</xdr:col>
      <xdr:colOff>1409395</xdr:colOff>
      <xdr:row>39</xdr:row>
      <xdr:rowOff>38100</xdr:rowOff>
    </xdr:to>
    <xdr:sp macro="" textlink="">
      <xdr:nvSpPr>
        <xdr:cNvPr id="8212" name="Text Box 20">
          <a:extLst>
            <a:ext uri="{FF2B5EF4-FFF2-40B4-BE49-F238E27FC236}">
              <a16:creationId xmlns:a16="http://schemas.microsoft.com/office/drawing/2014/main" id="{A3098E43-B7C5-481E-BE1A-2330DAA42808}"/>
            </a:ext>
          </a:extLst>
        </xdr:cNvPr>
        <xdr:cNvSpPr txBox="1">
          <a:spLocks noChangeArrowheads="1"/>
        </xdr:cNvSpPr>
      </xdr:nvSpPr>
      <xdr:spPr bwMode="auto">
        <a:xfrm>
          <a:off x="3467100" y="9629775"/>
          <a:ext cx="1362075"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For Rs.5,000/- excess</a:t>
          </a:r>
        </a:p>
      </xdr:txBody>
    </xdr:sp>
    <xdr:clientData/>
  </xdr:twoCellAnchor>
  <xdr:twoCellAnchor>
    <xdr:from>
      <xdr:col>9</xdr:col>
      <xdr:colOff>1224915</xdr:colOff>
      <xdr:row>38</xdr:row>
      <xdr:rowOff>47625</xdr:rowOff>
    </xdr:from>
    <xdr:to>
      <xdr:col>9</xdr:col>
      <xdr:colOff>1224915</xdr:colOff>
      <xdr:row>39</xdr:row>
      <xdr:rowOff>0</xdr:rowOff>
    </xdr:to>
    <xdr:sp macro="" textlink="">
      <xdr:nvSpPr>
        <xdr:cNvPr id="8213" name="Text Box 21">
          <a:extLst>
            <a:ext uri="{FF2B5EF4-FFF2-40B4-BE49-F238E27FC236}">
              <a16:creationId xmlns:a16="http://schemas.microsoft.com/office/drawing/2014/main" id="{18E8A985-DBC2-4A76-870C-9BE0BBD40080}"/>
            </a:ext>
          </a:extLst>
        </xdr:cNvPr>
        <xdr:cNvSpPr txBox="1">
          <a:spLocks noChangeArrowheads="1"/>
        </xdr:cNvSpPr>
      </xdr:nvSpPr>
      <xdr:spPr bwMode="auto">
        <a:xfrm>
          <a:off x="4648200" y="960120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38</xdr:row>
      <xdr:rowOff>38100</xdr:rowOff>
    </xdr:from>
    <xdr:to>
      <xdr:col>10</xdr:col>
      <xdr:colOff>295275</xdr:colOff>
      <xdr:row>38</xdr:row>
      <xdr:rowOff>238125</xdr:rowOff>
    </xdr:to>
    <xdr:sp macro="" textlink="">
      <xdr:nvSpPr>
        <xdr:cNvPr id="8214" name="Text Box 22">
          <a:extLst>
            <a:ext uri="{FF2B5EF4-FFF2-40B4-BE49-F238E27FC236}">
              <a16:creationId xmlns:a16="http://schemas.microsoft.com/office/drawing/2014/main" id="{4EC774CE-721F-40E1-A8AB-776766734D70}"/>
            </a:ext>
          </a:extLst>
        </xdr:cNvPr>
        <xdr:cNvSpPr txBox="1">
          <a:spLocks noChangeArrowheads="1"/>
        </xdr:cNvSpPr>
      </xdr:nvSpPr>
      <xdr:spPr bwMode="auto">
        <a:xfrm>
          <a:off x="5200650" y="95916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11</xdr:col>
      <xdr:colOff>57785</xdr:colOff>
      <xdr:row>36</xdr:row>
      <xdr:rowOff>104775</xdr:rowOff>
    </xdr:from>
    <xdr:to>
      <xdr:col>14</xdr:col>
      <xdr:colOff>209607</xdr:colOff>
      <xdr:row>37</xdr:row>
      <xdr:rowOff>66675</xdr:rowOff>
    </xdr:to>
    <xdr:sp macro="" textlink="">
      <xdr:nvSpPr>
        <xdr:cNvPr id="8215" name="Text Box 23">
          <a:extLst>
            <a:ext uri="{FF2B5EF4-FFF2-40B4-BE49-F238E27FC236}">
              <a16:creationId xmlns:a16="http://schemas.microsoft.com/office/drawing/2014/main" id="{5CB998B8-EFA6-434A-A6D2-E01FFA6FCAEF}"/>
            </a:ext>
          </a:extLst>
        </xdr:cNvPr>
        <xdr:cNvSpPr txBox="1">
          <a:spLocks noChangeArrowheads="1"/>
        </xdr:cNvSpPr>
      </xdr:nvSpPr>
      <xdr:spPr bwMode="auto">
        <a:xfrm>
          <a:off x="5715000" y="9163050"/>
          <a:ext cx="318135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9</xdr:col>
      <xdr:colOff>19050</xdr:colOff>
      <xdr:row>39</xdr:row>
      <xdr:rowOff>38100</xdr:rowOff>
    </xdr:from>
    <xdr:to>
      <xdr:col>9</xdr:col>
      <xdr:colOff>1445290</xdr:colOff>
      <xdr:row>40</xdr:row>
      <xdr:rowOff>0</xdr:rowOff>
    </xdr:to>
    <xdr:sp macro="" textlink="">
      <xdr:nvSpPr>
        <xdr:cNvPr id="8219" name="Text Box 27">
          <a:extLst>
            <a:ext uri="{FF2B5EF4-FFF2-40B4-BE49-F238E27FC236}">
              <a16:creationId xmlns:a16="http://schemas.microsoft.com/office/drawing/2014/main" id="{67D8A113-78AB-4844-861F-9C2E5D5324F9}"/>
            </a:ext>
          </a:extLst>
        </xdr:cNvPr>
        <xdr:cNvSpPr txBox="1">
          <a:spLocks noChangeArrowheads="1"/>
        </xdr:cNvSpPr>
      </xdr:nvSpPr>
      <xdr:spPr bwMode="auto">
        <a:xfrm>
          <a:off x="3495675" y="9839325"/>
          <a:ext cx="1362075" cy="1714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For Rs.10,000/- excess</a:t>
          </a:r>
        </a:p>
      </xdr:txBody>
    </xdr:sp>
    <xdr:clientData/>
  </xdr:twoCellAnchor>
  <xdr:twoCellAnchor>
    <xdr:from>
      <xdr:col>9</xdr:col>
      <xdr:colOff>1224915</xdr:colOff>
      <xdr:row>39</xdr:row>
      <xdr:rowOff>0</xdr:rowOff>
    </xdr:from>
    <xdr:to>
      <xdr:col>9</xdr:col>
      <xdr:colOff>1224915</xdr:colOff>
      <xdr:row>39</xdr:row>
      <xdr:rowOff>161925</xdr:rowOff>
    </xdr:to>
    <xdr:sp macro="" textlink="">
      <xdr:nvSpPr>
        <xdr:cNvPr id="8220" name="Text Box 28">
          <a:extLst>
            <a:ext uri="{FF2B5EF4-FFF2-40B4-BE49-F238E27FC236}">
              <a16:creationId xmlns:a16="http://schemas.microsoft.com/office/drawing/2014/main" id="{07EF2A5A-1A48-4C5C-8771-2B872D479051}"/>
            </a:ext>
          </a:extLst>
        </xdr:cNvPr>
        <xdr:cNvSpPr txBox="1">
          <a:spLocks noChangeArrowheads="1"/>
        </xdr:cNvSpPr>
      </xdr:nvSpPr>
      <xdr:spPr bwMode="auto">
        <a:xfrm>
          <a:off x="4648200" y="9801225"/>
          <a:ext cx="247650" cy="1619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11</xdr:col>
      <xdr:colOff>57150</xdr:colOff>
      <xdr:row>37</xdr:row>
      <xdr:rowOff>104775</xdr:rowOff>
    </xdr:from>
    <xdr:to>
      <xdr:col>14</xdr:col>
      <xdr:colOff>229265</xdr:colOff>
      <xdr:row>38</xdr:row>
      <xdr:rowOff>66675</xdr:rowOff>
    </xdr:to>
    <xdr:sp macro="" textlink="">
      <xdr:nvSpPr>
        <xdr:cNvPr id="8222" name="Text Box 30">
          <a:extLst>
            <a:ext uri="{FF2B5EF4-FFF2-40B4-BE49-F238E27FC236}">
              <a16:creationId xmlns:a16="http://schemas.microsoft.com/office/drawing/2014/main" id="{56F7F512-1DA8-4C87-9CBA-290302B97052}"/>
            </a:ext>
          </a:extLst>
        </xdr:cNvPr>
        <xdr:cNvSpPr txBox="1">
          <a:spLocks noChangeArrowheads="1"/>
        </xdr:cNvSpPr>
      </xdr:nvSpPr>
      <xdr:spPr bwMode="auto">
        <a:xfrm>
          <a:off x="5724525" y="9410700"/>
          <a:ext cx="318135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3</xdr:col>
      <xdr:colOff>301625</xdr:colOff>
      <xdr:row>28</xdr:row>
      <xdr:rowOff>49530</xdr:rowOff>
    </xdr:from>
    <xdr:to>
      <xdr:col>4</xdr:col>
      <xdr:colOff>28720</xdr:colOff>
      <xdr:row>29</xdr:row>
      <xdr:rowOff>9745</xdr:rowOff>
    </xdr:to>
    <xdr:sp macro="" textlink="">
      <xdr:nvSpPr>
        <xdr:cNvPr id="8228" name="Text Box 36">
          <a:extLst>
            <a:ext uri="{FF2B5EF4-FFF2-40B4-BE49-F238E27FC236}">
              <a16:creationId xmlns:a16="http://schemas.microsoft.com/office/drawing/2014/main" id="{035EA737-5F45-4827-A41E-A999224BFFBD}"/>
            </a:ext>
          </a:extLst>
        </xdr:cNvPr>
        <xdr:cNvSpPr txBox="1">
          <a:spLocks noChangeArrowheads="1"/>
        </xdr:cNvSpPr>
      </xdr:nvSpPr>
      <xdr:spPr bwMode="auto">
        <a:xfrm>
          <a:off x="2286000" y="71342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37</xdr:row>
      <xdr:rowOff>85725</xdr:rowOff>
    </xdr:from>
    <xdr:to>
      <xdr:col>11</xdr:col>
      <xdr:colOff>134303</xdr:colOff>
      <xdr:row>38</xdr:row>
      <xdr:rowOff>38100</xdr:rowOff>
    </xdr:to>
    <xdr:sp macro="" textlink="">
      <xdr:nvSpPr>
        <xdr:cNvPr id="8232" name="Text Box 40">
          <a:extLst>
            <a:ext uri="{FF2B5EF4-FFF2-40B4-BE49-F238E27FC236}">
              <a16:creationId xmlns:a16="http://schemas.microsoft.com/office/drawing/2014/main" id="{A2D399FC-B430-456D-9B1A-9AAA68D7C72F}"/>
            </a:ext>
          </a:extLst>
        </xdr:cNvPr>
        <xdr:cNvSpPr txBox="1">
          <a:spLocks noChangeArrowheads="1"/>
        </xdr:cNvSpPr>
      </xdr:nvSpPr>
      <xdr:spPr bwMode="auto">
        <a:xfrm>
          <a:off x="5619750" y="939165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38</xdr:row>
      <xdr:rowOff>95250</xdr:rowOff>
    </xdr:from>
    <xdr:to>
      <xdr:col>11</xdr:col>
      <xdr:colOff>134303</xdr:colOff>
      <xdr:row>39</xdr:row>
      <xdr:rowOff>47625</xdr:rowOff>
    </xdr:to>
    <xdr:sp macro="" textlink="">
      <xdr:nvSpPr>
        <xdr:cNvPr id="8234" name="Text Box 42">
          <a:extLst>
            <a:ext uri="{FF2B5EF4-FFF2-40B4-BE49-F238E27FC236}">
              <a16:creationId xmlns:a16="http://schemas.microsoft.com/office/drawing/2014/main" id="{CB5C44E9-E215-413A-B036-6EC417FFA529}"/>
            </a:ext>
          </a:extLst>
        </xdr:cNvPr>
        <xdr:cNvSpPr txBox="1">
          <a:spLocks noChangeArrowheads="1"/>
        </xdr:cNvSpPr>
      </xdr:nvSpPr>
      <xdr:spPr bwMode="auto">
        <a:xfrm>
          <a:off x="5619750" y="96488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38</xdr:row>
      <xdr:rowOff>95250</xdr:rowOff>
    </xdr:from>
    <xdr:to>
      <xdr:col>11</xdr:col>
      <xdr:colOff>134303</xdr:colOff>
      <xdr:row>39</xdr:row>
      <xdr:rowOff>47625</xdr:rowOff>
    </xdr:to>
    <xdr:sp macro="" textlink="">
      <xdr:nvSpPr>
        <xdr:cNvPr id="8238" name="Text Box 46">
          <a:extLst>
            <a:ext uri="{FF2B5EF4-FFF2-40B4-BE49-F238E27FC236}">
              <a16:creationId xmlns:a16="http://schemas.microsoft.com/office/drawing/2014/main" id="{63CC2F32-65A0-4C5B-A4E2-AD21FEE8AE46}"/>
            </a:ext>
          </a:extLst>
        </xdr:cNvPr>
        <xdr:cNvSpPr txBox="1">
          <a:spLocks noChangeArrowheads="1"/>
        </xdr:cNvSpPr>
      </xdr:nvSpPr>
      <xdr:spPr bwMode="auto">
        <a:xfrm>
          <a:off x="5619750" y="96488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47625</xdr:colOff>
      <xdr:row>39</xdr:row>
      <xdr:rowOff>9525</xdr:rowOff>
    </xdr:from>
    <xdr:to>
      <xdr:col>10</xdr:col>
      <xdr:colOff>295275</xdr:colOff>
      <xdr:row>39</xdr:row>
      <xdr:rowOff>164090</xdr:rowOff>
    </xdr:to>
    <xdr:sp macro="" textlink="">
      <xdr:nvSpPr>
        <xdr:cNvPr id="8239" name="Text Box 47">
          <a:extLst>
            <a:ext uri="{FF2B5EF4-FFF2-40B4-BE49-F238E27FC236}">
              <a16:creationId xmlns:a16="http://schemas.microsoft.com/office/drawing/2014/main" id="{D4AFBA25-58A0-47EC-B11B-0E184D42547C}"/>
            </a:ext>
          </a:extLst>
        </xdr:cNvPr>
        <xdr:cNvSpPr txBox="1">
          <a:spLocks noChangeArrowheads="1"/>
        </xdr:cNvSpPr>
      </xdr:nvSpPr>
      <xdr:spPr bwMode="auto">
        <a:xfrm>
          <a:off x="5200650" y="9810750"/>
          <a:ext cx="247650" cy="1619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492125</xdr:colOff>
      <xdr:row>39</xdr:row>
      <xdr:rowOff>28575</xdr:rowOff>
    </xdr:from>
    <xdr:to>
      <xdr:col>11</xdr:col>
      <xdr:colOff>134303</xdr:colOff>
      <xdr:row>39</xdr:row>
      <xdr:rowOff>190500</xdr:rowOff>
    </xdr:to>
    <xdr:sp macro="" textlink="">
      <xdr:nvSpPr>
        <xdr:cNvPr id="8240" name="Text Box 48">
          <a:extLst>
            <a:ext uri="{FF2B5EF4-FFF2-40B4-BE49-F238E27FC236}">
              <a16:creationId xmlns:a16="http://schemas.microsoft.com/office/drawing/2014/main" id="{DED69882-2687-47D1-97BE-2D6D0CE6217F}"/>
            </a:ext>
          </a:extLst>
        </xdr:cNvPr>
        <xdr:cNvSpPr txBox="1">
          <a:spLocks noChangeArrowheads="1"/>
        </xdr:cNvSpPr>
      </xdr:nvSpPr>
      <xdr:spPr bwMode="auto">
        <a:xfrm>
          <a:off x="5619750" y="9829800"/>
          <a:ext cx="171450" cy="1619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9</xdr:col>
      <xdr:colOff>890905</xdr:colOff>
      <xdr:row>17</xdr:row>
      <xdr:rowOff>228600</xdr:rowOff>
    </xdr:from>
    <xdr:to>
      <xdr:col>10</xdr:col>
      <xdr:colOff>172017</xdr:colOff>
      <xdr:row>18</xdr:row>
      <xdr:rowOff>142875</xdr:rowOff>
    </xdr:to>
    <xdr:sp macro="" textlink="">
      <xdr:nvSpPr>
        <xdr:cNvPr id="8255" name="Text Box 63">
          <a:extLst>
            <a:ext uri="{FF2B5EF4-FFF2-40B4-BE49-F238E27FC236}">
              <a16:creationId xmlns:a16="http://schemas.microsoft.com/office/drawing/2014/main" id="{DFB49748-4D1A-4CD4-9B0D-C3239E2ED1D7}"/>
            </a:ext>
          </a:extLst>
        </xdr:cNvPr>
        <xdr:cNvSpPr txBox="1">
          <a:spLocks noChangeArrowheads="1"/>
        </xdr:cNvSpPr>
      </xdr:nvSpPr>
      <xdr:spPr bwMode="auto">
        <a:xfrm>
          <a:off x="4343400" y="4438650"/>
          <a:ext cx="971550" cy="161925"/>
        </a:xfrm>
        <a:prstGeom prst="rect">
          <a:avLst/>
        </a:prstGeom>
        <a:noFill/>
        <a:ln w="9525">
          <a:noFill/>
          <a:miter lim="800000"/>
          <a:headEnd/>
          <a:tailEnd/>
        </a:ln>
      </xdr:spPr>
      <xdr:txBody>
        <a:bodyPr vertOverflow="clip" wrap="square" lIns="27432" tIns="32004" rIns="0" bIns="0" anchor="t" upright="1"/>
        <a:lstStyle/>
        <a:p>
          <a:pPr algn="l" rtl="1">
            <a:defRPr sz="1000"/>
          </a:pPr>
          <a:r>
            <a:rPr lang="en-US" sz="800" b="0" i="0" strike="noStrike">
              <a:solidFill>
                <a:srgbClr val="FF0000"/>
              </a:solidFill>
              <a:latin typeface="Bodoni MT"/>
            </a:rPr>
            <a:t>For Private Dual </a:t>
          </a:r>
        </a:p>
      </xdr:txBody>
    </xdr:sp>
    <xdr:clientData/>
  </xdr:twoCellAnchor>
  <xdr:twoCellAnchor>
    <xdr:from>
      <xdr:col>9</xdr:col>
      <xdr:colOff>890905</xdr:colOff>
      <xdr:row>18</xdr:row>
      <xdr:rowOff>104775</xdr:rowOff>
    </xdr:from>
    <xdr:to>
      <xdr:col>10</xdr:col>
      <xdr:colOff>172017</xdr:colOff>
      <xdr:row>20</xdr:row>
      <xdr:rowOff>11465</xdr:rowOff>
    </xdr:to>
    <xdr:sp macro="" textlink="">
      <xdr:nvSpPr>
        <xdr:cNvPr id="8256" name="Text Box 64">
          <a:extLst>
            <a:ext uri="{FF2B5EF4-FFF2-40B4-BE49-F238E27FC236}">
              <a16:creationId xmlns:a16="http://schemas.microsoft.com/office/drawing/2014/main" id="{387ADEA0-112B-4182-BAE6-BE27B66BD25C}"/>
            </a:ext>
          </a:extLst>
        </xdr:cNvPr>
        <xdr:cNvSpPr txBox="1">
          <a:spLocks noChangeArrowheads="1"/>
        </xdr:cNvSpPr>
      </xdr:nvSpPr>
      <xdr:spPr bwMode="auto">
        <a:xfrm>
          <a:off x="4343400" y="4562475"/>
          <a:ext cx="971550" cy="409575"/>
        </a:xfrm>
        <a:prstGeom prst="rect">
          <a:avLst/>
        </a:prstGeom>
        <a:noFill/>
        <a:ln w="9525">
          <a:noFill/>
          <a:miter lim="800000"/>
          <a:headEnd/>
          <a:tailEnd/>
        </a:ln>
      </xdr:spPr>
      <xdr:txBody>
        <a:bodyPr vertOverflow="clip" wrap="square" lIns="27432" tIns="32004" rIns="0" bIns="0" anchor="t" upright="1"/>
        <a:lstStyle/>
        <a:p>
          <a:pPr algn="l" rtl="1">
            <a:defRPr sz="1000"/>
          </a:pPr>
          <a:r>
            <a:rPr lang="en-US" sz="800" b="0" i="0" strike="noStrike">
              <a:solidFill>
                <a:srgbClr val="FF0000"/>
              </a:solidFill>
              <a:latin typeface="Bodoni MT"/>
            </a:rPr>
            <a:t>Purpose Vehicles</a:t>
          </a:r>
        </a:p>
      </xdr:txBody>
    </xdr:sp>
    <xdr:clientData/>
  </xdr:twoCellAnchor>
  <xdr:twoCellAnchor>
    <xdr:from>
      <xdr:col>9</xdr:col>
      <xdr:colOff>908050</xdr:colOff>
      <xdr:row>18</xdr:row>
      <xdr:rowOff>6350</xdr:rowOff>
    </xdr:from>
    <xdr:to>
      <xdr:col>9</xdr:col>
      <xdr:colOff>984250</xdr:colOff>
      <xdr:row>19</xdr:row>
      <xdr:rowOff>0</xdr:rowOff>
    </xdr:to>
    <xdr:sp macro="" textlink="">
      <xdr:nvSpPr>
        <xdr:cNvPr id="154206" name="AutoShape 66">
          <a:extLst>
            <a:ext uri="{FF2B5EF4-FFF2-40B4-BE49-F238E27FC236}">
              <a16:creationId xmlns:a16="http://schemas.microsoft.com/office/drawing/2014/main" id="{FA19CC9E-4277-4715-A251-1C8452F9D96F}"/>
            </a:ext>
          </a:extLst>
        </xdr:cNvPr>
        <xdr:cNvSpPr>
          <a:spLocks/>
        </xdr:cNvSpPr>
      </xdr:nvSpPr>
      <xdr:spPr bwMode="auto">
        <a:xfrm>
          <a:off x="5302250" y="4578350"/>
          <a:ext cx="76200" cy="247650"/>
        </a:xfrm>
        <a:prstGeom prst="leftBracket">
          <a:avLst>
            <a:gd name="adj" fmla="val 27083"/>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1714500</xdr:colOff>
      <xdr:row>18</xdr:row>
      <xdr:rowOff>6350</xdr:rowOff>
    </xdr:from>
    <xdr:to>
      <xdr:col>9</xdr:col>
      <xdr:colOff>1746250</xdr:colOff>
      <xdr:row>19</xdr:row>
      <xdr:rowOff>0</xdr:rowOff>
    </xdr:to>
    <xdr:sp macro="" textlink="">
      <xdr:nvSpPr>
        <xdr:cNvPr id="154207" name="AutoShape 67">
          <a:extLst>
            <a:ext uri="{FF2B5EF4-FFF2-40B4-BE49-F238E27FC236}">
              <a16:creationId xmlns:a16="http://schemas.microsoft.com/office/drawing/2014/main" id="{785CB0AB-E1CA-4F39-86FF-FF896BEE9368}"/>
            </a:ext>
          </a:extLst>
        </xdr:cNvPr>
        <xdr:cNvSpPr>
          <a:spLocks/>
        </xdr:cNvSpPr>
      </xdr:nvSpPr>
      <xdr:spPr bwMode="auto">
        <a:xfrm>
          <a:off x="6108700" y="4578350"/>
          <a:ext cx="31750" cy="247650"/>
        </a:xfrm>
        <a:prstGeom prst="rightBracket">
          <a:avLst>
            <a:gd name="adj" fmla="val 65000"/>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16</xdr:col>
      <xdr:colOff>463550</xdr:colOff>
      <xdr:row>3</xdr:row>
      <xdr:rowOff>66675</xdr:rowOff>
    </xdr:from>
    <xdr:to>
      <xdr:col>17</xdr:col>
      <xdr:colOff>21067</xdr:colOff>
      <xdr:row>4</xdr:row>
      <xdr:rowOff>11501</xdr:rowOff>
    </xdr:to>
    <xdr:sp macro="" textlink="">
      <xdr:nvSpPr>
        <xdr:cNvPr id="8270" name="Text Box 78">
          <a:extLst>
            <a:ext uri="{FF2B5EF4-FFF2-40B4-BE49-F238E27FC236}">
              <a16:creationId xmlns:a16="http://schemas.microsoft.com/office/drawing/2014/main" id="{FE574C76-52BF-4AD6-8832-63C4A99DDF72}"/>
            </a:ext>
          </a:extLst>
        </xdr:cNvPr>
        <xdr:cNvSpPr txBox="1">
          <a:spLocks noChangeArrowheads="1"/>
        </xdr:cNvSpPr>
      </xdr:nvSpPr>
      <xdr:spPr bwMode="auto">
        <a:xfrm>
          <a:off x="10058400" y="8096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463550</xdr:colOff>
      <xdr:row>4</xdr:row>
      <xdr:rowOff>9525</xdr:rowOff>
    </xdr:from>
    <xdr:to>
      <xdr:col>17</xdr:col>
      <xdr:colOff>21067</xdr:colOff>
      <xdr:row>4</xdr:row>
      <xdr:rowOff>209550</xdr:rowOff>
    </xdr:to>
    <xdr:sp macro="" textlink="">
      <xdr:nvSpPr>
        <xdr:cNvPr id="8271" name="Text Box 79">
          <a:extLst>
            <a:ext uri="{FF2B5EF4-FFF2-40B4-BE49-F238E27FC236}">
              <a16:creationId xmlns:a16="http://schemas.microsoft.com/office/drawing/2014/main" id="{D8AFBDB8-EB9B-41BD-BAD3-1C818CE80F2C}"/>
            </a:ext>
          </a:extLst>
        </xdr:cNvPr>
        <xdr:cNvSpPr txBox="1">
          <a:spLocks noChangeArrowheads="1"/>
        </xdr:cNvSpPr>
      </xdr:nvSpPr>
      <xdr:spPr bwMode="auto">
        <a:xfrm>
          <a:off x="10058400" y="10001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463550</xdr:colOff>
      <xdr:row>8</xdr:row>
      <xdr:rowOff>47625</xdr:rowOff>
    </xdr:from>
    <xdr:to>
      <xdr:col>17</xdr:col>
      <xdr:colOff>21067</xdr:colOff>
      <xdr:row>9</xdr:row>
      <xdr:rowOff>0</xdr:rowOff>
    </xdr:to>
    <xdr:sp macro="" textlink="">
      <xdr:nvSpPr>
        <xdr:cNvPr id="8272" name="Text Box 80">
          <a:extLst>
            <a:ext uri="{FF2B5EF4-FFF2-40B4-BE49-F238E27FC236}">
              <a16:creationId xmlns:a16="http://schemas.microsoft.com/office/drawing/2014/main" id="{6D1A0AAF-3532-4A7E-A999-760CBAD0212D}"/>
            </a:ext>
          </a:extLst>
        </xdr:cNvPr>
        <xdr:cNvSpPr txBox="1">
          <a:spLocks noChangeArrowheads="1"/>
        </xdr:cNvSpPr>
      </xdr:nvSpPr>
      <xdr:spPr bwMode="auto">
        <a:xfrm>
          <a:off x="10058400" y="20288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3</xdr:row>
      <xdr:rowOff>49530</xdr:rowOff>
    </xdr:from>
    <xdr:to>
      <xdr:col>18</xdr:col>
      <xdr:colOff>8702</xdr:colOff>
      <xdr:row>4</xdr:row>
      <xdr:rowOff>9745</xdr:rowOff>
    </xdr:to>
    <xdr:sp macro="" textlink="">
      <xdr:nvSpPr>
        <xdr:cNvPr id="8273" name="Text Box 81">
          <a:extLst>
            <a:ext uri="{FF2B5EF4-FFF2-40B4-BE49-F238E27FC236}">
              <a16:creationId xmlns:a16="http://schemas.microsoft.com/office/drawing/2014/main" id="{069CF5DA-A4EC-4E4B-A8D1-00ADC23E38C0}"/>
            </a:ext>
          </a:extLst>
        </xdr:cNvPr>
        <xdr:cNvSpPr txBox="1">
          <a:spLocks noChangeArrowheads="1"/>
        </xdr:cNvSpPr>
      </xdr:nvSpPr>
      <xdr:spPr bwMode="auto">
        <a:xfrm>
          <a:off x="10791825" y="80010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600710</xdr:colOff>
      <xdr:row>4</xdr:row>
      <xdr:rowOff>28575</xdr:rowOff>
    </xdr:from>
    <xdr:to>
      <xdr:col>18</xdr:col>
      <xdr:colOff>18342</xdr:colOff>
      <xdr:row>4</xdr:row>
      <xdr:rowOff>228600</xdr:rowOff>
    </xdr:to>
    <xdr:sp macro="" textlink="">
      <xdr:nvSpPr>
        <xdr:cNvPr id="8274" name="Text Box 82">
          <a:extLst>
            <a:ext uri="{FF2B5EF4-FFF2-40B4-BE49-F238E27FC236}">
              <a16:creationId xmlns:a16="http://schemas.microsoft.com/office/drawing/2014/main" id="{3AEEA87B-03CF-4F6B-812B-F21CD5DC295A}"/>
            </a:ext>
          </a:extLst>
        </xdr:cNvPr>
        <xdr:cNvSpPr txBox="1">
          <a:spLocks noChangeArrowheads="1"/>
        </xdr:cNvSpPr>
      </xdr:nvSpPr>
      <xdr:spPr bwMode="auto">
        <a:xfrm>
          <a:off x="10801350" y="101917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8</xdr:row>
      <xdr:rowOff>49530</xdr:rowOff>
    </xdr:from>
    <xdr:to>
      <xdr:col>18</xdr:col>
      <xdr:colOff>28505</xdr:colOff>
      <xdr:row>9</xdr:row>
      <xdr:rowOff>9745</xdr:rowOff>
    </xdr:to>
    <xdr:sp macro="" textlink="">
      <xdr:nvSpPr>
        <xdr:cNvPr id="8277" name="Text Box 85">
          <a:extLst>
            <a:ext uri="{FF2B5EF4-FFF2-40B4-BE49-F238E27FC236}">
              <a16:creationId xmlns:a16="http://schemas.microsoft.com/office/drawing/2014/main" id="{46C01E10-75EB-4DE6-9979-827B70F6E5D1}"/>
            </a:ext>
          </a:extLst>
        </xdr:cNvPr>
        <xdr:cNvSpPr txBox="1">
          <a:spLocks noChangeArrowheads="1"/>
        </xdr:cNvSpPr>
      </xdr:nvSpPr>
      <xdr:spPr bwMode="auto">
        <a:xfrm>
          <a:off x="10810875" y="203835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492125</xdr:colOff>
      <xdr:row>6</xdr:row>
      <xdr:rowOff>49530</xdr:rowOff>
    </xdr:from>
    <xdr:to>
      <xdr:col>17</xdr:col>
      <xdr:colOff>28720</xdr:colOff>
      <xdr:row>7</xdr:row>
      <xdr:rowOff>9745</xdr:rowOff>
    </xdr:to>
    <xdr:sp macro="" textlink="">
      <xdr:nvSpPr>
        <xdr:cNvPr id="8278" name="Text Box 86">
          <a:extLst>
            <a:ext uri="{FF2B5EF4-FFF2-40B4-BE49-F238E27FC236}">
              <a16:creationId xmlns:a16="http://schemas.microsoft.com/office/drawing/2014/main" id="{31D2B5C7-99F3-479B-90C0-39BDED968800}"/>
            </a:ext>
          </a:extLst>
        </xdr:cNvPr>
        <xdr:cNvSpPr txBox="1">
          <a:spLocks noChangeArrowheads="1"/>
        </xdr:cNvSpPr>
      </xdr:nvSpPr>
      <xdr:spPr bwMode="auto">
        <a:xfrm>
          <a:off x="10067925" y="154305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7</xdr:row>
      <xdr:rowOff>49530</xdr:rowOff>
    </xdr:from>
    <xdr:to>
      <xdr:col>18</xdr:col>
      <xdr:colOff>28505</xdr:colOff>
      <xdr:row>8</xdr:row>
      <xdr:rowOff>9745</xdr:rowOff>
    </xdr:to>
    <xdr:sp macro="" textlink="">
      <xdr:nvSpPr>
        <xdr:cNvPr id="8279" name="Text Box 87">
          <a:extLst>
            <a:ext uri="{FF2B5EF4-FFF2-40B4-BE49-F238E27FC236}">
              <a16:creationId xmlns:a16="http://schemas.microsoft.com/office/drawing/2014/main" id="{BEE94F3C-0217-499F-8E8E-0018921567C9}"/>
            </a:ext>
          </a:extLst>
        </xdr:cNvPr>
        <xdr:cNvSpPr txBox="1">
          <a:spLocks noChangeArrowheads="1"/>
        </xdr:cNvSpPr>
      </xdr:nvSpPr>
      <xdr:spPr bwMode="auto">
        <a:xfrm>
          <a:off x="10810875" y="179070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492125</xdr:colOff>
      <xdr:row>7</xdr:row>
      <xdr:rowOff>47625</xdr:rowOff>
    </xdr:from>
    <xdr:to>
      <xdr:col>17</xdr:col>
      <xdr:colOff>28720</xdr:colOff>
      <xdr:row>8</xdr:row>
      <xdr:rowOff>0</xdr:rowOff>
    </xdr:to>
    <xdr:sp macro="" textlink="">
      <xdr:nvSpPr>
        <xdr:cNvPr id="8280" name="Text Box 88">
          <a:extLst>
            <a:ext uri="{FF2B5EF4-FFF2-40B4-BE49-F238E27FC236}">
              <a16:creationId xmlns:a16="http://schemas.microsoft.com/office/drawing/2014/main" id="{3A069286-89F6-4CCB-8DDE-5B3404898361}"/>
            </a:ext>
          </a:extLst>
        </xdr:cNvPr>
        <xdr:cNvSpPr txBox="1">
          <a:spLocks noChangeArrowheads="1"/>
        </xdr:cNvSpPr>
      </xdr:nvSpPr>
      <xdr:spPr bwMode="auto">
        <a:xfrm>
          <a:off x="10067925" y="178117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528320</xdr:colOff>
      <xdr:row>67</xdr:row>
      <xdr:rowOff>85725</xdr:rowOff>
    </xdr:from>
    <xdr:to>
      <xdr:col>11</xdr:col>
      <xdr:colOff>172247</xdr:colOff>
      <xdr:row>68</xdr:row>
      <xdr:rowOff>0</xdr:rowOff>
    </xdr:to>
    <xdr:sp macro="" textlink="">
      <xdr:nvSpPr>
        <xdr:cNvPr id="8342" name="Text Box 150">
          <a:extLst>
            <a:ext uri="{FF2B5EF4-FFF2-40B4-BE49-F238E27FC236}">
              <a16:creationId xmlns:a16="http://schemas.microsoft.com/office/drawing/2014/main" id="{3DC282FF-B912-4A07-AAB9-A50984B006C1}"/>
            </a:ext>
          </a:extLst>
        </xdr:cNvPr>
        <xdr:cNvSpPr txBox="1">
          <a:spLocks noChangeArrowheads="1"/>
        </xdr:cNvSpPr>
      </xdr:nvSpPr>
      <xdr:spPr bwMode="auto">
        <a:xfrm>
          <a:off x="5657850" y="16287750"/>
          <a:ext cx="171450" cy="161925"/>
        </a:xfrm>
        <a:prstGeom prst="rect">
          <a:avLst/>
        </a:prstGeom>
        <a:noFill/>
        <a:ln w="9525">
          <a:no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a:t>
          </a:r>
        </a:p>
      </xdr:txBody>
    </xdr:sp>
    <xdr:clientData/>
  </xdr:twoCellAnchor>
  <xdr:twoCellAnchor>
    <xdr:from>
      <xdr:col>9</xdr:col>
      <xdr:colOff>1224915</xdr:colOff>
      <xdr:row>75</xdr:row>
      <xdr:rowOff>85725</xdr:rowOff>
    </xdr:from>
    <xdr:to>
      <xdr:col>9</xdr:col>
      <xdr:colOff>1224915</xdr:colOff>
      <xdr:row>76</xdr:row>
      <xdr:rowOff>38100</xdr:rowOff>
    </xdr:to>
    <xdr:sp macro="" textlink="">
      <xdr:nvSpPr>
        <xdr:cNvPr id="8350" name="Text Box 158">
          <a:extLst>
            <a:ext uri="{FF2B5EF4-FFF2-40B4-BE49-F238E27FC236}">
              <a16:creationId xmlns:a16="http://schemas.microsoft.com/office/drawing/2014/main" id="{F7000846-25A1-4CAE-A1FF-271EBF0688D0}"/>
            </a:ext>
          </a:extLst>
        </xdr:cNvPr>
        <xdr:cNvSpPr txBox="1">
          <a:spLocks noChangeArrowheads="1"/>
        </xdr:cNvSpPr>
      </xdr:nvSpPr>
      <xdr:spPr bwMode="auto">
        <a:xfrm>
          <a:off x="464820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8351" name="Text Box 159">
          <a:extLst>
            <a:ext uri="{FF2B5EF4-FFF2-40B4-BE49-F238E27FC236}">
              <a16:creationId xmlns:a16="http://schemas.microsoft.com/office/drawing/2014/main" id="{ED84BB96-C32A-4C9A-8C14-B58631063194}"/>
            </a:ext>
          </a:extLst>
        </xdr:cNvPr>
        <xdr:cNvSpPr txBox="1">
          <a:spLocks noChangeArrowheads="1"/>
        </xdr:cNvSpPr>
      </xdr:nvSpPr>
      <xdr:spPr bwMode="auto">
        <a:xfrm>
          <a:off x="520065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8352" name="Text Box 160">
          <a:extLst>
            <a:ext uri="{FF2B5EF4-FFF2-40B4-BE49-F238E27FC236}">
              <a16:creationId xmlns:a16="http://schemas.microsoft.com/office/drawing/2014/main" id="{509E7A0A-26D5-417D-8806-1567DA1CF278}"/>
            </a:ext>
          </a:extLst>
        </xdr:cNvPr>
        <xdr:cNvSpPr txBox="1">
          <a:spLocks noChangeArrowheads="1"/>
        </xdr:cNvSpPr>
      </xdr:nvSpPr>
      <xdr:spPr bwMode="auto">
        <a:xfrm>
          <a:off x="520065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8353" name="Text Box 161">
          <a:extLst>
            <a:ext uri="{FF2B5EF4-FFF2-40B4-BE49-F238E27FC236}">
              <a16:creationId xmlns:a16="http://schemas.microsoft.com/office/drawing/2014/main" id="{78353C1C-B1CB-4D2F-BF60-F63713A15CC7}"/>
            </a:ext>
          </a:extLst>
        </xdr:cNvPr>
        <xdr:cNvSpPr txBox="1">
          <a:spLocks noChangeArrowheads="1"/>
        </xdr:cNvSpPr>
      </xdr:nvSpPr>
      <xdr:spPr bwMode="auto">
        <a:xfrm>
          <a:off x="520065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8354" name="Text Box 162">
          <a:extLst>
            <a:ext uri="{FF2B5EF4-FFF2-40B4-BE49-F238E27FC236}">
              <a16:creationId xmlns:a16="http://schemas.microsoft.com/office/drawing/2014/main" id="{773D8033-B2A7-4CD5-87B0-3941BAF3A243}"/>
            </a:ext>
          </a:extLst>
        </xdr:cNvPr>
        <xdr:cNvSpPr txBox="1">
          <a:spLocks noChangeArrowheads="1"/>
        </xdr:cNvSpPr>
      </xdr:nvSpPr>
      <xdr:spPr bwMode="auto">
        <a:xfrm>
          <a:off x="520065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6</xdr:col>
      <xdr:colOff>286385</xdr:colOff>
      <xdr:row>26</xdr:row>
      <xdr:rowOff>49530</xdr:rowOff>
    </xdr:from>
    <xdr:to>
      <xdr:col>7</xdr:col>
      <xdr:colOff>29104</xdr:colOff>
      <xdr:row>27</xdr:row>
      <xdr:rowOff>9745</xdr:rowOff>
    </xdr:to>
    <xdr:sp macro="" textlink="">
      <xdr:nvSpPr>
        <xdr:cNvPr id="2" name="Text Box 36">
          <a:extLst>
            <a:ext uri="{FF2B5EF4-FFF2-40B4-BE49-F238E27FC236}">
              <a16:creationId xmlns:a16="http://schemas.microsoft.com/office/drawing/2014/main" id="{DA2362A4-BB67-4B85-8894-4B87FDD9BF3B}"/>
            </a:ext>
          </a:extLst>
        </xdr:cNvPr>
        <xdr:cNvSpPr txBox="1">
          <a:spLocks noChangeArrowheads="1"/>
        </xdr:cNvSpPr>
      </xdr:nvSpPr>
      <xdr:spPr bwMode="auto">
        <a:xfrm>
          <a:off x="2286000" y="71342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13</xdr:col>
      <xdr:colOff>0</xdr:colOff>
      <xdr:row>54</xdr:row>
      <xdr:rowOff>141605</xdr:rowOff>
    </xdr:from>
    <xdr:to>
      <xdr:col>19</xdr:col>
      <xdr:colOff>47625</xdr:colOff>
      <xdr:row>55</xdr:row>
      <xdr:rowOff>109903</xdr:rowOff>
    </xdr:to>
    <xdr:sp macro="" textlink="">
      <xdr:nvSpPr>
        <xdr:cNvPr id="11265" name="Text Box 1">
          <a:extLst>
            <a:ext uri="{FF2B5EF4-FFF2-40B4-BE49-F238E27FC236}">
              <a16:creationId xmlns:a16="http://schemas.microsoft.com/office/drawing/2014/main" id="{20C47535-B437-4F18-92E4-42E91ACDDAD2}"/>
            </a:ext>
          </a:extLst>
        </xdr:cNvPr>
        <xdr:cNvSpPr txBox="1">
          <a:spLocks noChangeArrowheads="1"/>
        </xdr:cNvSpPr>
      </xdr:nvSpPr>
      <xdr:spPr bwMode="auto">
        <a:xfrm>
          <a:off x="5334000" y="11181080"/>
          <a:ext cx="3771900" cy="285729"/>
        </a:xfrm>
        <a:prstGeom prst="rect">
          <a:avLst/>
        </a:prstGeom>
        <a:noFill/>
        <a:ln w="9525">
          <a:noFill/>
          <a:miter lim="800000"/>
          <a:headEnd/>
          <a:tailEnd/>
        </a:ln>
      </xdr:spPr>
      <xdr:txBody>
        <a:bodyPr vertOverflow="clip" wrap="square" lIns="36576" tIns="22860" rIns="0" bIns="0" anchor="t" upright="1"/>
        <a:lstStyle/>
        <a:p>
          <a:pPr algn="l" rtl="1">
            <a:defRPr sz="1000"/>
          </a:pPr>
          <a:r>
            <a:rPr lang="en-US" sz="1200" b="1" i="0" strike="noStrike">
              <a:solidFill>
                <a:srgbClr val="000000"/>
              </a:solidFill>
              <a:latin typeface="Tahoma"/>
              <a:cs typeface="Tahoma"/>
            </a:rPr>
            <a:t>Signature :- ……………………………</a:t>
          </a:r>
        </a:p>
      </xdr:txBody>
    </xdr:sp>
    <xdr:clientData/>
  </xdr:twoCellAnchor>
  <xdr:twoCellAnchor>
    <xdr:from>
      <xdr:col>14</xdr:col>
      <xdr:colOff>381635</xdr:colOff>
      <xdr:row>7</xdr:row>
      <xdr:rowOff>57150</xdr:rowOff>
    </xdr:from>
    <xdr:to>
      <xdr:col>14</xdr:col>
      <xdr:colOff>495935</xdr:colOff>
      <xdr:row>8</xdr:row>
      <xdr:rowOff>125</xdr:rowOff>
    </xdr:to>
    <xdr:sp macro="" textlink="">
      <xdr:nvSpPr>
        <xdr:cNvPr id="11291" name="Text Box 27">
          <a:extLst>
            <a:ext uri="{FF2B5EF4-FFF2-40B4-BE49-F238E27FC236}">
              <a16:creationId xmlns:a16="http://schemas.microsoft.com/office/drawing/2014/main" id="{20CDD394-B2A1-467C-904B-599B9994C3E1}"/>
            </a:ext>
          </a:extLst>
        </xdr:cNvPr>
        <xdr:cNvSpPr txBox="1">
          <a:spLocks noChangeArrowheads="1"/>
        </xdr:cNvSpPr>
      </xdr:nvSpPr>
      <xdr:spPr bwMode="auto">
        <a:xfrm>
          <a:off x="5762625" y="1924050"/>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381635</xdr:colOff>
      <xdr:row>12</xdr:row>
      <xdr:rowOff>38100</xdr:rowOff>
    </xdr:from>
    <xdr:to>
      <xdr:col>15</xdr:col>
      <xdr:colOff>38515</xdr:colOff>
      <xdr:row>13</xdr:row>
      <xdr:rowOff>33050</xdr:rowOff>
    </xdr:to>
    <xdr:sp macro="" textlink="">
      <xdr:nvSpPr>
        <xdr:cNvPr id="11292" name="Text Box 28">
          <a:extLst>
            <a:ext uri="{FF2B5EF4-FFF2-40B4-BE49-F238E27FC236}">
              <a16:creationId xmlns:a16="http://schemas.microsoft.com/office/drawing/2014/main" id="{71A0F29F-8D58-4BD3-AFBB-C3AA79567F0E}"/>
            </a:ext>
          </a:extLst>
        </xdr:cNvPr>
        <xdr:cNvSpPr txBox="1">
          <a:spLocks noChangeArrowheads="1"/>
        </xdr:cNvSpPr>
      </xdr:nvSpPr>
      <xdr:spPr bwMode="auto">
        <a:xfrm>
          <a:off x="5762625" y="2828925"/>
          <a:ext cx="247650" cy="2095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381635</xdr:colOff>
      <xdr:row>10</xdr:row>
      <xdr:rowOff>66675</xdr:rowOff>
    </xdr:from>
    <xdr:to>
      <xdr:col>14</xdr:col>
      <xdr:colOff>505460</xdr:colOff>
      <xdr:row>11</xdr:row>
      <xdr:rowOff>57490</xdr:rowOff>
    </xdr:to>
    <xdr:sp macro="" textlink="">
      <xdr:nvSpPr>
        <xdr:cNvPr id="11293" name="Text Box 29">
          <a:extLst>
            <a:ext uri="{FF2B5EF4-FFF2-40B4-BE49-F238E27FC236}">
              <a16:creationId xmlns:a16="http://schemas.microsoft.com/office/drawing/2014/main" id="{003D5531-6853-4BC2-A15D-6282E48D0C5C}"/>
            </a:ext>
          </a:extLst>
        </xdr:cNvPr>
        <xdr:cNvSpPr txBox="1">
          <a:spLocks noChangeArrowheads="1"/>
        </xdr:cNvSpPr>
      </xdr:nvSpPr>
      <xdr:spPr bwMode="auto">
        <a:xfrm>
          <a:off x="5762625" y="2400300"/>
          <a:ext cx="123825" cy="2095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381635</xdr:colOff>
      <xdr:row>11</xdr:row>
      <xdr:rowOff>57150</xdr:rowOff>
    </xdr:from>
    <xdr:to>
      <xdr:col>14</xdr:col>
      <xdr:colOff>492958</xdr:colOff>
      <xdr:row>12</xdr:row>
      <xdr:rowOff>125</xdr:rowOff>
    </xdr:to>
    <xdr:sp macro="" textlink="">
      <xdr:nvSpPr>
        <xdr:cNvPr id="11294" name="Text Box 30">
          <a:extLst>
            <a:ext uri="{FF2B5EF4-FFF2-40B4-BE49-F238E27FC236}">
              <a16:creationId xmlns:a16="http://schemas.microsoft.com/office/drawing/2014/main" id="{458DB002-0968-45B3-B147-DCE4E18AFCBA}"/>
            </a:ext>
          </a:extLst>
        </xdr:cNvPr>
        <xdr:cNvSpPr txBox="1">
          <a:spLocks noChangeArrowheads="1"/>
        </xdr:cNvSpPr>
      </xdr:nvSpPr>
      <xdr:spPr bwMode="auto">
        <a:xfrm>
          <a:off x="5753100" y="2609850"/>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editAs="oneCell">
    <xdr:from>
      <xdr:col>0</xdr:col>
      <xdr:colOff>2743200</xdr:colOff>
      <xdr:row>6</xdr:row>
      <xdr:rowOff>0</xdr:rowOff>
    </xdr:from>
    <xdr:to>
      <xdr:col>20</xdr:col>
      <xdr:colOff>0</xdr:colOff>
      <xdr:row>6</xdr:row>
      <xdr:rowOff>196850</xdr:rowOff>
    </xdr:to>
    <xdr:sp macro="" textlink="">
      <xdr:nvSpPr>
        <xdr:cNvPr id="155091" name="Text Box 35">
          <a:extLst>
            <a:ext uri="{FF2B5EF4-FFF2-40B4-BE49-F238E27FC236}">
              <a16:creationId xmlns:a16="http://schemas.microsoft.com/office/drawing/2014/main" id="{C2286656-2CAA-463A-A459-0F34B43B67EF}"/>
            </a:ext>
          </a:extLst>
        </xdr:cNvPr>
        <xdr:cNvSpPr txBox="1">
          <a:spLocks noChangeArrowheads="1"/>
        </xdr:cNvSpPr>
      </xdr:nvSpPr>
      <xdr:spPr bwMode="auto">
        <a:xfrm>
          <a:off x="9836150" y="1644650"/>
          <a:ext cx="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xdr:col>
      <xdr:colOff>135890</xdr:colOff>
      <xdr:row>7</xdr:row>
      <xdr:rowOff>171450</xdr:rowOff>
    </xdr:from>
    <xdr:to>
      <xdr:col>5</xdr:col>
      <xdr:colOff>250190</xdr:colOff>
      <xdr:row>8</xdr:row>
      <xdr:rowOff>3573</xdr:rowOff>
    </xdr:to>
    <xdr:sp macro="" textlink="">
      <xdr:nvSpPr>
        <xdr:cNvPr id="11312" name="Text Box 48">
          <a:extLst>
            <a:ext uri="{FF2B5EF4-FFF2-40B4-BE49-F238E27FC236}">
              <a16:creationId xmlns:a16="http://schemas.microsoft.com/office/drawing/2014/main" id="{2DB09DEC-82E0-4092-B2A8-649D46EAEF76}"/>
            </a:ext>
          </a:extLst>
        </xdr:cNvPr>
        <xdr:cNvSpPr txBox="1">
          <a:spLocks noChangeArrowheads="1"/>
        </xdr:cNvSpPr>
      </xdr:nvSpPr>
      <xdr:spPr bwMode="auto">
        <a:xfrm>
          <a:off x="1714500" y="2038350"/>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7</xdr:row>
      <xdr:rowOff>171450</xdr:rowOff>
    </xdr:from>
    <xdr:to>
      <xdr:col>5</xdr:col>
      <xdr:colOff>250190</xdr:colOff>
      <xdr:row>8</xdr:row>
      <xdr:rowOff>3573</xdr:rowOff>
    </xdr:to>
    <xdr:sp macro="" textlink="">
      <xdr:nvSpPr>
        <xdr:cNvPr id="11313" name="Text Box 49">
          <a:extLst>
            <a:ext uri="{FF2B5EF4-FFF2-40B4-BE49-F238E27FC236}">
              <a16:creationId xmlns:a16="http://schemas.microsoft.com/office/drawing/2014/main" id="{843AC47A-6A87-4717-AED4-4CB613D21FEA}"/>
            </a:ext>
          </a:extLst>
        </xdr:cNvPr>
        <xdr:cNvSpPr txBox="1">
          <a:spLocks noChangeArrowheads="1"/>
        </xdr:cNvSpPr>
      </xdr:nvSpPr>
      <xdr:spPr bwMode="auto">
        <a:xfrm>
          <a:off x="1714500" y="2038350"/>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20</xdr:col>
      <xdr:colOff>0</xdr:colOff>
      <xdr:row>8</xdr:row>
      <xdr:rowOff>123614</xdr:rowOff>
    </xdr:from>
    <xdr:to>
      <xdr:col>20</xdr:col>
      <xdr:colOff>0</xdr:colOff>
      <xdr:row>16</xdr:row>
      <xdr:rowOff>106918</xdr:rowOff>
    </xdr:to>
    <xdr:sp macro="" textlink="">
      <xdr:nvSpPr>
        <xdr:cNvPr id="11335" name="AutoShape 71">
          <a:hlinkClick xmlns:r="http://schemas.openxmlformats.org/officeDocument/2006/relationships" r:id="rId1"/>
          <a:extLst>
            <a:ext uri="{FF2B5EF4-FFF2-40B4-BE49-F238E27FC236}">
              <a16:creationId xmlns:a16="http://schemas.microsoft.com/office/drawing/2014/main" id="{83A83AFE-630D-44F4-89EC-2EFC491143E6}"/>
            </a:ext>
          </a:extLst>
        </xdr:cNvPr>
        <xdr:cNvSpPr>
          <a:spLocks noChangeArrowheads="1"/>
        </xdr:cNvSpPr>
      </xdr:nvSpPr>
      <xdr:spPr bwMode="auto">
        <a:xfrm>
          <a:off x="10874375" y="2237317"/>
          <a:ext cx="2216150" cy="1292225"/>
        </a:xfrm>
        <a:prstGeom prst="leftArrow">
          <a:avLst>
            <a:gd name="adj1" fmla="val 50000"/>
            <a:gd name="adj2" fmla="val 52982"/>
          </a:avLst>
        </a:prstGeom>
        <a:solidFill>
          <a:srgbClr val="00FF00"/>
        </a:solidFill>
        <a:ln w="19050">
          <a:solidFill>
            <a:srgbClr val="000000"/>
          </a:solidFill>
          <a:miter lim="800000"/>
          <a:headEnd/>
          <a:tailEnd/>
        </a:ln>
      </xdr:spPr>
      <xdr:txBody>
        <a:bodyPr vertOverflow="clip" wrap="square" lIns="36576" tIns="27432" rIns="36576" bIns="0" anchor="t" upright="1"/>
        <a:lstStyle/>
        <a:p>
          <a:pPr algn="ctr" rtl="1">
            <a:defRPr sz="1000"/>
          </a:pPr>
          <a:r>
            <a:rPr lang="en-US" sz="1400" b="1" i="0" strike="noStrike">
              <a:solidFill>
                <a:srgbClr val="003300"/>
              </a:solidFill>
              <a:latin typeface="Tahoma"/>
              <a:cs typeface="Tahoma"/>
            </a:rPr>
            <a:t>Back to                          Data Entry Sheet</a:t>
          </a:r>
        </a:p>
      </xdr:txBody>
    </xdr:sp>
    <xdr:clientData/>
  </xdr:twoCellAnchor>
  <xdr:twoCellAnchor>
    <xdr:from>
      <xdr:col>17</xdr:col>
      <xdr:colOff>0</xdr:colOff>
      <xdr:row>32</xdr:row>
      <xdr:rowOff>30693</xdr:rowOff>
    </xdr:from>
    <xdr:to>
      <xdr:col>17</xdr:col>
      <xdr:colOff>277053</xdr:colOff>
      <xdr:row>32</xdr:row>
      <xdr:rowOff>219075</xdr:rowOff>
    </xdr:to>
    <xdr:sp macro="" textlink="">
      <xdr:nvSpPr>
        <xdr:cNvPr id="11346" name="Text Box 82">
          <a:extLst>
            <a:ext uri="{FF2B5EF4-FFF2-40B4-BE49-F238E27FC236}">
              <a16:creationId xmlns:a16="http://schemas.microsoft.com/office/drawing/2014/main" id="{469A15B7-A7BF-4CE4-8CE8-83B7666BDA33}"/>
            </a:ext>
          </a:extLst>
        </xdr:cNvPr>
        <xdr:cNvSpPr txBox="1">
          <a:spLocks noChangeArrowheads="1"/>
        </xdr:cNvSpPr>
      </xdr:nvSpPr>
      <xdr:spPr bwMode="auto">
        <a:xfrm>
          <a:off x="2781300" y="7203018"/>
          <a:ext cx="266700" cy="188382"/>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xdr:from>
      <xdr:col>14</xdr:col>
      <xdr:colOff>381635</xdr:colOff>
      <xdr:row>6</xdr:row>
      <xdr:rowOff>47625</xdr:rowOff>
    </xdr:from>
    <xdr:to>
      <xdr:col>14</xdr:col>
      <xdr:colOff>495935</xdr:colOff>
      <xdr:row>7</xdr:row>
      <xdr:rowOff>0</xdr:rowOff>
    </xdr:to>
    <xdr:sp macro="" textlink="">
      <xdr:nvSpPr>
        <xdr:cNvPr id="11356" name="Text Box 92">
          <a:extLst>
            <a:ext uri="{FF2B5EF4-FFF2-40B4-BE49-F238E27FC236}">
              <a16:creationId xmlns:a16="http://schemas.microsoft.com/office/drawing/2014/main" id="{0B0316B3-C518-415A-A153-F34298BD17E4}"/>
            </a:ext>
          </a:extLst>
        </xdr:cNvPr>
        <xdr:cNvSpPr txBox="1">
          <a:spLocks noChangeArrowheads="1"/>
        </xdr:cNvSpPr>
      </xdr:nvSpPr>
      <xdr:spPr bwMode="auto">
        <a:xfrm>
          <a:off x="5762625" y="1695450"/>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354965</xdr:colOff>
      <xdr:row>9</xdr:row>
      <xdr:rowOff>28575</xdr:rowOff>
    </xdr:from>
    <xdr:to>
      <xdr:col>14</xdr:col>
      <xdr:colOff>496159</xdr:colOff>
      <xdr:row>10</xdr:row>
      <xdr:rowOff>15282</xdr:rowOff>
    </xdr:to>
    <xdr:sp macro="" textlink="">
      <xdr:nvSpPr>
        <xdr:cNvPr id="11366" name="Text Box 102">
          <a:extLst>
            <a:ext uri="{FF2B5EF4-FFF2-40B4-BE49-F238E27FC236}">
              <a16:creationId xmlns:a16="http://schemas.microsoft.com/office/drawing/2014/main" id="{2BD7E69D-BCE0-4BFA-8E51-A3DE8255B60E}"/>
            </a:ext>
          </a:extLst>
        </xdr:cNvPr>
        <xdr:cNvSpPr txBox="1">
          <a:spLocks noChangeArrowheads="1"/>
        </xdr:cNvSpPr>
      </xdr:nvSpPr>
      <xdr:spPr bwMode="auto">
        <a:xfrm>
          <a:off x="5743575" y="2133600"/>
          <a:ext cx="133350" cy="2190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381635</xdr:colOff>
      <xdr:row>8</xdr:row>
      <xdr:rowOff>9525</xdr:rowOff>
    </xdr:from>
    <xdr:to>
      <xdr:col>14</xdr:col>
      <xdr:colOff>495935</xdr:colOff>
      <xdr:row>8</xdr:row>
      <xdr:rowOff>190500</xdr:rowOff>
    </xdr:to>
    <xdr:sp macro="" textlink="">
      <xdr:nvSpPr>
        <xdr:cNvPr id="6179" name="Text Box 35">
          <a:extLst>
            <a:ext uri="{FF2B5EF4-FFF2-40B4-BE49-F238E27FC236}">
              <a16:creationId xmlns:a16="http://schemas.microsoft.com/office/drawing/2014/main" id="{BEC36E91-1C97-4A42-A0C6-B98C55DA01FC}"/>
            </a:ext>
          </a:extLst>
        </xdr:cNvPr>
        <xdr:cNvSpPr txBox="1">
          <a:spLocks noChangeArrowheads="1"/>
        </xdr:cNvSpPr>
      </xdr:nvSpPr>
      <xdr:spPr bwMode="auto">
        <a:xfrm>
          <a:off x="5695950" y="1895475"/>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xdr:col>
      <xdr:colOff>89836</xdr:colOff>
      <xdr:row>58</xdr:row>
      <xdr:rowOff>77057</xdr:rowOff>
    </xdr:from>
    <xdr:to>
      <xdr:col>19</xdr:col>
      <xdr:colOff>22804</xdr:colOff>
      <xdr:row>59</xdr:row>
      <xdr:rowOff>35719</xdr:rowOff>
    </xdr:to>
    <xdr:sp macro="" textlink="">
      <xdr:nvSpPr>
        <xdr:cNvPr id="35" name="Text Box 86">
          <a:extLst>
            <a:ext uri="{FF2B5EF4-FFF2-40B4-BE49-F238E27FC236}">
              <a16:creationId xmlns:a16="http://schemas.microsoft.com/office/drawing/2014/main" id="{51F64A5F-8136-4410-8A51-0FFC91E4F8C6}"/>
            </a:ext>
          </a:extLst>
        </xdr:cNvPr>
        <xdr:cNvSpPr txBox="1">
          <a:spLocks noChangeArrowheads="1"/>
        </xdr:cNvSpPr>
      </xdr:nvSpPr>
      <xdr:spPr bwMode="auto">
        <a:xfrm>
          <a:off x="242554" y="11733276"/>
          <a:ext cx="8535630" cy="208693"/>
        </a:xfrm>
        <a:prstGeom prst="rect">
          <a:avLst/>
        </a:prstGeom>
        <a:noFill/>
        <a:ln w="9525">
          <a:noFill/>
          <a:miter lim="800000"/>
          <a:headEnd/>
          <a:tailEnd/>
        </a:ln>
      </xdr:spPr>
      <xdr:txBody>
        <a:bodyPr vertOverflow="clip" wrap="square" lIns="27432" tIns="18288" rIns="0" bIns="0" anchor="t" upright="1"/>
        <a:lstStyle/>
        <a:p>
          <a:pPr algn="l" rtl="1">
            <a:defRPr sz="1000"/>
          </a:pPr>
          <a:r>
            <a:rPr lang="en-US" sz="900" b="0" i="0" strike="noStrike">
              <a:solidFill>
                <a:srgbClr val="000080"/>
              </a:solidFill>
              <a:latin typeface="Tahoma"/>
              <a:cs typeface="Tahoma"/>
            </a:rPr>
            <a:t>Amãna Takaful PLC (PQ 23</a:t>
          </a:r>
          <a:r>
            <a:rPr lang="en-US" sz="900" b="0" i="0" strike="noStrike">
              <a:solidFill>
                <a:sysClr val="windowText" lastClr="000000"/>
              </a:solidFill>
              <a:latin typeface="Tahoma"/>
              <a:cs typeface="Tahoma"/>
            </a:rPr>
            <a:t>),</a:t>
          </a:r>
          <a:r>
            <a:rPr lang="en-US" sz="1050" b="0" i="0" strike="noStrike">
              <a:solidFill>
                <a:srgbClr val="000080"/>
              </a:solidFill>
              <a:latin typeface="Tahoma"/>
              <a:cs typeface="Tahoma"/>
            </a:rPr>
            <a:t> </a:t>
          </a:r>
          <a:r>
            <a:rPr lang="en-US" sz="800" b="0" i="0" strike="noStrike">
              <a:solidFill>
                <a:srgbClr val="000080"/>
              </a:solidFill>
              <a:latin typeface="Tahoma"/>
              <a:cs typeface="Tahoma"/>
            </a:rPr>
            <a:t>No. 660 - 1/1, Galle Road, Colombo 03 Sri Lanka, Tel: 94-11-7501000  Fax: 94-11-7501088,  Email:</a:t>
          </a:r>
          <a:r>
            <a:rPr lang="en-US" sz="800" b="0" i="0" strike="noStrike">
              <a:solidFill>
                <a:srgbClr val="339966"/>
              </a:solidFill>
              <a:latin typeface="Tahoma"/>
              <a:cs typeface="Tahoma"/>
            </a:rPr>
            <a:t> </a:t>
          </a:r>
          <a:r>
            <a:rPr lang="en-US" sz="800" b="0" i="0" strike="noStrike">
              <a:solidFill>
                <a:srgbClr val="0000FF"/>
              </a:solidFill>
              <a:latin typeface="Tahoma"/>
              <a:cs typeface="Tahoma"/>
            </a:rPr>
            <a:t>info@takaful.lk  </a:t>
          </a:r>
          <a:r>
            <a:rPr lang="en-US" sz="800" b="0" i="0" strike="noStrike">
              <a:solidFill>
                <a:srgbClr val="000000"/>
              </a:solidFill>
              <a:latin typeface="Tahoma"/>
              <a:cs typeface="Tahoma"/>
            </a:rPr>
            <a:t> </a:t>
          </a:r>
          <a:r>
            <a:rPr lang="en-US" sz="800" b="0" i="0" strike="noStrike">
              <a:solidFill>
                <a:srgbClr val="000080"/>
              </a:solidFill>
              <a:latin typeface="Tahoma"/>
              <a:cs typeface="Tahoma"/>
            </a:rPr>
            <a:t>Website:</a:t>
          </a:r>
          <a:r>
            <a:rPr lang="en-US" sz="800" b="0" i="0" strike="noStrike">
              <a:solidFill>
                <a:srgbClr val="008000"/>
              </a:solidFill>
              <a:latin typeface="Tahoma"/>
              <a:cs typeface="Tahoma"/>
            </a:rPr>
            <a:t> </a:t>
          </a:r>
          <a:r>
            <a:rPr lang="en-US" sz="800" b="0" i="0" strike="noStrike">
              <a:solidFill>
                <a:srgbClr val="0000FF"/>
              </a:solidFill>
              <a:latin typeface="Tahoma"/>
              <a:cs typeface="Tahoma"/>
            </a:rPr>
            <a:t>www.takaful.lk </a:t>
          </a:r>
          <a:endParaRPr lang="en-US" sz="800" b="0" i="0" strike="noStrike">
            <a:solidFill>
              <a:srgbClr val="000000"/>
            </a:solidFill>
            <a:latin typeface="Tahoma"/>
            <a:cs typeface="Tahoma"/>
          </a:endParaRPr>
        </a:p>
        <a:p>
          <a:pPr algn="l" rtl="1">
            <a:defRPr sz="1000"/>
          </a:pPr>
          <a:endParaRPr lang="en-US" sz="800" b="0" i="0" strike="noStrike">
            <a:solidFill>
              <a:srgbClr val="000000"/>
            </a:solidFill>
            <a:latin typeface="Tahoma"/>
            <a:cs typeface="Tahoma"/>
          </a:endParaRPr>
        </a:p>
      </xdr:txBody>
    </xdr:sp>
    <xdr:clientData/>
  </xdr:twoCellAnchor>
  <xdr:twoCellAnchor>
    <xdr:from>
      <xdr:col>8</xdr:col>
      <xdr:colOff>806239</xdr:colOff>
      <xdr:row>2</xdr:row>
      <xdr:rowOff>69850</xdr:rowOff>
    </xdr:from>
    <xdr:to>
      <xdr:col>14</xdr:col>
      <xdr:colOff>37944</xdr:colOff>
      <xdr:row>3</xdr:row>
      <xdr:rowOff>114308</xdr:rowOff>
    </xdr:to>
    <xdr:sp macro="" textlink="">
      <xdr:nvSpPr>
        <xdr:cNvPr id="52" name="WordArt 111">
          <a:extLst>
            <a:ext uri="{FF2B5EF4-FFF2-40B4-BE49-F238E27FC236}">
              <a16:creationId xmlns:a16="http://schemas.microsoft.com/office/drawing/2014/main" id="{03DADB4E-A50C-411A-B585-CB85072FE39A}"/>
            </a:ext>
          </a:extLst>
        </xdr:cNvPr>
        <xdr:cNvSpPr>
          <a:spLocks noChangeArrowheads="1" noChangeShapeType="1" noTextEdit="1"/>
        </xdr:cNvSpPr>
      </xdr:nvSpPr>
      <xdr:spPr bwMode="auto">
        <a:xfrm>
          <a:off x="3481917" y="1068917"/>
          <a:ext cx="1971683" cy="178593"/>
        </a:xfrm>
        <a:prstGeom prst="rect">
          <a:avLst/>
        </a:prstGeom>
      </xdr:spPr>
      <xdr:txBody>
        <a:bodyPr wrap="none" fromWordArt="1">
          <a:prstTxWarp prst="textPlain">
            <a:avLst>
              <a:gd name="adj" fmla="val 50000"/>
            </a:avLst>
          </a:prstTxWarp>
        </a:bodyPr>
        <a:lstStyle/>
        <a:p>
          <a:pPr algn="ctr" rtl="0"/>
          <a:r>
            <a:rPr lang="en-US" sz="3600" kern="10" spc="0">
              <a:ln w="9525">
                <a:noFill/>
                <a:round/>
                <a:headEnd/>
                <a:tailEnd/>
              </a:ln>
              <a:solidFill>
                <a:srgbClr val="336699"/>
              </a:solidFill>
              <a:effectLst/>
              <a:latin typeface="Tahoma"/>
              <a:cs typeface="Tahoma"/>
            </a:rPr>
            <a:t>QUOTATION</a:t>
          </a:r>
        </a:p>
      </xdr:txBody>
    </xdr:sp>
    <xdr:clientData/>
  </xdr:twoCellAnchor>
  <xdr:twoCellAnchor>
    <xdr:from>
      <xdr:col>17</xdr:col>
      <xdr:colOff>36407</xdr:colOff>
      <xdr:row>33</xdr:row>
      <xdr:rowOff>13971</xdr:rowOff>
    </xdr:from>
    <xdr:to>
      <xdr:col>17</xdr:col>
      <xdr:colOff>317285</xdr:colOff>
      <xdr:row>34</xdr:row>
      <xdr:rowOff>0</xdr:rowOff>
    </xdr:to>
    <xdr:sp macro="" textlink="">
      <xdr:nvSpPr>
        <xdr:cNvPr id="47" name="Text Box 82">
          <a:extLst>
            <a:ext uri="{FF2B5EF4-FFF2-40B4-BE49-F238E27FC236}">
              <a16:creationId xmlns:a16="http://schemas.microsoft.com/office/drawing/2014/main" id="{3898CE1F-B077-4811-A1D7-67735BCD1038}"/>
            </a:ext>
          </a:extLst>
        </xdr:cNvPr>
        <xdr:cNvSpPr txBox="1">
          <a:spLocks noChangeArrowheads="1"/>
        </xdr:cNvSpPr>
      </xdr:nvSpPr>
      <xdr:spPr bwMode="auto">
        <a:xfrm>
          <a:off x="7065857" y="7005321"/>
          <a:ext cx="268394" cy="224154"/>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xdr:from>
      <xdr:col>17</xdr:col>
      <xdr:colOff>36195</xdr:colOff>
      <xdr:row>36</xdr:row>
      <xdr:rowOff>0</xdr:rowOff>
    </xdr:from>
    <xdr:to>
      <xdr:col>17</xdr:col>
      <xdr:colOff>349431</xdr:colOff>
      <xdr:row>36</xdr:row>
      <xdr:rowOff>0</xdr:rowOff>
    </xdr:to>
    <xdr:sp macro="" textlink="">
      <xdr:nvSpPr>
        <xdr:cNvPr id="53" name="Text Box 84">
          <a:extLst>
            <a:ext uri="{FF2B5EF4-FFF2-40B4-BE49-F238E27FC236}">
              <a16:creationId xmlns:a16="http://schemas.microsoft.com/office/drawing/2014/main" id="{DA7EA23D-50EC-4C93-BBAD-B16642BE4961}"/>
            </a:ext>
          </a:extLst>
        </xdr:cNvPr>
        <xdr:cNvSpPr txBox="1">
          <a:spLocks noChangeArrowheads="1"/>
        </xdr:cNvSpPr>
      </xdr:nvSpPr>
      <xdr:spPr bwMode="auto">
        <a:xfrm>
          <a:off x="7058025" y="7748270"/>
          <a:ext cx="308823" cy="167033"/>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xdr:from>
      <xdr:col>5</xdr:col>
      <xdr:colOff>135890</xdr:colOff>
      <xdr:row>7</xdr:row>
      <xdr:rowOff>171450</xdr:rowOff>
    </xdr:from>
    <xdr:to>
      <xdr:col>5</xdr:col>
      <xdr:colOff>250190</xdr:colOff>
      <xdr:row>8</xdr:row>
      <xdr:rowOff>3573</xdr:rowOff>
    </xdr:to>
    <xdr:sp macro="" textlink="">
      <xdr:nvSpPr>
        <xdr:cNvPr id="58" name="Text Box 44">
          <a:extLst>
            <a:ext uri="{FF2B5EF4-FFF2-40B4-BE49-F238E27FC236}">
              <a16:creationId xmlns:a16="http://schemas.microsoft.com/office/drawing/2014/main" id="{294A1EFE-5166-4B90-B065-4418BB3CFA9B}"/>
            </a:ext>
          </a:extLst>
        </xdr:cNvPr>
        <xdr:cNvSpPr txBox="1">
          <a:spLocks noChangeArrowheads="1"/>
        </xdr:cNvSpPr>
      </xdr:nvSpPr>
      <xdr:spPr bwMode="auto">
        <a:xfrm>
          <a:off x="1847850" y="2028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7</xdr:row>
      <xdr:rowOff>171450</xdr:rowOff>
    </xdr:from>
    <xdr:to>
      <xdr:col>5</xdr:col>
      <xdr:colOff>250190</xdr:colOff>
      <xdr:row>8</xdr:row>
      <xdr:rowOff>3573</xdr:rowOff>
    </xdr:to>
    <xdr:sp macro="" textlink="">
      <xdr:nvSpPr>
        <xdr:cNvPr id="59" name="Text Box 48">
          <a:extLst>
            <a:ext uri="{FF2B5EF4-FFF2-40B4-BE49-F238E27FC236}">
              <a16:creationId xmlns:a16="http://schemas.microsoft.com/office/drawing/2014/main" id="{3D44014C-9E5C-4CEF-95CA-A52412535292}"/>
            </a:ext>
          </a:extLst>
        </xdr:cNvPr>
        <xdr:cNvSpPr txBox="1">
          <a:spLocks noChangeArrowheads="1"/>
        </xdr:cNvSpPr>
      </xdr:nvSpPr>
      <xdr:spPr bwMode="auto">
        <a:xfrm>
          <a:off x="1847850" y="2028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7</xdr:row>
      <xdr:rowOff>171450</xdr:rowOff>
    </xdr:from>
    <xdr:to>
      <xdr:col>5</xdr:col>
      <xdr:colOff>250190</xdr:colOff>
      <xdr:row>8</xdr:row>
      <xdr:rowOff>3573</xdr:rowOff>
    </xdr:to>
    <xdr:sp macro="" textlink="">
      <xdr:nvSpPr>
        <xdr:cNvPr id="60" name="Text Box 58">
          <a:extLst>
            <a:ext uri="{FF2B5EF4-FFF2-40B4-BE49-F238E27FC236}">
              <a16:creationId xmlns:a16="http://schemas.microsoft.com/office/drawing/2014/main" id="{F1305208-F8A9-4F43-8F45-AE768B55CCE7}"/>
            </a:ext>
          </a:extLst>
        </xdr:cNvPr>
        <xdr:cNvSpPr txBox="1">
          <a:spLocks noChangeArrowheads="1"/>
        </xdr:cNvSpPr>
      </xdr:nvSpPr>
      <xdr:spPr bwMode="auto">
        <a:xfrm>
          <a:off x="1847850" y="2028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161925</xdr:rowOff>
    </xdr:from>
    <xdr:to>
      <xdr:col>5</xdr:col>
      <xdr:colOff>250190</xdr:colOff>
      <xdr:row>11</xdr:row>
      <xdr:rowOff>0</xdr:rowOff>
    </xdr:to>
    <xdr:sp macro="" textlink="">
      <xdr:nvSpPr>
        <xdr:cNvPr id="61" name="Text Box 44">
          <a:extLst>
            <a:ext uri="{FF2B5EF4-FFF2-40B4-BE49-F238E27FC236}">
              <a16:creationId xmlns:a16="http://schemas.microsoft.com/office/drawing/2014/main" id="{5D7C0AB2-A32A-4230-B7EA-0018DCF62D0D}"/>
            </a:ext>
          </a:extLst>
        </xdr:cNvPr>
        <xdr:cNvSpPr txBox="1">
          <a:spLocks noChangeArrowheads="1"/>
        </xdr:cNvSpPr>
      </xdr:nvSpPr>
      <xdr:spPr bwMode="auto">
        <a:xfrm>
          <a:off x="1847850"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161925</xdr:rowOff>
    </xdr:from>
    <xdr:to>
      <xdr:col>5</xdr:col>
      <xdr:colOff>250190</xdr:colOff>
      <xdr:row>11</xdr:row>
      <xdr:rowOff>0</xdr:rowOff>
    </xdr:to>
    <xdr:sp macro="" textlink="">
      <xdr:nvSpPr>
        <xdr:cNvPr id="62" name="Text Box 48">
          <a:extLst>
            <a:ext uri="{FF2B5EF4-FFF2-40B4-BE49-F238E27FC236}">
              <a16:creationId xmlns:a16="http://schemas.microsoft.com/office/drawing/2014/main" id="{4758BC5D-94E7-4781-BB95-FDA908363953}"/>
            </a:ext>
          </a:extLst>
        </xdr:cNvPr>
        <xdr:cNvSpPr txBox="1">
          <a:spLocks noChangeArrowheads="1"/>
        </xdr:cNvSpPr>
      </xdr:nvSpPr>
      <xdr:spPr bwMode="auto">
        <a:xfrm>
          <a:off x="1847850"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17</xdr:col>
      <xdr:colOff>36195</xdr:colOff>
      <xdr:row>36</xdr:row>
      <xdr:rowOff>0</xdr:rowOff>
    </xdr:from>
    <xdr:to>
      <xdr:col>17</xdr:col>
      <xdr:colOff>349431</xdr:colOff>
      <xdr:row>36</xdr:row>
      <xdr:rowOff>0</xdr:rowOff>
    </xdr:to>
    <xdr:sp macro="" textlink="">
      <xdr:nvSpPr>
        <xdr:cNvPr id="64" name="Text Box 89">
          <a:extLst>
            <a:ext uri="{FF2B5EF4-FFF2-40B4-BE49-F238E27FC236}">
              <a16:creationId xmlns:a16="http://schemas.microsoft.com/office/drawing/2014/main" id="{410FBF61-BC03-40A1-9903-E0E5AFEAA493}"/>
            </a:ext>
          </a:extLst>
        </xdr:cNvPr>
        <xdr:cNvSpPr txBox="1">
          <a:spLocks noChangeArrowheads="1"/>
        </xdr:cNvSpPr>
      </xdr:nvSpPr>
      <xdr:spPr bwMode="auto">
        <a:xfrm>
          <a:off x="7058025" y="7980045"/>
          <a:ext cx="308823" cy="164451"/>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editAs="absolute">
    <xdr:from>
      <xdr:col>16</xdr:col>
      <xdr:colOff>415295</xdr:colOff>
      <xdr:row>12</xdr:row>
      <xdr:rowOff>42332</xdr:rowOff>
    </xdr:from>
    <xdr:to>
      <xdr:col>17</xdr:col>
      <xdr:colOff>1123874</xdr:colOff>
      <xdr:row>12</xdr:row>
      <xdr:rowOff>266700</xdr:rowOff>
    </xdr:to>
    <xdr:sp macro="" textlink="">
      <xdr:nvSpPr>
        <xdr:cNvPr id="54" name="Text Box 114">
          <a:extLst>
            <a:ext uri="{FF2B5EF4-FFF2-40B4-BE49-F238E27FC236}">
              <a16:creationId xmlns:a16="http://schemas.microsoft.com/office/drawing/2014/main" id="{E27B4A6B-1125-430D-AFA1-4B762925DB48}"/>
            </a:ext>
          </a:extLst>
        </xdr:cNvPr>
        <xdr:cNvSpPr txBox="1">
          <a:spLocks noChangeArrowheads="1"/>
        </xdr:cNvSpPr>
      </xdr:nvSpPr>
      <xdr:spPr bwMode="auto">
        <a:xfrm>
          <a:off x="6948175" y="3056465"/>
          <a:ext cx="1191596" cy="226749"/>
        </a:xfrm>
        <a:prstGeom prst="rect">
          <a:avLst/>
        </a:prstGeom>
        <a:noFill/>
        <a:ln w="9525">
          <a:noFill/>
          <a:miter lim="800000"/>
          <a:headEnd/>
          <a:tailEnd/>
        </a:ln>
      </xdr:spPr>
      <xdr:txBody>
        <a:bodyPr vertOverflow="clip" wrap="square" lIns="0" tIns="22860" rIns="27432" bIns="0" anchor="t" upright="1"/>
        <a:lstStyle/>
        <a:p>
          <a:pPr algn="r" rtl="1">
            <a:defRPr sz="1000"/>
          </a:pPr>
          <a:r>
            <a:rPr lang="en-US" sz="1000" b="1" i="0" strike="noStrike">
              <a:solidFill>
                <a:srgbClr val="000000"/>
              </a:solidFill>
              <a:latin typeface="Tahoma"/>
              <a:cs typeface="Tahoma"/>
            </a:rPr>
            <a:t>NO. OF SEATS :</a:t>
          </a:r>
        </a:p>
      </xdr:txBody>
    </xdr:sp>
    <xdr:clientData/>
  </xdr:twoCellAnchor>
  <xdr:twoCellAnchor>
    <xdr:from>
      <xdr:col>5</xdr:col>
      <xdr:colOff>135890</xdr:colOff>
      <xdr:row>10</xdr:row>
      <xdr:rowOff>171450</xdr:rowOff>
    </xdr:from>
    <xdr:to>
      <xdr:col>5</xdr:col>
      <xdr:colOff>250190</xdr:colOff>
      <xdr:row>11</xdr:row>
      <xdr:rowOff>3573</xdr:rowOff>
    </xdr:to>
    <xdr:sp macro="" textlink="">
      <xdr:nvSpPr>
        <xdr:cNvPr id="56" name="Text Box 48">
          <a:extLst>
            <a:ext uri="{FF2B5EF4-FFF2-40B4-BE49-F238E27FC236}">
              <a16:creationId xmlns:a16="http://schemas.microsoft.com/office/drawing/2014/main" id="{BF00C8BF-B668-4FF1-8C53-4D618EA4FCE2}"/>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171450</xdr:rowOff>
    </xdr:from>
    <xdr:to>
      <xdr:col>5</xdr:col>
      <xdr:colOff>250190</xdr:colOff>
      <xdr:row>11</xdr:row>
      <xdr:rowOff>3573</xdr:rowOff>
    </xdr:to>
    <xdr:sp macro="" textlink="">
      <xdr:nvSpPr>
        <xdr:cNvPr id="65" name="Text Box 49">
          <a:extLst>
            <a:ext uri="{FF2B5EF4-FFF2-40B4-BE49-F238E27FC236}">
              <a16:creationId xmlns:a16="http://schemas.microsoft.com/office/drawing/2014/main" id="{04FDE1B8-2B7C-45AD-BBF9-E2BC63EDC9D8}"/>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171450</xdr:rowOff>
    </xdr:from>
    <xdr:to>
      <xdr:col>5</xdr:col>
      <xdr:colOff>250190</xdr:colOff>
      <xdr:row>11</xdr:row>
      <xdr:rowOff>3573</xdr:rowOff>
    </xdr:to>
    <xdr:sp macro="" textlink="">
      <xdr:nvSpPr>
        <xdr:cNvPr id="66" name="Text Box 44">
          <a:extLst>
            <a:ext uri="{FF2B5EF4-FFF2-40B4-BE49-F238E27FC236}">
              <a16:creationId xmlns:a16="http://schemas.microsoft.com/office/drawing/2014/main" id="{0147A1AE-BB13-414F-A600-8FE84EC54294}"/>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171450</xdr:rowOff>
    </xdr:from>
    <xdr:to>
      <xdr:col>5</xdr:col>
      <xdr:colOff>250190</xdr:colOff>
      <xdr:row>11</xdr:row>
      <xdr:rowOff>3573</xdr:rowOff>
    </xdr:to>
    <xdr:sp macro="" textlink="">
      <xdr:nvSpPr>
        <xdr:cNvPr id="68" name="Text Box 48">
          <a:extLst>
            <a:ext uri="{FF2B5EF4-FFF2-40B4-BE49-F238E27FC236}">
              <a16:creationId xmlns:a16="http://schemas.microsoft.com/office/drawing/2014/main" id="{7FE2939E-691E-4120-9F84-46882ECA6D38}"/>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171450</xdr:rowOff>
    </xdr:from>
    <xdr:to>
      <xdr:col>5</xdr:col>
      <xdr:colOff>250190</xdr:colOff>
      <xdr:row>11</xdr:row>
      <xdr:rowOff>3573</xdr:rowOff>
    </xdr:to>
    <xdr:sp macro="" textlink="">
      <xdr:nvSpPr>
        <xdr:cNvPr id="69" name="Text Box 58">
          <a:extLst>
            <a:ext uri="{FF2B5EF4-FFF2-40B4-BE49-F238E27FC236}">
              <a16:creationId xmlns:a16="http://schemas.microsoft.com/office/drawing/2014/main" id="{6512234F-7D89-4850-965D-EE6E34918E3F}"/>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161925</xdr:rowOff>
    </xdr:from>
    <xdr:to>
      <xdr:col>5</xdr:col>
      <xdr:colOff>250190</xdr:colOff>
      <xdr:row>11</xdr:row>
      <xdr:rowOff>0</xdr:rowOff>
    </xdr:to>
    <xdr:sp macro="" textlink="">
      <xdr:nvSpPr>
        <xdr:cNvPr id="70" name="Text Box 44">
          <a:extLst>
            <a:ext uri="{FF2B5EF4-FFF2-40B4-BE49-F238E27FC236}">
              <a16:creationId xmlns:a16="http://schemas.microsoft.com/office/drawing/2014/main" id="{7EF84F3A-7652-4C95-BBCB-1941B206E0E1}"/>
            </a:ext>
          </a:extLst>
        </xdr:cNvPr>
        <xdr:cNvSpPr txBox="1">
          <a:spLocks noChangeArrowheads="1"/>
        </xdr:cNvSpPr>
      </xdr:nvSpPr>
      <xdr:spPr bwMode="auto">
        <a:xfrm>
          <a:off x="1777365"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161925</xdr:rowOff>
    </xdr:from>
    <xdr:to>
      <xdr:col>5</xdr:col>
      <xdr:colOff>250190</xdr:colOff>
      <xdr:row>11</xdr:row>
      <xdr:rowOff>0</xdr:rowOff>
    </xdr:to>
    <xdr:sp macro="" textlink="">
      <xdr:nvSpPr>
        <xdr:cNvPr id="71" name="Text Box 48">
          <a:extLst>
            <a:ext uri="{FF2B5EF4-FFF2-40B4-BE49-F238E27FC236}">
              <a16:creationId xmlns:a16="http://schemas.microsoft.com/office/drawing/2014/main" id="{E4B15622-4FD3-470E-8E30-1D5E1EE00422}"/>
            </a:ext>
          </a:extLst>
        </xdr:cNvPr>
        <xdr:cNvSpPr txBox="1">
          <a:spLocks noChangeArrowheads="1"/>
        </xdr:cNvSpPr>
      </xdr:nvSpPr>
      <xdr:spPr bwMode="auto">
        <a:xfrm>
          <a:off x="1777365"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161925</xdr:rowOff>
    </xdr:from>
    <xdr:to>
      <xdr:col>5</xdr:col>
      <xdr:colOff>250190</xdr:colOff>
      <xdr:row>11</xdr:row>
      <xdr:rowOff>0</xdr:rowOff>
    </xdr:to>
    <xdr:sp macro="" textlink="">
      <xdr:nvSpPr>
        <xdr:cNvPr id="72" name="Text Box 58">
          <a:extLst>
            <a:ext uri="{FF2B5EF4-FFF2-40B4-BE49-F238E27FC236}">
              <a16:creationId xmlns:a16="http://schemas.microsoft.com/office/drawing/2014/main" id="{168EE9B8-7563-47F0-AE23-DD031C747DC5}"/>
            </a:ext>
          </a:extLst>
        </xdr:cNvPr>
        <xdr:cNvSpPr txBox="1">
          <a:spLocks noChangeArrowheads="1"/>
        </xdr:cNvSpPr>
      </xdr:nvSpPr>
      <xdr:spPr bwMode="auto">
        <a:xfrm>
          <a:off x="1777365"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15</xdr:col>
      <xdr:colOff>193673</xdr:colOff>
      <xdr:row>14</xdr:row>
      <xdr:rowOff>60325</xdr:rowOff>
    </xdr:from>
    <xdr:to>
      <xdr:col>17</xdr:col>
      <xdr:colOff>309491</xdr:colOff>
      <xdr:row>16</xdr:row>
      <xdr:rowOff>47656</xdr:rowOff>
    </xdr:to>
    <xdr:sp macro="" textlink="">
      <xdr:nvSpPr>
        <xdr:cNvPr id="2" name="TextBox 1">
          <a:extLst>
            <a:ext uri="{FF2B5EF4-FFF2-40B4-BE49-F238E27FC236}">
              <a16:creationId xmlns:a16="http://schemas.microsoft.com/office/drawing/2014/main" id="{9919BA73-C9C7-4B73-9299-49507D5CB967}"/>
            </a:ext>
          </a:extLst>
        </xdr:cNvPr>
        <xdr:cNvSpPr txBox="1"/>
      </xdr:nvSpPr>
      <xdr:spPr>
        <a:xfrm>
          <a:off x="6480173" y="3470275"/>
          <a:ext cx="837142" cy="244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u="sng"/>
            <a:t>SUM COVERED </a:t>
          </a:r>
        </a:p>
      </xdr:txBody>
    </xdr:sp>
    <xdr:clientData/>
  </xdr:twoCellAnchor>
  <xdr:twoCellAnchor>
    <xdr:from>
      <xdr:col>2</xdr:col>
      <xdr:colOff>57362</xdr:colOff>
      <xdr:row>0</xdr:row>
      <xdr:rowOff>249767</xdr:rowOff>
    </xdr:from>
    <xdr:to>
      <xdr:col>8</xdr:col>
      <xdr:colOff>76182</xdr:colOff>
      <xdr:row>1</xdr:row>
      <xdr:rowOff>228600</xdr:rowOff>
    </xdr:to>
    <xdr:sp macro="" textlink="">
      <xdr:nvSpPr>
        <xdr:cNvPr id="79" name="WordArt 111">
          <a:extLst>
            <a:ext uri="{FF2B5EF4-FFF2-40B4-BE49-F238E27FC236}">
              <a16:creationId xmlns:a16="http://schemas.microsoft.com/office/drawing/2014/main" id="{8DA28BE7-D679-47D9-90CB-A94DA1B462C1}"/>
            </a:ext>
          </a:extLst>
        </xdr:cNvPr>
        <xdr:cNvSpPr>
          <a:spLocks noChangeArrowheads="1" noChangeShapeType="1" noTextEdit="1"/>
        </xdr:cNvSpPr>
      </xdr:nvSpPr>
      <xdr:spPr bwMode="auto">
        <a:xfrm>
          <a:off x="310092" y="249767"/>
          <a:ext cx="2661708" cy="550333"/>
        </a:xfrm>
        <a:prstGeom prst="rect">
          <a:avLst/>
        </a:prstGeom>
      </xdr:spPr>
      <xdr:txBody>
        <a:bodyPr wrap="none" fromWordArt="1">
          <a:prstTxWarp prst="textPlain">
            <a:avLst>
              <a:gd name="adj" fmla="val 50000"/>
            </a:avLst>
          </a:prstTxWarp>
        </a:bodyPr>
        <a:lstStyle/>
        <a:p>
          <a:pPr algn="l" rtl="0"/>
          <a:r>
            <a:rPr lang="en-US" sz="3600" b="1" kern="10" spc="0">
              <a:ln w="9525">
                <a:noFill/>
                <a:round/>
                <a:headEnd/>
                <a:tailEnd/>
              </a:ln>
              <a:solidFill>
                <a:schemeClr val="tx2">
                  <a:lumMod val="75000"/>
                </a:schemeClr>
              </a:solidFill>
              <a:effectLst/>
              <a:latin typeface="Tahoma"/>
              <a:cs typeface="Tahoma"/>
            </a:rPr>
            <a:t>Three Wheeler Takaful</a:t>
          </a:r>
        </a:p>
        <a:p>
          <a:pPr algn="l" rtl="0"/>
          <a:r>
            <a:rPr lang="en-US" sz="3600" kern="10" spc="0">
              <a:ln w="9525">
                <a:noFill/>
                <a:round/>
                <a:headEnd/>
                <a:tailEnd/>
              </a:ln>
              <a:solidFill>
                <a:schemeClr val="tx2">
                  <a:lumMod val="75000"/>
                </a:schemeClr>
              </a:solidFill>
              <a:effectLst/>
              <a:latin typeface="Tahoma"/>
              <a:cs typeface="Tahoma"/>
            </a:rPr>
            <a:t>Comprehensive Cover</a:t>
          </a:r>
        </a:p>
      </xdr:txBody>
    </xdr:sp>
    <xdr:clientData/>
  </xdr:twoCellAnchor>
  <xdr:twoCellAnchor>
    <xdr:from>
      <xdr:col>5</xdr:col>
      <xdr:colOff>135890</xdr:colOff>
      <xdr:row>10</xdr:row>
      <xdr:rowOff>171450</xdr:rowOff>
    </xdr:from>
    <xdr:to>
      <xdr:col>5</xdr:col>
      <xdr:colOff>250190</xdr:colOff>
      <xdr:row>11</xdr:row>
      <xdr:rowOff>3573</xdr:rowOff>
    </xdr:to>
    <xdr:sp macro="" textlink="">
      <xdr:nvSpPr>
        <xdr:cNvPr id="80" name="Text Box 48">
          <a:extLst>
            <a:ext uri="{FF2B5EF4-FFF2-40B4-BE49-F238E27FC236}">
              <a16:creationId xmlns:a16="http://schemas.microsoft.com/office/drawing/2014/main" id="{C59DF067-99E1-473A-8377-85EF44E3FA1E}"/>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171450</xdr:rowOff>
    </xdr:from>
    <xdr:to>
      <xdr:col>5</xdr:col>
      <xdr:colOff>250190</xdr:colOff>
      <xdr:row>11</xdr:row>
      <xdr:rowOff>3573</xdr:rowOff>
    </xdr:to>
    <xdr:sp macro="" textlink="">
      <xdr:nvSpPr>
        <xdr:cNvPr id="81" name="Text Box 49">
          <a:extLst>
            <a:ext uri="{FF2B5EF4-FFF2-40B4-BE49-F238E27FC236}">
              <a16:creationId xmlns:a16="http://schemas.microsoft.com/office/drawing/2014/main" id="{78861F9A-17E5-486D-A23F-D34BD889153F}"/>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171450</xdr:rowOff>
    </xdr:from>
    <xdr:to>
      <xdr:col>5</xdr:col>
      <xdr:colOff>250190</xdr:colOff>
      <xdr:row>11</xdr:row>
      <xdr:rowOff>3573</xdr:rowOff>
    </xdr:to>
    <xdr:sp macro="" textlink="">
      <xdr:nvSpPr>
        <xdr:cNvPr id="82" name="Text Box 44">
          <a:extLst>
            <a:ext uri="{FF2B5EF4-FFF2-40B4-BE49-F238E27FC236}">
              <a16:creationId xmlns:a16="http://schemas.microsoft.com/office/drawing/2014/main" id="{128CFF8D-52B8-45E7-9D8F-0FB8B7DE0AB9}"/>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171450</xdr:rowOff>
    </xdr:from>
    <xdr:to>
      <xdr:col>5</xdr:col>
      <xdr:colOff>250190</xdr:colOff>
      <xdr:row>11</xdr:row>
      <xdr:rowOff>3573</xdr:rowOff>
    </xdr:to>
    <xdr:sp macro="" textlink="">
      <xdr:nvSpPr>
        <xdr:cNvPr id="83" name="Text Box 48">
          <a:extLst>
            <a:ext uri="{FF2B5EF4-FFF2-40B4-BE49-F238E27FC236}">
              <a16:creationId xmlns:a16="http://schemas.microsoft.com/office/drawing/2014/main" id="{C309D61A-7A79-4670-980D-4F8DA454E09C}"/>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171450</xdr:rowOff>
    </xdr:from>
    <xdr:to>
      <xdr:col>5</xdr:col>
      <xdr:colOff>250190</xdr:colOff>
      <xdr:row>11</xdr:row>
      <xdr:rowOff>3573</xdr:rowOff>
    </xdr:to>
    <xdr:sp macro="" textlink="">
      <xdr:nvSpPr>
        <xdr:cNvPr id="84" name="Text Box 58">
          <a:extLst>
            <a:ext uri="{FF2B5EF4-FFF2-40B4-BE49-F238E27FC236}">
              <a16:creationId xmlns:a16="http://schemas.microsoft.com/office/drawing/2014/main" id="{43A8EBDC-AA6C-4ABE-BCE5-C6A1EECCAC63}"/>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editAs="oneCell">
    <xdr:from>
      <xdr:col>17</xdr:col>
      <xdr:colOff>457200</xdr:colOff>
      <xdr:row>27</xdr:row>
      <xdr:rowOff>82550</xdr:rowOff>
    </xdr:from>
    <xdr:to>
      <xdr:col>17</xdr:col>
      <xdr:colOff>1654175</xdr:colOff>
      <xdr:row>31</xdr:row>
      <xdr:rowOff>12700</xdr:rowOff>
    </xdr:to>
    <xdr:pic>
      <xdr:nvPicPr>
        <xdr:cNvPr id="155125" name="Picture 86" descr="C:\Users\mumtaz\Downloads\95282942-flat-vector-exotic-cartoon-three-wheeler-tuk-tuk-rickshaw-side-view-of-transport-vehicle-.jpg">
          <a:extLst>
            <a:ext uri="{FF2B5EF4-FFF2-40B4-BE49-F238E27FC236}">
              <a16:creationId xmlns:a16="http://schemas.microsoft.com/office/drawing/2014/main" id="{4F227FD7-1440-4842-A8F2-7C99350690F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17377" t="14471" r="17055" b="16402"/>
        <a:stretch>
          <a:fillRect/>
        </a:stretch>
      </xdr:blipFill>
      <xdr:spPr bwMode="auto">
        <a:xfrm>
          <a:off x="7626350" y="5778500"/>
          <a:ext cx="1206500" cy="844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36407</xdr:colOff>
      <xdr:row>35</xdr:row>
      <xdr:rowOff>13971</xdr:rowOff>
    </xdr:from>
    <xdr:to>
      <xdr:col>17</xdr:col>
      <xdr:colOff>317285</xdr:colOff>
      <xdr:row>36</xdr:row>
      <xdr:rowOff>0</xdr:rowOff>
    </xdr:to>
    <xdr:sp macro="" textlink="">
      <xdr:nvSpPr>
        <xdr:cNvPr id="93" name="Text Box 82">
          <a:extLst>
            <a:ext uri="{FF2B5EF4-FFF2-40B4-BE49-F238E27FC236}">
              <a16:creationId xmlns:a16="http://schemas.microsoft.com/office/drawing/2014/main" id="{E5A63721-83B8-4E62-9DA9-04CB57CE6EC4}"/>
            </a:ext>
          </a:extLst>
        </xdr:cNvPr>
        <xdr:cNvSpPr txBox="1">
          <a:spLocks noChangeArrowheads="1"/>
        </xdr:cNvSpPr>
      </xdr:nvSpPr>
      <xdr:spPr bwMode="auto">
        <a:xfrm>
          <a:off x="7065857" y="7005321"/>
          <a:ext cx="268394" cy="224154"/>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editAs="oneCell">
    <xdr:from>
      <xdr:col>14</xdr:col>
      <xdr:colOff>311150</xdr:colOff>
      <xdr:row>0</xdr:row>
      <xdr:rowOff>184150</xdr:rowOff>
    </xdr:from>
    <xdr:to>
      <xdr:col>18</xdr:col>
      <xdr:colOff>25400</xdr:colOff>
      <xdr:row>2</xdr:row>
      <xdr:rowOff>120650</xdr:rowOff>
    </xdr:to>
    <xdr:pic>
      <xdr:nvPicPr>
        <xdr:cNvPr id="155127" name="Picture 94" descr="C:\Users\mumtaz\Desktop\ATI Logo\Amana-Logos-04.png">
          <a:extLst>
            <a:ext uri="{FF2B5EF4-FFF2-40B4-BE49-F238E27FC236}">
              <a16:creationId xmlns:a16="http://schemas.microsoft.com/office/drawing/2014/main" id="{230428EA-7999-404D-BFD4-B455F8B3FF69}"/>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l="13503" t="35825" r="11176" b="32567"/>
        <a:stretch>
          <a:fillRect/>
        </a:stretch>
      </xdr:blipFill>
      <xdr:spPr bwMode="auto">
        <a:xfrm>
          <a:off x="6108700" y="184150"/>
          <a:ext cx="2825750"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593090</xdr:colOff>
      <xdr:row>39</xdr:row>
      <xdr:rowOff>28575</xdr:rowOff>
    </xdr:from>
    <xdr:to>
      <xdr:col>5</xdr:col>
      <xdr:colOff>1293540</xdr:colOff>
      <xdr:row>39</xdr:row>
      <xdr:rowOff>171450</xdr:rowOff>
    </xdr:to>
    <xdr:sp macro="" textlink="">
      <xdr:nvSpPr>
        <xdr:cNvPr id="14434" name="Text Box 48">
          <a:extLst>
            <a:ext uri="{FF2B5EF4-FFF2-40B4-BE49-F238E27FC236}">
              <a16:creationId xmlns:a16="http://schemas.microsoft.com/office/drawing/2014/main" id="{E3CED994-FDEA-45A3-9E0E-74D18C37474D}"/>
            </a:ext>
          </a:extLst>
        </xdr:cNvPr>
        <xdr:cNvSpPr txBox="1">
          <a:spLocks noChangeArrowheads="1"/>
        </xdr:cNvSpPr>
      </xdr:nvSpPr>
      <xdr:spPr bwMode="auto">
        <a:xfrm>
          <a:off x="1533525" y="8077200"/>
          <a:ext cx="657225" cy="14287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on vehicle</a:t>
          </a:r>
        </a:p>
      </xdr:txBody>
    </xdr:sp>
    <xdr:clientData/>
  </xdr:twoCellAnchor>
  <xdr:twoCellAnchor>
    <xdr:from>
      <xdr:col>5</xdr:col>
      <xdr:colOff>1171575</xdr:colOff>
      <xdr:row>41</xdr:row>
      <xdr:rowOff>79375</xdr:rowOff>
    </xdr:from>
    <xdr:to>
      <xdr:col>5</xdr:col>
      <xdr:colOff>1838212</xdr:colOff>
      <xdr:row>41</xdr:row>
      <xdr:rowOff>231775</xdr:rowOff>
    </xdr:to>
    <xdr:sp macro="" textlink="">
      <xdr:nvSpPr>
        <xdr:cNvPr id="2097" name="Text Box 49">
          <a:extLst>
            <a:ext uri="{FF2B5EF4-FFF2-40B4-BE49-F238E27FC236}">
              <a16:creationId xmlns:a16="http://schemas.microsoft.com/office/drawing/2014/main" id="{F298BE01-124D-4638-8B7B-1BC92764AD23}"/>
            </a:ext>
          </a:extLst>
        </xdr:cNvPr>
        <xdr:cNvSpPr txBox="1">
          <a:spLocks noChangeArrowheads="1"/>
        </xdr:cNvSpPr>
      </xdr:nvSpPr>
      <xdr:spPr bwMode="auto">
        <a:xfrm>
          <a:off x="1704975" y="8801100"/>
          <a:ext cx="647700" cy="152400"/>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on vehicle</a:t>
          </a:r>
        </a:p>
      </xdr:txBody>
    </xdr:sp>
    <xdr:clientData/>
  </xdr:twoCellAnchor>
  <xdr:twoCellAnchor>
    <xdr:from>
      <xdr:col>3</xdr:col>
      <xdr:colOff>174625</xdr:colOff>
      <xdr:row>0</xdr:row>
      <xdr:rowOff>88900</xdr:rowOff>
    </xdr:from>
    <xdr:to>
      <xdr:col>7</xdr:col>
      <xdr:colOff>737902</xdr:colOff>
      <xdr:row>0</xdr:row>
      <xdr:rowOff>482600</xdr:rowOff>
    </xdr:to>
    <xdr:sp macro="" textlink="">
      <xdr:nvSpPr>
        <xdr:cNvPr id="14436" name="Text Box 65">
          <a:extLst>
            <a:ext uri="{FF2B5EF4-FFF2-40B4-BE49-F238E27FC236}">
              <a16:creationId xmlns:a16="http://schemas.microsoft.com/office/drawing/2014/main" id="{6D7A2B3E-5A3E-49A9-BE89-AEA3641919AD}"/>
            </a:ext>
          </a:extLst>
        </xdr:cNvPr>
        <xdr:cNvSpPr txBox="1">
          <a:spLocks noChangeArrowheads="1"/>
        </xdr:cNvSpPr>
      </xdr:nvSpPr>
      <xdr:spPr bwMode="auto">
        <a:xfrm>
          <a:off x="631825" y="88900"/>
          <a:ext cx="3584575" cy="393700"/>
        </a:xfrm>
        <a:prstGeom prst="rect">
          <a:avLst/>
        </a:prstGeom>
        <a:noFill/>
        <a:ln w="9525">
          <a:noFill/>
          <a:miter lim="800000"/>
          <a:headEnd/>
          <a:tailEnd/>
        </a:ln>
      </xdr:spPr>
      <xdr:txBody>
        <a:bodyPr vertOverflow="clip" wrap="square" lIns="45720" tIns="32004" rIns="45720" bIns="0" anchor="t" upright="1">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l" rtl="1">
            <a:defRPr sz="1000"/>
          </a:pPr>
          <a:r>
            <a:rPr lang="en-US" sz="1600" b="1" i="0" u="sng" strike="noStrike" cap="none" spc="50">
              <a:ln w="11430"/>
              <a:solidFill>
                <a:srgbClr val="FF0000"/>
              </a:solidFill>
              <a:effectLst>
                <a:outerShdw blurRad="76200" dist="50800" dir="5400000" algn="tl" rotWithShape="0">
                  <a:srgbClr val="000000">
                    <a:alpha val="65000"/>
                  </a:srgbClr>
                </a:outerShdw>
              </a:effectLst>
              <a:latin typeface="Tahoma"/>
              <a:cs typeface="Tahoma"/>
            </a:rPr>
            <a:t>Premium Working</a:t>
          </a:r>
        </a:p>
      </xdr:txBody>
    </xdr:sp>
    <xdr:clientData/>
  </xdr:twoCellAnchor>
  <xdr:twoCellAnchor>
    <xdr:from>
      <xdr:col>3</xdr:col>
      <xdr:colOff>104775</xdr:colOff>
      <xdr:row>68</xdr:row>
      <xdr:rowOff>38100</xdr:rowOff>
    </xdr:from>
    <xdr:to>
      <xdr:col>5</xdr:col>
      <xdr:colOff>831885</xdr:colOff>
      <xdr:row>70</xdr:row>
      <xdr:rowOff>26061</xdr:rowOff>
    </xdr:to>
    <xdr:sp macro="" textlink="">
      <xdr:nvSpPr>
        <xdr:cNvPr id="2114" name="Text Box 66">
          <a:extLst>
            <a:ext uri="{FF2B5EF4-FFF2-40B4-BE49-F238E27FC236}">
              <a16:creationId xmlns:a16="http://schemas.microsoft.com/office/drawing/2014/main" id="{35B0C543-1F75-4EFB-81B6-387CEC38DD6B}"/>
            </a:ext>
          </a:extLst>
        </xdr:cNvPr>
        <xdr:cNvSpPr txBox="1">
          <a:spLocks noChangeArrowheads="1"/>
        </xdr:cNvSpPr>
      </xdr:nvSpPr>
      <xdr:spPr bwMode="auto">
        <a:xfrm>
          <a:off x="552450" y="14001750"/>
          <a:ext cx="1200150" cy="2762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000000"/>
              </a:solidFill>
              <a:latin typeface="Tahoma"/>
              <a:cs typeface="Tahoma"/>
            </a:rPr>
            <a:t>Date of Issue :-</a:t>
          </a:r>
        </a:p>
      </xdr:txBody>
    </xdr:sp>
    <xdr:clientData/>
  </xdr:twoCellAnchor>
  <xdr:twoCellAnchor>
    <xdr:from>
      <xdr:col>5</xdr:col>
      <xdr:colOff>1397000</xdr:colOff>
      <xdr:row>48</xdr:row>
      <xdr:rowOff>29845</xdr:rowOff>
    </xdr:from>
    <xdr:to>
      <xdr:col>7</xdr:col>
      <xdr:colOff>164201</xdr:colOff>
      <xdr:row>48</xdr:row>
      <xdr:rowOff>190220</xdr:rowOff>
    </xdr:to>
    <xdr:sp macro="" textlink="">
      <xdr:nvSpPr>
        <xdr:cNvPr id="2423" name="Text Box 375">
          <a:extLst>
            <a:ext uri="{FF2B5EF4-FFF2-40B4-BE49-F238E27FC236}">
              <a16:creationId xmlns:a16="http://schemas.microsoft.com/office/drawing/2014/main" id="{C5DE2D10-7D72-481A-9BD2-F33AE8B7ADE9}"/>
            </a:ext>
          </a:extLst>
        </xdr:cNvPr>
        <xdr:cNvSpPr txBox="1">
          <a:spLocks noChangeArrowheads="1"/>
        </xdr:cNvSpPr>
      </xdr:nvSpPr>
      <xdr:spPr bwMode="auto">
        <a:xfrm>
          <a:off x="2286000" y="10401300"/>
          <a:ext cx="1362075" cy="1714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0" i="0" strike="noStrike">
              <a:solidFill>
                <a:srgbClr val="000000"/>
              </a:solidFill>
              <a:latin typeface="Tahoma"/>
              <a:cs typeface="Tahoma"/>
            </a:rPr>
            <a:t>Required Amount</a:t>
          </a:r>
        </a:p>
      </xdr:txBody>
    </xdr:sp>
    <xdr:clientData/>
  </xdr:twoCellAnchor>
  <xdr:twoCellAnchor>
    <xdr:from>
      <xdr:col>7</xdr:col>
      <xdr:colOff>1278890</xdr:colOff>
      <xdr:row>19</xdr:row>
      <xdr:rowOff>635</xdr:rowOff>
    </xdr:from>
    <xdr:to>
      <xdr:col>8</xdr:col>
      <xdr:colOff>341261</xdr:colOff>
      <xdr:row>20</xdr:row>
      <xdr:rowOff>2473</xdr:rowOff>
    </xdr:to>
    <xdr:sp macro="" textlink="">
      <xdr:nvSpPr>
        <xdr:cNvPr id="2511" name="Text Box 463">
          <a:extLst>
            <a:ext uri="{FF2B5EF4-FFF2-40B4-BE49-F238E27FC236}">
              <a16:creationId xmlns:a16="http://schemas.microsoft.com/office/drawing/2014/main" id="{157E1D93-9CD3-42F6-8CA9-3FA3827B665C}"/>
            </a:ext>
          </a:extLst>
        </xdr:cNvPr>
        <xdr:cNvSpPr txBox="1">
          <a:spLocks noChangeArrowheads="1"/>
        </xdr:cNvSpPr>
      </xdr:nvSpPr>
      <xdr:spPr bwMode="auto">
        <a:xfrm>
          <a:off x="4714875" y="4429125"/>
          <a:ext cx="323850" cy="2095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7</xdr:col>
      <xdr:colOff>41275</xdr:colOff>
      <xdr:row>68</xdr:row>
      <xdr:rowOff>49530</xdr:rowOff>
    </xdr:from>
    <xdr:to>
      <xdr:col>12</xdr:col>
      <xdr:colOff>695697</xdr:colOff>
      <xdr:row>70</xdr:row>
      <xdr:rowOff>102470</xdr:rowOff>
    </xdr:to>
    <xdr:sp macro="" textlink="">
      <xdr:nvSpPr>
        <xdr:cNvPr id="2517" name="Text Box 469" descr="Large grid">
          <a:extLst>
            <a:ext uri="{FF2B5EF4-FFF2-40B4-BE49-F238E27FC236}">
              <a16:creationId xmlns:a16="http://schemas.microsoft.com/office/drawing/2014/main" id="{4E82B72E-3589-4579-90FD-07AC0E6EBBFB}"/>
            </a:ext>
          </a:extLst>
        </xdr:cNvPr>
        <xdr:cNvSpPr txBox="1">
          <a:spLocks noChangeArrowheads="1"/>
        </xdr:cNvSpPr>
      </xdr:nvSpPr>
      <xdr:spPr bwMode="auto">
        <a:xfrm>
          <a:off x="2638425" y="14030325"/>
          <a:ext cx="4162425" cy="323850"/>
        </a:xfrm>
        <a:prstGeom prst="rect">
          <a:avLst/>
        </a:prstGeom>
        <a:pattFill prst="lgGrid">
          <a:fgClr>
            <a:srgbClr val="000000">
              <a:alpha val="22000"/>
            </a:srgbClr>
          </a:fgClr>
          <a:bgClr>
            <a:srgbClr val="FFFFFF">
              <a:alpha val="22000"/>
            </a:srgbClr>
          </a:bgClr>
        </a:pattFill>
        <a:ln w="9525">
          <a:solidFill>
            <a:srgbClr val="800000"/>
          </a:solidFill>
          <a:miter lim="800000"/>
          <a:headEnd/>
          <a:tailEnd/>
        </a:ln>
      </xdr:spPr>
      <xdr:txBody>
        <a:bodyPr vertOverflow="clip" wrap="square" lIns="36576" tIns="27432" rIns="36576" bIns="0" anchor="t" upright="1"/>
        <a:lstStyle/>
        <a:p>
          <a:pPr algn="ctr" rtl="1">
            <a:defRPr sz="1000"/>
          </a:pPr>
          <a:r>
            <a:rPr lang="en-US" sz="1400" b="1" i="0" strike="noStrike">
              <a:solidFill>
                <a:srgbClr val="000000"/>
              </a:solidFill>
              <a:latin typeface="Tahoma"/>
              <a:cs typeface="Tahoma"/>
            </a:rPr>
            <a:t>This documents is for office use only</a:t>
          </a:r>
        </a:p>
        <a:p>
          <a:pPr algn="ctr" rtl="1">
            <a:defRPr sz="1000"/>
          </a:pPr>
          <a:r>
            <a:rPr lang="en-US" sz="1400" b="1" i="0" strike="noStrike">
              <a:solidFill>
                <a:srgbClr val="000000"/>
              </a:solidFill>
              <a:latin typeface="Tahoma"/>
              <a:cs typeface="Tahoma"/>
            </a:rPr>
            <a:t> </a:t>
          </a:r>
        </a:p>
      </xdr:txBody>
    </xdr:sp>
    <xdr:clientData/>
  </xdr:twoCellAnchor>
  <xdr:twoCellAnchor>
    <xdr:from>
      <xdr:col>4</xdr:col>
      <xdr:colOff>104775</xdr:colOff>
      <xdr:row>65</xdr:row>
      <xdr:rowOff>116205</xdr:rowOff>
    </xdr:from>
    <xdr:to>
      <xdr:col>5</xdr:col>
      <xdr:colOff>2301663</xdr:colOff>
      <xdr:row>68</xdr:row>
      <xdr:rowOff>95234</xdr:rowOff>
    </xdr:to>
    <xdr:sp macro="" textlink="">
      <xdr:nvSpPr>
        <xdr:cNvPr id="14442" name="Text Box 522">
          <a:extLst>
            <a:ext uri="{FF2B5EF4-FFF2-40B4-BE49-F238E27FC236}">
              <a16:creationId xmlns:a16="http://schemas.microsoft.com/office/drawing/2014/main" id="{A3C1002B-EA60-48CB-A9AC-4E115E1D664F}"/>
            </a:ext>
          </a:extLst>
        </xdr:cNvPr>
        <xdr:cNvSpPr txBox="1">
          <a:spLocks noChangeArrowheads="1"/>
        </xdr:cNvSpPr>
      </xdr:nvSpPr>
      <xdr:spPr bwMode="auto">
        <a:xfrm>
          <a:off x="771525" y="13258800"/>
          <a:ext cx="2371725" cy="29527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003300"/>
              </a:solidFill>
              <a:latin typeface="Tahoma"/>
              <a:cs typeface="Tahoma"/>
            </a:rPr>
            <a:t>Special Remarks (write in the box)</a:t>
          </a:r>
        </a:p>
      </xdr:txBody>
    </xdr:sp>
    <xdr:clientData/>
  </xdr:twoCellAnchor>
  <xdr:twoCellAnchor>
    <xdr:from>
      <xdr:col>13</xdr:col>
      <xdr:colOff>147320</xdr:colOff>
      <xdr:row>0</xdr:row>
      <xdr:rowOff>76200</xdr:rowOff>
    </xdr:from>
    <xdr:to>
      <xdr:col>14</xdr:col>
      <xdr:colOff>545853</xdr:colOff>
      <xdr:row>0</xdr:row>
      <xdr:rowOff>295275</xdr:rowOff>
    </xdr:to>
    <xdr:sp macro="" textlink="">
      <xdr:nvSpPr>
        <xdr:cNvPr id="2660" name="Text Box 612">
          <a:extLst>
            <a:ext uri="{FF2B5EF4-FFF2-40B4-BE49-F238E27FC236}">
              <a16:creationId xmlns:a16="http://schemas.microsoft.com/office/drawing/2014/main" id="{F237FA52-26A0-4523-B9DE-73AC46D41F09}"/>
            </a:ext>
          </a:extLst>
        </xdr:cNvPr>
        <xdr:cNvSpPr txBox="1">
          <a:spLocks noChangeArrowheads="1"/>
        </xdr:cNvSpPr>
      </xdr:nvSpPr>
      <xdr:spPr bwMode="auto">
        <a:xfrm>
          <a:off x="8372475" y="76200"/>
          <a:ext cx="1152525" cy="219075"/>
        </a:xfrm>
        <a:prstGeom prst="rect">
          <a:avLst/>
        </a:prstGeom>
        <a:solidFill>
          <a:srgbClr val="008000"/>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nter Password </a:t>
          </a:r>
        </a:p>
      </xdr:txBody>
    </xdr:sp>
    <xdr:clientData/>
  </xdr:twoCellAnchor>
  <xdr:twoCellAnchor>
    <xdr:from>
      <xdr:col>8</xdr:col>
      <xdr:colOff>3175</xdr:colOff>
      <xdr:row>22</xdr:row>
      <xdr:rowOff>847</xdr:rowOff>
    </xdr:from>
    <xdr:to>
      <xdr:col>8</xdr:col>
      <xdr:colOff>339994</xdr:colOff>
      <xdr:row>23</xdr:row>
      <xdr:rowOff>2731</xdr:rowOff>
    </xdr:to>
    <xdr:sp macro="" textlink="">
      <xdr:nvSpPr>
        <xdr:cNvPr id="2405" name="Text Box 357">
          <a:extLst>
            <a:ext uri="{FF2B5EF4-FFF2-40B4-BE49-F238E27FC236}">
              <a16:creationId xmlns:a16="http://schemas.microsoft.com/office/drawing/2014/main" id="{341E10A0-9850-4489-8E2F-6275E7B59D18}"/>
            </a:ext>
          </a:extLst>
        </xdr:cNvPr>
        <xdr:cNvSpPr txBox="1">
          <a:spLocks noChangeArrowheads="1"/>
        </xdr:cNvSpPr>
      </xdr:nvSpPr>
      <xdr:spPr bwMode="auto">
        <a:xfrm>
          <a:off x="4714875" y="5029200"/>
          <a:ext cx="323850" cy="2095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1235075</xdr:colOff>
      <xdr:row>52</xdr:row>
      <xdr:rowOff>40640</xdr:rowOff>
    </xdr:from>
    <xdr:to>
      <xdr:col>6</xdr:col>
      <xdr:colOff>70370</xdr:colOff>
      <xdr:row>52</xdr:row>
      <xdr:rowOff>197506</xdr:rowOff>
    </xdr:to>
    <xdr:sp macro="" textlink="">
      <xdr:nvSpPr>
        <xdr:cNvPr id="14357" name="Text Box 1045">
          <a:extLst>
            <a:ext uri="{FF2B5EF4-FFF2-40B4-BE49-F238E27FC236}">
              <a16:creationId xmlns:a16="http://schemas.microsoft.com/office/drawing/2014/main" id="{FA399E3F-F594-492D-8809-58377DF7E50C}"/>
            </a:ext>
          </a:extLst>
        </xdr:cNvPr>
        <xdr:cNvSpPr txBox="1">
          <a:spLocks noChangeArrowheads="1"/>
        </xdr:cNvSpPr>
      </xdr:nvSpPr>
      <xdr:spPr bwMode="auto">
        <a:xfrm>
          <a:off x="2066925" y="11201400"/>
          <a:ext cx="1085850" cy="171450"/>
        </a:xfrm>
        <a:prstGeom prst="rect">
          <a:avLst/>
        </a:prstGeom>
        <a:solidFill>
          <a:sysClr val="window" lastClr="FFFFFF"/>
        </a:solidFill>
        <a:ln w="9525">
          <a:noFill/>
          <a:miter lim="800000"/>
          <a:headEnd/>
          <a:tailEnd/>
        </a:ln>
      </xdr:spPr>
      <xdr:txBody>
        <a:bodyPr vertOverflow="clip" wrap="square" lIns="27432" tIns="18288" rIns="0" bIns="0" anchor="t" upright="1"/>
        <a:lstStyle/>
        <a:p>
          <a:pPr algn="l" rtl="1">
            <a:defRPr sz="1000"/>
          </a:pPr>
          <a:r>
            <a:rPr lang="en-US" sz="900" b="1" i="0" strike="noStrike">
              <a:solidFill>
                <a:schemeClr val="bg1"/>
              </a:solidFill>
              <a:latin typeface="Tahoma"/>
              <a:cs typeface="Tahoma"/>
            </a:rPr>
            <a:t>Other Air Bags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10</xdr:col>
      <xdr:colOff>450850</xdr:colOff>
      <xdr:row>0</xdr:row>
      <xdr:rowOff>0</xdr:rowOff>
    </xdr:from>
    <xdr:to>
      <xdr:col>28</xdr:col>
      <xdr:colOff>539750</xdr:colOff>
      <xdr:row>34</xdr:row>
      <xdr:rowOff>139700</xdr:rowOff>
    </xdr:to>
    <xdr:sp macro="" textlink="">
      <xdr:nvSpPr>
        <xdr:cNvPr id="142394" name="Rectangle 18">
          <a:extLst>
            <a:ext uri="{FF2B5EF4-FFF2-40B4-BE49-F238E27FC236}">
              <a16:creationId xmlns:a16="http://schemas.microsoft.com/office/drawing/2014/main" id="{7B5D17EB-D7D2-4DC4-A204-811FE00846A0}"/>
            </a:ext>
          </a:extLst>
        </xdr:cNvPr>
        <xdr:cNvSpPr>
          <a:spLocks noChangeArrowheads="1"/>
        </xdr:cNvSpPr>
      </xdr:nvSpPr>
      <xdr:spPr bwMode="auto">
        <a:xfrm>
          <a:off x="9836150" y="0"/>
          <a:ext cx="12407900" cy="8572500"/>
        </a:xfrm>
        <a:prstGeom prst="rect">
          <a:avLst/>
        </a:prstGeom>
        <a:solidFill>
          <a:srgbClr val="FFFFFF"/>
        </a:solidFill>
        <a:ln w="9525">
          <a:solidFill>
            <a:srgbClr val="000000"/>
          </a:solidFill>
          <a:miter lim="800000"/>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9</xdr:col>
      <xdr:colOff>1530350</xdr:colOff>
      <xdr:row>23</xdr:row>
      <xdr:rowOff>133350</xdr:rowOff>
    </xdr:from>
    <xdr:to>
      <xdr:col>10</xdr:col>
      <xdr:colOff>36120</xdr:colOff>
      <xdr:row>24</xdr:row>
      <xdr:rowOff>38100</xdr:rowOff>
    </xdr:to>
    <xdr:sp macro="" textlink="">
      <xdr:nvSpPr>
        <xdr:cNvPr id="2" name="Text Box 1">
          <a:extLst>
            <a:ext uri="{FF2B5EF4-FFF2-40B4-BE49-F238E27FC236}">
              <a16:creationId xmlns:a16="http://schemas.microsoft.com/office/drawing/2014/main" id="{A9F5102A-7580-4D14-A5F8-78146197F00E}"/>
            </a:ext>
          </a:extLst>
        </xdr:cNvPr>
        <xdr:cNvSpPr txBox="1">
          <a:spLocks noChangeArrowheads="1"/>
        </xdr:cNvSpPr>
      </xdr:nvSpPr>
      <xdr:spPr bwMode="auto">
        <a:xfrm>
          <a:off x="5657850" y="5972175"/>
          <a:ext cx="246450" cy="152400"/>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0</xdr:colOff>
      <xdr:row>16</xdr:row>
      <xdr:rowOff>47625</xdr:rowOff>
    </xdr:from>
    <xdr:to>
      <xdr:col>12</xdr:col>
      <xdr:colOff>266722</xdr:colOff>
      <xdr:row>17</xdr:row>
      <xdr:rowOff>0</xdr:rowOff>
    </xdr:to>
    <xdr:sp macro="" textlink="">
      <xdr:nvSpPr>
        <xdr:cNvPr id="3" name="Text Box 2">
          <a:extLst>
            <a:ext uri="{FF2B5EF4-FFF2-40B4-BE49-F238E27FC236}">
              <a16:creationId xmlns:a16="http://schemas.microsoft.com/office/drawing/2014/main" id="{54DC2C68-DA48-4A87-BACD-DB1D03AD306C}"/>
            </a:ext>
          </a:extLst>
        </xdr:cNvPr>
        <xdr:cNvSpPr txBox="1">
          <a:spLocks noChangeArrowheads="1"/>
        </xdr:cNvSpPr>
      </xdr:nvSpPr>
      <xdr:spPr bwMode="auto">
        <a:xfrm>
          <a:off x="7753350" y="4010025"/>
          <a:ext cx="252932"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9525</xdr:colOff>
      <xdr:row>17</xdr:row>
      <xdr:rowOff>76200</xdr:rowOff>
    </xdr:from>
    <xdr:to>
      <xdr:col>12</xdr:col>
      <xdr:colOff>266585</xdr:colOff>
      <xdr:row>18</xdr:row>
      <xdr:rowOff>28575</xdr:rowOff>
    </xdr:to>
    <xdr:sp macro="" textlink="">
      <xdr:nvSpPr>
        <xdr:cNvPr id="4" name="Text Box 3">
          <a:extLst>
            <a:ext uri="{FF2B5EF4-FFF2-40B4-BE49-F238E27FC236}">
              <a16:creationId xmlns:a16="http://schemas.microsoft.com/office/drawing/2014/main" id="{03A53E9A-44FA-4DD2-A870-732801DF0EF0}"/>
            </a:ext>
          </a:extLst>
        </xdr:cNvPr>
        <xdr:cNvSpPr txBox="1">
          <a:spLocks noChangeArrowheads="1"/>
        </xdr:cNvSpPr>
      </xdr:nvSpPr>
      <xdr:spPr bwMode="auto">
        <a:xfrm>
          <a:off x="7762875" y="4286250"/>
          <a:ext cx="243414"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1339850</xdr:colOff>
      <xdr:row>23</xdr:row>
      <xdr:rowOff>31750</xdr:rowOff>
    </xdr:from>
    <xdr:to>
      <xdr:col>9</xdr:col>
      <xdr:colOff>1428750</xdr:colOff>
      <xdr:row>24</xdr:row>
      <xdr:rowOff>0</xdr:rowOff>
    </xdr:to>
    <xdr:sp macro="" textlink="">
      <xdr:nvSpPr>
        <xdr:cNvPr id="157247" name="AutoShape 4">
          <a:extLst>
            <a:ext uri="{FF2B5EF4-FFF2-40B4-BE49-F238E27FC236}">
              <a16:creationId xmlns:a16="http://schemas.microsoft.com/office/drawing/2014/main" id="{7C9BEEC8-C015-4E5E-BBCE-7B991016FB52}"/>
            </a:ext>
          </a:extLst>
        </xdr:cNvPr>
        <xdr:cNvSpPr>
          <a:spLocks/>
        </xdr:cNvSpPr>
      </xdr:nvSpPr>
      <xdr:spPr bwMode="auto">
        <a:xfrm>
          <a:off x="5734050" y="6007100"/>
          <a:ext cx="88900" cy="222250"/>
        </a:xfrm>
        <a:prstGeom prst="rightBrace">
          <a:avLst>
            <a:gd name="adj1" fmla="val 20833"/>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1511300</xdr:colOff>
      <xdr:row>26</xdr:row>
      <xdr:rowOff>76200</xdr:rowOff>
    </xdr:from>
    <xdr:to>
      <xdr:col>10</xdr:col>
      <xdr:colOff>20980</xdr:colOff>
      <xdr:row>27</xdr:row>
      <xdr:rowOff>28575</xdr:rowOff>
    </xdr:to>
    <xdr:sp macro="" textlink="">
      <xdr:nvSpPr>
        <xdr:cNvPr id="6" name="Text Box 5">
          <a:extLst>
            <a:ext uri="{FF2B5EF4-FFF2-40B4-BE49-F238E27FC236}">
              <a16:creationId xmlns:a16="http://schemas.microsoft.com/office/drawing/2014/main" id="{00B9D292-5C43-4DDB-B2E3-7A4AB3684175}"/>
            </a:ext>
          </a:extLst>
        </xdr:cNvPr>
        <xdr:cNvSpPr txBox="1">
          <a:spLocks noChangeArrowheads="1"/>
        </xdr:cNvSpPr>
      </xdr:nvSpPr>
      <xdr:spPr bwMode="auto">
        <a:xfrm>
          <a:off x="5638800" y="6657975"/>
          <a:ext cx="24882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1511300</xdr:colOff>
      <xdr:row>27</xdr:row>
      <xdr:rowOff>76200</xdr:rowOff>
    </xdr:from>
    <xdr:to>
      <xdr:col>10</xdr:col>
      <xdr:colOff>20980</xdr:colOff>
      <xdr:row>28</xdr:row>
      <xdr:rowOff>28575</xdr:rowOff>
    </xdr:to>
    <xdr:sp macro="" textlink="">
      <xdr:nvSpPr>
        <xdr:cNvPr id="7" name="Text Box 6">
          <a:extLst>
            <a:ext uri="{FF2B5EF4-FFF2-40B4-BE49-F238E27FC236}">
              <a16:creationId xmlns:a16="http://schemas.microsoft.com/office/drawing/2014/main" id="{7D517F9E-10CF-4A26-A19E-927B06AD56EA}"/>
            </a:ext>
          </a:extLst>
        </xdr:cNvPr>
        <xdr:cNvSpPr txBox="1">
          <a:spLocks noChangeArrowheads="1"/>
        </xdr:cNvSpPr>
      </xdr:nvSpPr>
      <xdr:spPr bwMode="auto">
        <a:xfrm>
          <a:off x="5638800" y="6905625"/>
          <a:ext cx="24882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1520825</xdr:colOff>
      <xdr:row>28</xdr:row>
      <xdr:rowOff>76200</xdr:rowOff>
    </xdr:from>
    <xdr:to>
      <xdr:col>10</xdr:col>
      <xdr:colOff>30505</xdr:colOff>
      <xdr:row>29</xdr:row>
      <xdr:rowOff>28575</xdr:rowOff>
    </xdr:to>
    <xdr:sp macro="" textlink="">
      <xdr:nvSpPr>
        <xdr:cNvPr id="8" name="Text Box 7">
          <a:extLst>
            <a:ext uri="{FF2B5EF4-FFF2-40B4-BE49-F238E27FC236}">
              <a16:creationId xmlns:a16="http://schemas.microsoft.com/office/drawing/2014/main" id="{F2CFDBC7-7D64-4908-BFCC-DACDB757FF8B}"/>
            </a:ext>
          </a:extLst>
        </xdr:cNvPr>
        <xdr:cNvSpPr txBox="1">
          <a:spLocks noChangeArrowheads="1"/>
        </xdr:cNvSpPr>
      </xdr:nvSpPr>
      <xdr:spPr bwMode="auto">
        <a:xfrm>
          <a:off x="5648325" y="7153275"/>
          <a:ext cx="24882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1520825</xdr:colOff>
      <xdr:row>29</xdr:row>
      <xdr:rowOff>76200</xdr:rowOff>
    </xdr:from>
    <xdr:to>
      <xdr:col>10</xdr:col>
      <xdr:colOff>30505</xdr:colOff>
      <xdr:row>30</xdr:row>
      <xdr:rowOff>28575</xdr:rowOff>
    </xdr:to>
    <xdr:sp macro="" textlink="">
      <xdr:nvSpPr>
        <xdr:cNvPr id="9" name="Text Box 8">
          <a:extLst>
            <a:ext uri="{FF2B5EF4-FFF2-40B4-BE49-F238E27FC236}">
              <a16:creationId xmlns:a16="http://schemas.microsoft.com/office/drawing/2014/main" id="{38EDEFB0-75AC-49DC-BF77-C54A6FA936F9}"/>
            </a:ext>
          </a:extLst>
        </xdr:cNvPr>
        <xdr:cNvSpPr txBox="1">
          <a:spLocks noChangeArrowheads="1"/>
        </xdr:cNvSpPr>
      </xdr:nvSpPr>
      <xdr:spPr bwMode="auto">
        <a:xfrm>
          <a:off x="5648325" y="7400925"/>
          <a:ext cx="24882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26</xdr:row>
      <xdr:rowOff>76200</xdr:rowOff>
    </xdr:from>
    <xdr:to>
      <xdr:col>12</xdr:col>
      <xdr:colOff>315462</xdr:colOff>
      <xdr:row>27</xdr:row>
      <xdr:rowOff>28575</xdr:rowOff>
    </xdr:to>
    <xdr:sp macro="" textlink="">
      <xdr:nvSpPr>
        <xdr:cNvPr id="10" name="Text Box 9">
          <a:extLst>
            <a:ext uri="{FF2B5EF4-FFF2-40B4-BE49-F238E27FC236}">
              <a16:creationId xmlns:a16="http://schemas.microsoft.com/office/drawing/2014/main" id="{BF09579B-9BCD-49A0-8185-59F820127E57}"/>
            </a:ext>
          </a:extLst>
        </xdr:cNvPr>
        <xdr:cNvSpPr txBox="1">
          <a:spLocks noChangeArrowheads="1"/>
        </xdr:cNvSpPr>
      </xdr:nvSpPr>
      <xdr:spPr bwMode="auto">
        <a:xfrm>
          <a:off x="7810500" y="6657975"/>
          <a:ext cx="244222"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27</xdr:row>
      <xdr:rowOff>66675</xdr:rowOff>
    </xdr:from>
    <xdr:to>
      <xdr:col>12</xdr:col>
      <xdr:colOff>315462</xdr:colOff>
      <xdr:row>28</xdr:row>
      <xdr:rowOff>11501</xdr:rowOff>
    </xdr:to>
    <xdr:sp macro="" textlink="">
      <xdr:nvSpPr>
        <xdr:cNvPr id="11" name="Text Box 10">
          <a:extLst>
            <a:ext uri="{FF2B5EF4-FFF2-40B4-BE49-F238E27FC236}">
              <a16:creationId xmlns:a16="http://schemas.microsoft.com/office/drawing/2014/main" id="{9066A4AF-C5B1-4D78-BB2F-F95D50B92EE3}"/>
            </a:ext>
          </a:extLst>
        </xdr:cNvPr>
        <xdr:cNvSpPr txBox="1">
          <a:spLocks noChangeArrowheads="1"/>
        </xdr:cNvSpPr>
      </xdr:nvSpPr>
      <xdr:spPr bwMode="auto">
        <a:xfrm>
          <a:off x="7810500" y="6896100"/>
          <a:ext cx="244222" cy="192476"/>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28</xdr:row>
      <xdr:rowOff>76200</xdr:rowOff>
    </xdr:from>
    <xdr:to>
      <xdr:col>12</xdr:col>
      <xdr:colOff>315462</xdr:colOff>
      <xdr:row>29</xdr:row>
      <xdr:rowOff>28575</xdr:rowOff>
    </xdr:to>
    <xdr:sp macro="" textlink="">
      <xdr:nvSpPr>
        <xdr:cNvPr id="12" name="Text Box 11">
          <a:extLst>
            <a:ext uri="{FF2B5EF4-FFF2-40B4-BE49-F238E27FC236}">
              <a16:creationId xmlns:a16="http://schemas.microsoft.com/office/drawing/2014/main" id="{196E9668-2696-42C6-8513-0836466A3E04}"/>
            </a:ext>
          </a:extLst>
        </xdr:cNvPr>
        <xdr:cNvSpPr txBox="1">
          <a:spLocks noChangeArrowheads="1"/>
        </xdr:cNvSpPr>
      </xdr:nvSpPr>
      <xdr:spPr bwMode="auto">
        <a:xfrm>
          <a:off x="7810500" y="7153275"/>
          <a:ext cx="244222"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1530350</xdr:colOff>
      <xdr:row>30</xdr:row>
      <xdr:rowOff>66675</xdr:rowOff>
    </xdr:from>
    <xdr:to>
      <xdr:col>10</xdr:col>
      <xdr:colOff>36120</xdr:colOff>
      <xdr:row>31</xdr:row>
      <xdr:rowOff>11501</xdr:rowOff>
    </xdr:to>
    <xdr:sp macro="" textlink="">
      <xdr:nvSpPr>
        <xdr:cNvPr id="13" name="Text Box 12">
          <a:extLst>
            <a:ext uri="{FF2B5EF4-FFF2-40B4-BE49-F238E27FC236}">
              <a16:creationId xmlns:a16="http://schemas.microsoft.com/office/drawing/2014/main" id="{E9C6EF20-2D17-40B7-A7CC-F7BE5470F0D4}"/>
            </a:ext>
          </a:extLst>
        </xdr:cNvPr>
        <xdr:cNvSpPr txBox="1">
          <a:spLocks noChangeArrowheads="1"/>
        </xdr:cNvSpPr>
      </xdr:nvSpPr>
      <xdr:spPr bwMode="auto">
        <a:xfrm>
          <a:off x="5657850" y="7639050"/>
          <a:ext cx="246450" cy="192476"/>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33</xdr:row>
      <xdr:rowOff>76200</xdr:rowOff>
    </xdr:from>
    <xdr:to>
      <xdr:col>10</xdr:col>
      <xdr:colOff>220777</xdr:colOff>
      <xdr:row>34</xdr:row>
      <xdr:rowOff>28575</xdr:rowOff>
    </xdr:to>
    <xdr:sp macro="" textlink="">
      <xdr:nvSpPr>
        <xdr:cNvPr id="14" name="Text Box 13">
          <a:extLst>
            <a:ext uri="{FF2B5EF4-FFF2-40B4-BE49-F238E27FC236}">
              <a16:creationId xmlns:a16="http://schemas.microsoft.com/office/drawing/2014/main" id="{CD211DDA-C09B-445D-9CB3-2F8B7DC47571}"/>
            </a:ext>
          </a:extLst>
        </xdr:cNvPr>
        <xdr:cNvSpPr txBox="1">
          <a:spLocks noChangeArrowheads="1"/>
        </xdr:cNvSpPr>
      </xdr:nvSpPr>
      <xdr:spPr bwMode="auto">
        <a:xfrm>
          <a:off x="5835015" y="8391525"/>
          <a:ext cx="25316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34</xdr:row>
      <xdr:rowOff>85725</xdr:rowOff>
    </xdr:from>
    <xdr:to>
      <xdr:col>10</xdr:col>
      <xdr:colOff>220777</xdr:colOff>
      <xdr:row>35</xdr:row>
      <xdr:rowOff>38100</xdr:rowOff>
    </xdr:to>
    <xdr:sp macro="" textlink="">
      <xdr:nvSpPr>
        <xdr:cNvPr id="15" name="Text Box 14">
          <a:extLst>
            <a:ext uri="{FF2B5EF4-FFF2-40B4-BE49-F238E27FC236}">
              <a16:creationId xmlns:a16="http://schemas.microsoft.com/office/drawing/2014/main" id="{996EEA98-7A4B-44E8-BC41-83303799D27D}"/>
            </a:ext>
          </a:extLst>
        </xdr:cNvPr>
        <xdr:cNvSpPr txBox="1">
          <a:spLocks noChangeArrowheads="1"/>
        </xdr:cNvSpPr>
      </xdr:nvSpPr>
      <xdr:spPr bwMode="auto">
        <a:xfrm>
          <a:off x="5835015" y="8648700"/>
          <a:ext cx="25316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35</xdr:row>
      <xdr:rowOff>85725</xdr:rowOff>
    </xdr:from>
    <xdr:to>
      <xdr:col>10</xdr:col>
      <xdr:colOff>220777</xdr:colOff>
      <xdr:row>36</xdr:row>
      <xdr:rowOff>38100</xdr:rowOff>
    </xdr:to>
    <xdr:sp macro="" textlink="">
      <xdr:nvSpPr>
        <xdr:cNvPr id="16" name="Text Box 15">
          <a:extLst>
            <a:ext uri="{FF2B5EF4-FFF2-40B4-BE49-F238E27FC236}">
              <a16:creationId xmlns:a16="http://schemas.microsoft.com/office/drawing/2014/main" id="{0EE9D928-AEE5-42E9-B331-4B05D2F8C242}"/>
            </a:ext>
          </a:extLst>
        </xdr:cNvPr>
        <xdr:cNvSpPr txBox="1">
          <a:spLocks noChangeArrowheads="1"/>
        </xdr:cNvSpPr>
      </xdr:nvSpPr>
      <xdr:spPr bwMode="auto">
        <a:xfrm>
          <a:off x="5835015" y="8896350"/>
          <a:ext cx="25316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8</xdr:col>
      <xdr:colOff>171450</xdr:colOff>
      <xdr:row>37</xdr:row>
      <xdr:rowOff>95250</xdr:rowOff>
    </xdr:from>
    <xdr:to>
      <xdr:col>9</xdr:col>
      <xdr:colOff>1409395</xdr:colOff>
      <xdr:row>38</xdr:row>
      <xdr:rowOff>49530</xdr:rowOff>
    </xdr:to>
    <xdr:sp macro="" textlink="">
      <xdr:nvSpPr>
        <xdr:cNvPr id="17" name="Text Box 16">
          <a:extLst>
            <a:ext uri="{FF2B5EF4-FFF2-40B4-BE49-F238E27FC236}">
              <a16:creationId xmlns:a16="http://schemas.microsoft.com/office/drawing/2014/main" id="{34894D29-0421-430D-9816-1C8563BAFF71}"/>
            </a:ext>
          </a:extLst>
        </xdr:cNvPr>
        <xdr:cNvSpPr txBox="1">
          <a:spLocks noChangeArrowheads="1"/>
        </xdr:cNvSpPr>
      </xdr:nvSpPr>
      <xdr:spPr bwMode="auto">
        <a:xfrm>
          <a:off x="4181475" y="9401175"/>
          <a:ext cx="1355079" cy="20193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For Rs.2,000/- excess</a:t>
          </a:r>
        </a:p>
      </xdr:txBody>
    </xdr:sp>
    <xdr:clientData/>
  </xdr:twoCellAnchor>
  <xdr:twoCellAnchor>
    <xdr:from>
      <xdr:col>11</xdr:col>
      <xdr:colOff>57150</xdr:colOff>
      <xdr:row>35</xdr:row>
      <xdr:rowOff>95250</xdr:rowOff>
    </xdr:from>
    <xdr:to>
      <xdr:col>14</xdr:col>
      <xdr:colOff>229265</xdr:colOff>
      <xdr:row>36</xdr:row>
      <xdr:rowOff>49530</xdr:rowOff>
    </xdr:to>
    <xdr:sp macro="" textlink="">
      <xdr:nvSpPr>
        <xdr:cNvPr id="18" name="Text Box 17">
          <a:extLst>
            <a:ext uri="{FF2B5EF4-FFF2-40B4-BE49-F238E27FC236}">
              <a16:creationId xmlns:a16="http://schemas.microsoft.com/office/drawing/2014/main" id="{882CF155-A1DB-427D-8201-84481C1E126A}"/>
            </a:ext>
          </a:extLst>
        </xdr:cNvPr>
        <xdr:cNvSpPr txBox="1">
          <a:spLocks noChangeArrowheads="1"/>
        </xdr:cNvSpPr>
      </xdr:nvSpPr>
      <xdr:spPr bwMode="auto">
        <a:xfrm>
          <a:off x="6438900" y="8905875"/>
          <a:ext cx="3177561" cy="20193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9</xdr:col>
      <xdr:colOff>1224915</xdr:colOff>
      <xdr:row>37</xdr:row>
      <xdr:rowOff>85725</xdr:rowOff>
    </xdr:from>
    <xdr:to>
      <xdr:col>9</xdr:col>
      <xdr:colOff>1224915</xdr:colOff>
      <xdr:row>38</xdr:row>
      <xdr:rowOff>38100</xdr:rowOff>
    </xdr:to>
    <xdr:sp macro="" textlink="">
      <xdr:nvSpPr>
        <xdr:cNvPr id="19" name="Text Box 18">
          <a:extLst>
            <a:ext uri="{FF2B5EF4-FFF2-40B4-BE49-F238E27FC236}">
              <a16:creationId xmlns:a16="http://schemas.microsoft.com/office/drawing/2014/main" id="{3325C59F-45C0-4269-B31D-82CCDBD8FB56}"/>
            </a:ext>
          </a:extLst>
        </xdr:cNvPr>
        <xdr:cNvSpPr txBox="1">
          <a:spLocks noChangeArrowheads="1"/>
        </xdr:cNvSpPr>
      </xdr:nvSpPr>
      <xdr:spPr bwMode="auto">
        <a:xfrm>
          <a:off x="5366385" y="9391650"/>
          <a:ext cx="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37</xdr:row>
      <xdr:rowOff>85725</xdr:rowOff>
    </xdr:from>
    <xdr:to>
      <xdr:col>10</xdr:col>
      <xdr:colOff>314578</xdr:colOff>
      <xdr:row>38</xdr:row>
      <xdr:rowOff>38100</xdr:rowOff>
    </xdr:to>
    <xdr:sp macro="" textlink="">
      <xdr:nvSpPr>
        <xdr:cNvPr id="20" name="Text Box 19">
          <a:extLst>
            <a:ext uri="{FF2B5EF4-FFF2-40B4-BE49-F238E27FC236}">
              <a16:creationId xmlns:a16="http://schemas.microsoft.com/office/drawing/2014/main" id="{79B35376-4C04-4F97-9594-1A362A9CD31B}"/>
            </a:ext>
          </a:extLst>
        </xdr:cNvPr>
        <xdr:cNvSpPr txBox="1">
          <a:spLocks noChangeArrowheads="1"/>
        </xdr:cNvSpPr>
      </xdr:nvSpPr>
      <xdr:spPr bwMode="auto">
        <a:xfrm>
          <a:off x="5915025" y="9391650"/>
          <a:ext cx="25315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8</xdr:col>
      <xdr:colOff>171450</xdr:colOff>
      <xdr:row>38</xdr:row>
      <xdr:rowOff>76200</xdr:rowOff>
    </xdr:from>
    <xdr:to>
      <xdr:col>9</xdr:col>
      <xdr:colOff>1409395</xdr:colOff>
      <xdr:row>39</xdr:row>
      <xdr:rowOff>38100</xdr:rowOff>
    </xdr:to>
    <xdr:sp macro="" textlink="">
      <xdr:nvSpPr>
        <xdr:cNvPr id="21" name="Text Box 20">
          <a:extLst>
            <a:ext uri="{FF2B5EF4-FFF2-40B4-BE49-F238E27FC236}">
              <a16:creationId xmlns:a16="http://schemas.microsoft.com/office/drawing/2014/main" id="{59EA90B3-A33C-487A-944E-1B4CA4C36660}"/>
            </a:ext>
          </a:extLst>
        </xdr:cNvPr>
        <xdr:cNvSpPr txBox="1">
          <a:spLocks noChangeArrowheads="1"/>
        </xdr:cNvSpPr>
      </xdr:nvSpPr>
      <xdr:spPr bwMode="auto">
        <a:xfrm>
          <a:off x="4181475" y="9629775"/>
          <a:ext cx="1355079"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For Rs.5,000/- excess</a:t>
          </a:r>
        </a:p>
      </xdr:txBody>
    </xdr:sp>
    <xdr:clientData/>
  </xdr:twoCellAnchor>
  <xdr:twoCellAnchor>
    <xdr:from>
      <xdr:col>9</xdr:col>
      <xdr:colOff>1224915</xdr:colOff>
      <xdr:row>38</xdr:row>
      <xdr:rowOff>47625</xdr:rowOff>
    </xdr:from>
    <xdr:to>
      <xdr:col>9</xdr:col>
      <xdr:colOff>1224915</xdr:colOff>
      <xdr:row>39</xdr:row>
      <xdr:rowOff>0</xdr:rowOff>
    </xdr:to>
    <xdr:sp macro="" textlink="">
      <xdr:nvSpPr>
        <xdr:cNvPr id="22" name="Text Box 21">
          <a:extLst>
            <a:ext uri="{FF2B5EF4-FFF2-40B4-BE49-F238E27FC236}">
              <a16:creationId xmlns:a16="http://schemas.microsoft.com/office/drawing/2014/main" id="{24F8A5A0-79AD-490D-91BB-452125115D2A}"/>
            </a:ext>
          </a:extLst>
        </xdr:cNvPr>
        <xdr:cNvSpPr txBox="1">
          <a:spLocks noChangeArrowheads="1"/>
        </xdr:cNvSpPr>
      </xdr:nvSpPr>
      <xdr:spPr bwMode="auto">
        <a:xfrm>
          <a:off x="5366385" y="9601200"/>
          <a:ext cx="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38</xdr:row>
      <xdr:rowOff>38100</xdr:rowOff>
    </xdr:from>
    <xdr:to>
      <xdr:col>10</xdr:col>
      <xdr:colOff>295275</xdr:colOff>
      <xdr:row>38</xdr:row>
      <xdr:rowOff>238125</xdr:rowOff>
    </xdr:to>
    <xdr:sp macro="" textlink="">
      <xdr:nvSpPr>
        <xdr:cNvPr id="23" name="Text Box 22">
          <a:extLst>
            <a:ext uri="{FF2B5EF4-FFF2-40B4-BE49-F238E27FC236}">
              <a16:creationId xmlns:a16="http://schemas.microsoft.com/office/drawing/2014/main" id="{2AFE4203-8AC6-4C1B-B5C6-35903146B086}"/>
            </a:ext>
          </a:extLst>
        </xdr:cNvPr>
        <xdr:cNvSpPr txBox="1">
          <a:spLocks noChangeArrowheads="1"/>
        </xdr:cNvSpPr>
      </xdr:nvSpPr>
      <xdr:spPr bwMode="auto">
        <a:xfrm>
          <a:off x="5915025" y="95916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11</xdr:col>
      <xdr:colOff>57785</xdr:colOff>
      <xdr:row>36</xdr:row>
      <xdr:rowOff>104775</xdr:rowOff>
    </xdr:from>
    <xdr:to>
      <xdr:col>14</xdr:col>
      <xdr:colOff>209607</xdr:colOff>
      <xdr:row>37</xdr:row>
      <xdr:rowOff>66675</xdr:rowOff>
    </xdr:to>
    <xdr:sp macro="" textlink="">
      <xdr:nvSpPr>
        <xdr:cNvPr id="24" name="Text Box 23">
          <a:extLst>
            <a:ext uri="{FF2B5EF4-FFF2-40B4-BE49-F238E27FC236}">
              <a16:creationId xmlns:a16="http://schemas.microsoft.com/office/drawing/2014/main" id="{8A7BCCAD-493B-49F2-8F68-262994C3AABD}"/>
            </a:ext>
          </a:extLst>
        </xdr:cNvPr>
        <xdr:cNvSpPr txBox="1">
          <a:spLocks noChangeArrowheads="1"/>
        </xdr:cNvSpPr>
      </xdr:nvSpPr>
      <xdr:spPr bwMode="auto">
        <a:xfrm>
          <a:off x="6425565" y="9163050"/>
          <a:ext cx="318520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9</xdr:col>
      <xdr:colOff>19050</xdr:colOff>
      <xdr:row>39</xdr:row>
      <xdr:rowOff>38100</xdr:rowOff>
    </xdr:from>
    <xdr:to>
      <xdr:col>9</xdr:col>
      <xdr:colOff>1445290</xdr:colOff>
      <xdr:row>40</xdr:row>
      <xdr:rowOff>0</xdr:rowOff>
    </xdr:to>
    <xdr:sp macro="" textlink="">
      <xdr:nvSpPr>
        <xdr:cNvPr id="25" name="Text Box 27">
          <a:extLst>
            <a:ext uri="{FF2B5EF4-FFF2-40B4-BE49-F238E27FC236}">
              <a16:creationId xmlns:a16="http://schemas.microsoft.com/office/drawing/2014/main" id="{EA8734FC-A290-4630-B6DB-536EAFBF80D9}"/>
            </a:ext>
          </a:extLst>
        </xdr:cNvPr>
        <xdr:cNvSpPr txBox="1">
          <a:spLocks noChangeArrowheads="1"/>
        </xdr:cNvSpPr>
      </xdr:nvSpPr>
      <xdr:spPr bwMode="auto">
        <a:xfrm>
          <a:off x="4210050" y="9839325"/>
          <a:ext cx="1362388" cy="1714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For Rs.10,000/- excess</a:t>
          </a:r>
        </a:p>
      </xdr:txBody>
    </xdr:sp>
    <xdr:clientData/>
  </xdr:twoCellAnchor>
  <xdr:twoCellAnchor>
    <xdr:from>
      <xdr:col>9</xdr:col>
      <xdr:colOff>1224915</xdr:colOff>
      <xdr:row>39</xdr:row>
      <xdr:rowOff>0</xdr:rowOff>
    </xdr:from>
    <xdr:to>
      <xdr:col>9</xdr:col>
      <xdr:colOff>1224915</xdr:colOff>
      <xdr:row>39</xdr:row>
      <xdr:rowOff>161925</xdr:rowOff>
    </xdr:to>
    <xdr:sp macro="" textlink="">
      <xdr:nvSpPr>
        <xdr:cNvPr id="26" name="Text Box 28">
          <a:extLst>
            <a:ext uri="{FF2B5EF4-FFF2-40B4-BE49-F238E27FC236}">
              <a16:creationId xmlns:a16="http://schemas.microsoft.com/office/drawing/2014/main" id="{A01AE39F-F30B-4FEF-A78C-84E09D6E361E}"/>
            </a:ext>
          </a:extLst>
        </xdr:cNvPr>
        <xdr:cNvSpPr txBox="1">
          <a:spLocks noChangeArrowheads="1"/>
        </xdr:cNvSpPr>
      </xdr:nvSpPr>
      <xdr:spPr bwMode="auto">
        <a:xfrm>
          <a:off x="5366385" y="9801225"/>
          <a:ext cx="0" cy="1619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11</xdr:col>
      <xdr:colOff>57150</xdr:colOff>
      <xdr:row>37</xdr:row>
      <xdr:rowOff>104775</xdr:rowOff>
    </xdr:from>
    <xdr:to>
      <xdr:col>14</xdr:col>
      <xdr:colOff>229265</xdr:colOff>
      <xdr:row>38</xdr:row>
      <xdr:rowOff>66675</xdr:rowOff>
    </xdr:to>
    <xdr:sp macro="" textlink="">
      <xdr:nvSpPr>
        <xdr:cNvPr id="27" name="Text Box 30">
          <a:extLst>
            <a:ext uri="{FF2B5EF4-FFF2-40B4-BE49-F238E27FC236}">
              <a16:creationId xmlns:a16="http://schemas.microsoft.com/office/drawing/2014/main" id="{4DCD1CE0-2544-48CC-B865-FE684BBB9340}"/>
            </a:ext>
          </a:extLst>
        </xdr:cNvPr>
        <xdr:cNvSpPr txBox="1">
          <a:spLocks noChangeArrowheads="1"/>
        </xdr:cNvSpPr>
      </xdr:nvSpPr>
      <xdr:spPr bwMode="auto">
        <a:xfrm>
          <a:off x="6438900" y="9410700"/>
          <a:ext cx="3177561"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3</xdr:col>
      <xdr:colOff>301625</xdr:colOff>
      <xdr:row>28</xdr:row>
      <xdr:rowOff>49530</xdr:rowOff>
    </xdr:from>
    <xdr:to>
      <xdr:col>4</xdr:col>
      <xdr:colOff>28720</xdr:colOff>
      <xdr:row>29</xdr:row>
      <xdr:rowOff>9745</xdr:rowOff>
    </xdr:to>
    <xdr:sp macro="" textlink="">
      <xdr:nvSpPr>
        <xdr:cNvPr id="28" name="Text Box 36">
          <a:extLst>
            <a:ext uri="{FF2B5EF4-FFF2-40B4-BE49-F238E27FC236}">
              <a16:creationId xmlns:a16="http://schemas.microsoft.com/office/drawing/2014/main" id="{7B29BD0B-8B46-4A8B-B87D-3E4A5BAFCE0D}"/>
            </a:ext>
          </a:extLst>
        </xdr:cNvPr>
        <xdr:cNvSpPr txBox="1">
          <a:spLocks noChangeArrowheads="1"/>
        </xdr:cNvSpPr>
      </xdr:nvSpPr>
      <xdr:spPr bwMode="auto">
        <a:xfrm>
          <a:off x="2289810" y="7126605"/>
          <a:ext cx="167140"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37</xdr:row>
      <xdr:rowOff>85725</xdr:rowOff>
    </xdr:from>
    <xdr:to>
      <xdr:col>11</xdr:col>
      <xdr:colOff>134303</xdr:colOff>
      <xdr:row>38</xdr:row>
      <xdr:rowOff>38100</xdr:rowOff>
    </xdr:to>
    <xdr:sp macro="" textlink="">
      <xdr:nvSpPr>
        <xdr:cNvPr id="29" name="Text Box 40">
          <a:extLst>
            <a:ext uri="{FF2B5EF4-FFF2-40B4-BE49-F238E27FC236}">
              <a16:creationId xmlns:a16="http://schemas.microsoft.com/office/drawing/2014/main" id="{B468A9A8-FE7A-4F67-81D0-507C6DED372C}"/>
            </a:ext>
          </a:extLst>
        </xdr:cNvPr>
        <xdr:cNvSpPr txBox="1">
          <a:spLocks noChangeArrowheads="1"/>
        </xdr:cNvSpPr>
      </xdr:nvSpPr>
      <xdr:spPr bwMode="auto">
        <a:xfrm>
          <a:off x="6337935" y="9391650"/>
          <a:ext cx="16383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38</xdr:row>
      <xdr:rowOff>95250</xdr:rowOff>
    </xdr:from>
    <xdr:to>
      <xdr:col>11</xdr:col>
      <xdr:colOff>134303</xdr:colOff>
      <xdr:row>39</xdr:row>
      <xdr:rowOff>47625</xdr:rowOff>
    </xdr:to>
    <xdr:sp macro="" textlink="">
      <xdr:nvSpPr>
        <xdr:cNvPr id="30" name="Text Box 42">
          <a:extLst>
            <a:ext uri="{FF2B5EF4-FFF2-40B4-BE49-F238E27FC236}">
              <a16:creationId xmlns:a16="http://schemas.microsoft.com/office/drawing/2014/main" id="{469C3269-972B-45E7-B814-47DCFE2293B2}"/>
            </a:ext>
          </a:extLst>
        </xdr:cNvPr>
        <xdr:cNvSpPr txBox="1">
          <a:spLocks noChangeArrowheads="1"/>
        </xdr:cNvSpPr>
      </xdr:nvSpPr>
      <xdr:spPr bwMode="auto">
        <a:xfrm>
          <a:off x="6337935" y="9648825"/>
          <a:ext cx="16383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38</xdr:row>
      <xdr:rowOff>95250</xdr:rowOff>
    </xdr:from>
    <xdr:to>
      <xdr:col>11</xdr:col>
      <xdr:colOff>134303</xdr:colOff>
      <xdr:row>39</xdr:row>
      <xdr:rowOff>47625</xdr:rowOff>
    </xdr:to>
    <xdr:sp macro="" textlink="">
      <xdr:nvSpPr>
        <xdr:cNvPr id="31" name="Text Box 46">
          <a:extLst>
            <a:ext uri="{FF2B5EF4-FFF2-40B4-BE49-F238E27FC236}">
              <a16:creationId xmlns:a16="http://schemas.microsoft.com/office/drawing/2014/main" id="{7E6BA55E-C23F-45FB-9CC2-CBB5D1EA1142}"/>
            </a:ext>
          </a:extLst>
        </xdr:cNvPr>
        <xdr:cNvSpPr txBox="1">
          <a:spLocks noChangeArrowheads="1"/>
        </xdr:cNvSpPr>
      </xdr:nvSpPr>
      <xdr:spPr bwMode="auto">
        <a:xfrm>
          <a:off x="6337935" y="9648825"/>
          <a:ext cx="16383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47625</xdr:colOff>
      <xdr:row>39</xdr:row>
      <xdr:rowOff>9525</xdr:rowOff>
    </xdr:from>
    <xdr:to>
      <xdr:col>10</xdr:col>
      <xdr:colOff>295275</xdr:colOff>
      <xdr:row>39</xdr:row>
      <xdr:rowOff>164090</xdr:rowOff>
    </xdr:to>
    <xdr:sp macro="" textlink="">
      <xdr:nvSpPr>
        <xdr:cNvPr id="32" name="Text Box 47">
          <a:extLst>
            <a:ext uri="{FF2B5EF4-FFF2-40B4-BE49-F238E27FC236}">
              <a16:creationId xmlns:a16="http://schemas.microsoft.com/office/drawing/2014/main" id="{6B00B47D-3AF8-4BBD-A0D8-E09FE7C52BDE}"/>
            </a:ext>
          </a:extLst>
        </xdr:cNvPr>
        <xdr:cNvSpPr txBox="1">
          <a:spLocks noChangeArrowheads="1"/>
        </xdr:cNvSpPr>
      </xdr:nvSpPr>
      <xdr:spPr bwMode="auto">
        <a:xfrm>
          <a:off x="5915025" y="9810750"/>
          <a:ext cx="247650" cy="15456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492125</xdr:colOff>
      <xdr:row>39</xdr:row>
      <xdr:rowOff>28575</xdr:rowOff>
    </xdr:from>
    <xdr:to>
      <xdr:col>11</xdr:col>
      <xdr:colOff>134303</xdr:colOff>
      <xdr:row>39</xdr:row>
      <xdr:rowOff>190500</xdr:rowOff>
    </xdr:to>
    <xdr:sp macro="" textlink="">
      <xdr:nvSpPr>
        <xdr:cNvPr id="33" name="Text Box 48">
          <a:extLst>
            <a:ext uri="{FF2B5EF4-FFF2-40B4-BE49-F238E27FC236}">
              <a16:creationId xmlns:a16="http://schemas.microsoft.com/office/drawing/2014/main" id="{E3AC8160-F97F-450E-981F-8C181BD002AB}"/>
            </a:ext>
          </a:extLst>
        </xdr:cNvPr>
        <xdr:cNvSpPr txBox="1">
          <a:spLocks noChangeArrowheads="1"/>
        </xdr:cNvSpPr>
      </xdr:nvSpPr>
      <xdr:spPr bwMode="auto">
        <a:xfrm>
          <a:off x="6337935" y="9829800"/>
          <a:ext cx="163830" cy="1619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9</xdr:col>
      <xdr:colOff>890905</xdr:colOff>
      <xdr:row>17</xdr:row>
      <xdr:rowOff>228600</xdr:rowOff>
    </xdr:from>
    <xdr:to>
      <xdr:col>10</xdr:col>
      <xdr:colOff>172017</xdr:colOff>
      <xdr:row>18</xdr:row>
      <xdr:rowOff>142875</xdr:rowOff>
    </xdr:to>
    <xdr:sp macro="" textlink="">
      <xdr:nvSpPr>
        <xdr:cNvPr id="34" name="Text Box 63">
          <a:extLst>
            <a:ext uri="{FF2B5EF4-FFF2-40B4-BE49-F238E27FC236}">
              <a16:creationId xmlns:a16="http://schemas.microsoft.com/office/drawing/2014/main" id="{732CB9C6-6655-4B20-B4CE-15EDB93EFCD3}"/>
            </a:ext>
          </a:extLst>
        </xdr:cNvPr>
        <xdr:cNvSpPr txBox="1">
          <a:spLocks noChangeArrowheads="1"/>
        </xdr:cNvSpPr>
      </xdr:nvSpPr>
      <xdr:spPr bwMode="auto">
        <a:xfrm>
          <a:off x="5046345" y="4438650"/>
          <a:ext cx="979151" cy="161925"/>
        </a:xfrm>
        <a:prstGeom prst="rect">
          <a:avLst/>
        </a:prstGeom>
        <a:noFill/>
        <a:ln w="9525">
          <a:noFill/>
          <a:miter lim="800000"/>
          <a:headEnd/>
          <a:tailEnd/>
        </a:ln>
      </xdr:spPr>
      <xdr:txBody>
        <a:bodyPr vertOverflow="clip" wrap="square" lIns="27432" tIns="32004" rIns="0" bIns="0" anchor="t" upright="1"/>
        <a:lstStyle/>
        <a:p>
          <a:pPr algn="l" rtl="1">
            <a:defRPr sz="1000"/>
          </a:pPr>
          <a:r>
            <a:rPr lang="en-US" sz="800" b="0" i="0" strike="noStrike">
              <a:solidFill>
                <a:srgbClr val="FF0000"/>
              </a:solidFill>
              <a:latin typeface="Bodoni MT"/>
            </a:rPr>
            <a:t>For Private Dual </a:t>
          </a:r>
        </a:p>
      </xdr:txBody>
    </xdr:sp>
    <xdr:clientData/>
  </xdr:twoCellAnchor>
  <xdr:twoCellAnchor>
    <xdr:from>
      <xdr:col>9</xdr:col>
      <xdr:colOff>890905</xdr:colOff>
      <xdr:row>18</xdr:row>
      <xdr:rowOff>104775</xdr:rowOff>
    </xdr:from>
    <xdr:to>
      <xdr:col>10</xdr:col>
      <xdr:colOff>172017</xdr:colOff>
      <xdr:row>20</xdr:row>
      <xdr:rowOff>11465</xdr:rowOff>
    </xdr:to>
    <xdr:sp macro="" textlink="">
      <xdr:nvSpPr>
        <xdr:cNvPr id="35" name="Text Box 64">
          <a:extLst>
            <a:ext uri="{FF2B5EF4-FFF2-40B4-BE49-F238E27FC236}">
              <a16:creationId xmlns:a16="http://schemas.microsoft.com/office/drawing/2014/main" id="{CC2ECD1A-AA0C-468C-872C-0E566618F71F}"/>
            </a:ext>
          </a:extLst>
        </xdr:cNvPr>
        <xdr:cNvSpPr txBox="1">
          <a:spLocks noChangeArrowheads="1"/>
        </xdr:cNvSpPr>
      </xdr:nvSpPr>
      <xdr:spPr bwMode="auto">
        <a:xfrm>
          <a:off x="5046345" y="4562475"/>
          <a:ext cx="979151" cy="401990"/>
        </a:xfrm>
        <a:prstGeom prst="rect">
          <a:avLst/>
        </a:prstGeom>
        <a:noFill/>
        <a:ln w="9525">
          <a:noFill/>
          <a:miter lim="800000"/>
          <a:headEnd/>
          <a:tailEnd/>
        </a:ln>
      </xdr:spPr>
      <xdr:txBody>
        <a:bodyPr vertOverflow="clip" wrap="square" lIns="27432" tIns="32004" rIns="0" bIns="0" anchor="t" upright="1"/>
        <a:lstStyle/>
        <a:p>
          <a:pPr algn="l" rtl="1">
            <a:defRPr sz="1000"/>
          </a:pPr>
          <a:r>
            <a:rPr lang="en-US" sz="800" b="0" i="0" strike="noStrike">
              <a:solidFill>
                <a:srgbClr val="FF0000"/>
              </a:solidFill>
              <a:latin typeface="Bodoni MT"/>
            </a:rPr>
            <a:t>Purpose Vehicles</a:t>
          </a:r>
        </a:p>
      </xdr:txBody>
    </xdr:sp>
    <xdr:clientData/>
  </xdr:twoCellAnchor>
  <xdr:twoCellAnchor>
    <xdr:from>
      <xdr:col>9</xdr:col>
      <xdr:colOff>908050</xdr:colOff>
      <xdr:row>18</xdr:row>
      <xdr:rowOff>6350</xdr:rowOff>
    </xdr:from>
    <xdr:to>
      <xdr:col>9</xdr:col>
      <xdr:colOff>984250</xdr:colOff>
      <xdr:row>19</xdr:row>
      <xdr:rowOff>0</xdr:rowOff>
    </xdr:to>
    <xdr:sp macro="" textlink="">
      <xdr:nvSpPr>
        <xdr:cNvPr id="157278" name="AutoShape 66">
          <a:extLst>
            <a:ext uri="{FF2B5EF4-FFF2-40B4-BE49-F238E27FC236}">
              <a16:creationId xmlns:a16="http://schemas.microsoft.com/office/drawing/2014/main" id="{5D21E628-2C25-4447-BF26-3616A30A5A42}"/>
            </a:ext>
          </a:extLst>
        </xdr:cNvPr>
        <xdr:cNvSpPr>
          <a:spLocks/>
        </xdr:cNvSpPr>
      </xdr:nvSpPr>
      <xdr:spPr bwMode="auto">
        <a:xfrm>
          <a:off x="5302250" y="4578350"/>
          <a:ext cx="76200" cy="247650"/>
        </a:xfrm>
        <a:prstGeom prst="leftBracket">
          <a:avLst>
            <a:gd name="adj" fmla="val 27083"/>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1714500</xdr:colOff>
      <xdr:row>18</xdr:row>
      <xdr:rowOff>6350</xdr:rowOff>
    </xdr:from>
    <xdr:to>
      <xdr:col>9</xdr:col>
      <xdr:colOff>1746250</xdr:colOff>
      <xdr:row>19</xdr:row>
      <xdr:rowOff>0</xdr:rowOff>
    </xdr:to>
    <xdr:sp macro="" textlink="">
      <xdr:nvSpPr>
        <xdr:cNvPr id="157279" name="AutoShape 67">
          <a:extLst>
            <a:ext uri="{FF2B5EF4-FFF2-40B4-BE49-F238E27FC236}">
              <a16:creationId xmlns:a16="http://schemas.microsoft.com/office/drawing/2014/main" id="{C6B67270-01ED-422A-8222-A64A1CB268B3}"/>
            </a:ext>
          </a:extLst>
        </xdr:cNvPr>
        <xdr:cNvSpPr>
          <a:spLocks/>
        </xdr:cNvSpPr>
      </xdr:nvSpPr>
      <xdr:spPr bwMode="auto">
        <a:xfrm>
          <a:off x="6108700" y="4578350"/>
          <a:ext cx="31750" cy="247650"/>
        </a:xfrm>
        <a:prstGeom prst="rightBracket">
          <a:avLst>
            <a:gd name="adj" fmla="val 65000"/>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16</xdr:col>
      <xdr:colOff>463550</xdr:colOff>
      <xdr:row>3</xdr:row>
      <xdr:rowOff>66675</xdr:rowOff>
    </xdr:from>
    <xdr:to>
      <xdr:col>17</xdr:col>
      <xdr:colOff>21067</xdr:colOff>
      <xdr:row>4</xdr:row>
      <xdr:rowOff>11501</xdr:rowOff>
    </xdr:to>
    <xdr:sp macro="" textlink="">
      <xdr:nvSpPr>
        <xdr:cNvPr id="38" name="Text Box 78">
          <a:extLst>
            <a:ext uri="{FF2B5EF4-FFF2-40B4-BE49-F238E27FC236}">
              <a16:creationId xmlns:a16="http://schemas.microsoft.com/office/drawing/2014/main" id="{566D90C1-731F-4148-BF17-4E78EFD873E2}"/>
            </a:ext>
          </a:extLst>
        </xdr:cNvPr>
        <xdr:cNvSpPr txBox="1">
          <a:spLocks noChangeArrowheads="1"/>
        </xdr:cNvSpPr>
      </xdr:nvSpPr>
      <xdr:spPr bwMode="auto">
        <a:xfrm>
          <a:off x="10765155" y="809625"/>
          <a:ext cx="180870" cy="192476"/>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463550</xdr:colOff>
      <xdr:row>4</xdr:row>
      <xdr:rowOff>9525</xdr:rowOff>
    </xdr:from>
    <xdr:to>
      <xdr:col>17</xdr:col>
      <xdr:colOff>21067</xdr:colOff>
      <xdr:row>4</xdr:row>
      <xdr:rowOff>209550</xdr:rowOff>
    </xdr:to>
    <xdr:sp macro="" textlink="">
      <xdr:nvSpPr>
        <xdr:cNvPr id="39" name="Text Box 79">
          <a:extLst>
            <a:ext uri="{FF2B5EF4-FFF2-40B4-BE49-F238E27FC236}">
              <a16:creationId xmlns:a16="http://schemas.microsoft.com/office/drawing/2014/main" id="{E325849B-76B5-44F8-B0F1-A5EEF7DFD8D4}"/>
            </a:ext>
          </a:extLst>
        </xdr:cNvPr>
        <xdr:cNvSpPr txBox="1">
          <a:spLocks noChangeArrowheads="1"/>
        </xdr:cNvSpPr>
      </xdr:nvSpPr>
      <xdr:spPr bwMode="auto">
        <a:xfrm>
          <a:off x="10765155" y="1000125"/>
          <a:ext cx="18087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463550</xdr:colOff>
      <xdr:row>8</xdr:row>
      <xdr:rowOff>47625</xdr:rowOff>
    </xdr:from>
    <xdr:to>
      <xdr:col>17</xdr:col>
      <xdr:colOff>21067</xdr:colOff>
      <xdr:row>9</xdr:row>
      <xdr:rowOff>0</xdr:rowOff>
    </xdr:to>
    <xdr:sp macro="" textlink="">
      <xdr:nvSpPr>
        <xdr:cNvPr id="40" name="Text Box 80">
          <a:extLst>
            <a:ext uri="{FF2B5EF4-FFF2-40B4-BE49-F238E27FC236}">
              <a16:creationId xmlns:a16="http://schemas.microsoft.com/office/drawing/2014/main" id="{8FBFF955-3BB5-41E5-A767-2A45EE6E3139}"/>
            </a:ext>
          </a:extLst>
        </xdr:cNvPr>
        <xdr:cNvSpPr txBox="1">
          <a:spLocks noChangeArrowheads="1"/>
        </xdr:cNvSpPr>
      </xdr:nvSpPr>
      <xdr:spPr bwMode="auto">
        <a:xfrm>
          <a:off x="10765155" y="2028825"/>
          <a:ext cx="18087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3</xdr:row>
      <xdr:rowOff>49530</xdr:rowOff>
    </xdr:from>
    <xdr:to>
      <xdr:col>18</xdr:col>
      <xdr:colOff>8702</xdr:colOff>
      <xdr:row>4</xdr:row>
      <xdr:rowOff>9745</xdr:rowOff>
    </xdr:to>
    <xdr:sp macro="" textlink="">
      <xdr:nvSpPr>
        <xdr:cNvPr id="41" name="Text Box 81">
          <a:extLst>
            <a:ext uri="{FF2B5EF4-FFF2-40B4-BE49-F238E27FC236}">
              <a16:creationId xmlns:a16="http://schemas.microsoft.com/office/drawing/2014/main" id="{C8B30F9C-FECD-46C2-8168-86E7117ED24E}"/>
            </a:ext>
          </a:extLst>
        </xdr:cNvPr>
        <xdr:cNvSpPr txBox="1">
          <a:spLocks noChangeArrowheads="1"/>
        </xdr:cNvSpPr>
      </xdr:nvSpPr>
      <xdr:spPr bwMode="auto">
        <a:xfrm>
          <a:off x="11510010" y="792480"/>
          <a:ext cx="166637"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600710</xdr:colOff>
      <xdr:row>4</xdr:row>
      <xdr:rowOff>28575</xdr:rowOff>
    </xdr:from>
    <xdr:to>
      <xdr:col>18</xdr:col>
      <xdr:colOff>18342</xdr:colOff>
      <xdr:row>4</xdr:row>
      <xdr:rowOff>228600</xdr:rowOff>
    </xdr:to>
    <xdr:sp macro="" textlink="">
      <xdr:nvSpPr>
        <xdr:cNvPr id="42" name="Text Box 82">
          <a:extLst>
            <a:ext uri="{FF2B5EF4-FFF2-40B4-BE49-F238E27FC236}">
              <a16:creationId xmlns:a16="http://schemas.microsoft.com/office/drawing/2014/main" id="{7AF211DD-0E93-4656-A5F2-1A458DB8ABC7}"/>
            </a:ext>
          </a:extLst>
        </xdr:cNvPr>
        <xdr:cNvSpPr txBox="1">
          <a:spLocks noChangeArrowheads="1"/>
        </xdr:cNvSpPr>
      </xdr:nvSpPr>
      <xdr:spPr bwMode="auto">
        <a:xfrm>
          <a:off x="11511915" y="1019175"/>
          <a:ext cx="174975"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8</xdr:row>
      <xdr:rowOff>49530</xdr:rowOff>
    </xdr:from>
    <xdr:to>
      <xdr:col>18</xdr:col>
      <xdr:colOff>28505</xdr:colOff>
      <xdr:row>9</xdr:row>
      <xdr:rowOff>9745</xdr:rowOff>
    </xdr:to>
    <xdr:sp macro="" textlink="">
      <xdr:nvSpPr>
        <xdr:cNvPr id="43" name="Text Box 85">
          <a:extLst>
            <a:ext uri="{FF2B5EF4-FFF2-40B4-BE49-F238E27FC236}">
              <a16:creationId xmlns:a16="http://schemas.microsoft.com/office/drawing/2014/main" id="{68D0E306-8417-4E8E-919A-98C74A25EF72}"/>
            </a:ext>
          </a:extLst>
        </xdr:cNvPr>
        <xdr:cNvSpPr txBox="1">
          <a:spLocks noChangeArrowheads="1"/>
        </xdr:cNvSpPr>
      </xdr:nvSpPr>
      <xdr:spPr bwMode="auto">
        <a:xfrm>
          <a:off x="11517630" y="2030730"/>
          <a:ext cx="178995"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492125</xdr:colOff>
      <xdr:row>6</xdr:row>
      <xdr:rowOff>49530</xdr:rowOff>
    </xdr:from>
    <xdr:to>
      <xdr:col>17</xdr:col>
      <xdr:colOff>28720</xdr:colOff>
      <xdr:row>7</xdr:row>
      <xdr:rowOff>9745</xdr:rowOff>
    </xdr:to>
    <xdr:sp macro="" textlink="">
      <xdr:nvSpPr>
        <xdr:cNvPr id="44" name="Text Box 86">
          <a:extLst>
            <a:ext uri="{FF2B5EF4-FFF2-40B4-BE49-F238E27FC236}">
              <a16:creationId xmlns:a16="http://schemas.microsoft.com/office/drawing/2014/main" id="{A47AA6B2-CD7E-4CD9-9192-D67D2FD4F8BD}"/>
            </a:ext>
          </a:extLst>
        </xdr:cNvPr>
        <xdr:cNvSpPr txBox="1">
          <a:spLocks noChangeArrowheads="1"/>
        </xdr:cNvSpPr>
      </xdr:nvSpPr>
      <xdr:spPr bwMode="auto">
        <a:xfrm>
          <a:off x="10786110" y="1535430"/>
          <a:ext cx="167140"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7</xdr:row>
      <xdr:rowOff>49530</xdr:rowOff>
    </xdr:from>
    <xdr:to>
      <xdr:col>18</xdr:col>
      <xdr:colOff>28505</xdr:colOff>
      <xdr:row>8</xdr:row>
      <xdr:rowOff>9745</xdr:rowOff>
    </xdr:to>
    <xdr:sp macro="" textlink="">
      <xdr:nvSpPr>
        <xdr:cNvPr id="45" name="Text Box 87">
          <a:extLst>
            <a:ext uri="{FF2B5EF4-FFF2-40B4-BE49-F238E27FC236}">
              <a16:creationId xmlns:a16="http://schemas.microsoft.com/office/drawing/2014/main" id="{229A77CD-1457-4F5C-9A92-221853EBA5CE}"/>
            </a:ext>
          </a:extLst>
        </xdr:cNvPr>
        <xdr:cNvSpPr txBox="1">
          <a:spLocks noChangeArrowheads="1"/>
        </xdr:cNvSpPr>
      </xdr:nvSpPr>
      <xdr:spPr bwMode="auto">
        <a:xfrm>
          <a:off x="11517630" y="1783080"/>
          <a:ext cx="178995"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492125</xdr:colOff>
      <xdr:row>7</xdr:row>
      <xdr:rowOff>47625</xdr:rowOff>
    </xdr:from>
    <xdr:to>
      <xdr:col>17</xdr:col>
      <xdr:colOff>28720</xdr:colOff>
      <xdr:row>8</xdr:row>
      <xdr:rowOff>0</xdr:rowOff>
    </xdr:to>
    <xdr:sp macro="" textlink="">
      <xdr:nvSpPr>
        <xdr:cNvPr id="46" name="Text Box 88">
          <a:extLst>
            <a:ext uri="{FF2B5EF4-FFF2-40B4-BE49-F238E27FC236}">
              <a16:creationId xmlns:a16="http://schemas.microsoft.com/office/drawing/2014/main" id="{69975C4C-990A-4401-AFC2-B000A2707A4C}"/>
            </a:ext>
          </a:extLst>
        </xdr:cNvPr>
        <xdr:cNvSpPr txBox="1">
          <a:spLocks noChangeArrowheads="1"/>
        </xdr:cNvSpPr>
      </xdr:nvSpPr>
      <xdr:spPr bwMode="auto">
        <a:xfrm>
          <a:off x="10786110" y="1781175"/>
          <a:ext cx="16714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528320</xdr:colOff>
      <xdr:row>67</xdr:row>
      <xdr:rowOff>85725</xdr:rowOff>
    </xdr:from>
    <xdr:to>
      <xdr:col>11</xdr:col>
      <xdr:colOff>172247</xdr:colOff>
      <xdr:row>68</xdr:row>
      <xdr:rowOff>0</xdr:rowOff>
    </xdr:to>
    <xdr:sp macro="" textlink="">
      <xdr:nvSpPr>
        <xdr:cNvPr id="47" name="Text Box 150">
          <a:extLst>
            <a:ext uri="{FF2B5EF4-FFF2-40B4-BE49-F238E27FC236}">
              <a16:creationId xmlns:a16="http://schemas.microsoft.com/office/drawing/2014/main" id="{540C4ED2-A170-4C0D-A9A2-D60FA1C5F52A}"/>
            </a:ext>
          </a:extLst>
        </xdr:cNvPr>
        <xdr:cNvSpPr txBox="1">
          <a:spLocks noChangeArrowheads="1"/>
        </xdr:cNvSpPr>
      </xdr:nvSpPr>
      <xdr:spPr bwMode="auto">
        <a:xfrm>
          <a:off x="6374130" y="16287750"/>
          <a:ext cx="165656" cy="161925"/>
        </a:xfrm>
        <a:prstGeom prst="rect">
          <a:avLst/>
        </a:prstGeom>
        <a:noFill/>
        <a:ln w="9525">
          <a:no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a:t>
          </a:r>
        </a:p>
      </xdr:txBody>
    </xdr:sp>
    <xdr:clientData/>
  </xdr:twoCellAnchor>
  <xdr:twoCellAnchor>
    <xdr:from>
      <xdr:col>9</xdr:col>
      <xdr:colOff>1224915</xdr:colOff>
      <xdr:row>75</xdr:row>
      <xdr:rowOff>85725</xdr:rowOff>
    </xdr:from>
    <xdr:to>
      <xdr:col>9</xdr:col>
      <xdr:colOff>1224915</xdr:colOff>
      <xdr:row>76</xdr:row>
      <xdr:rowOff>38100</xdr:rowOff>
    </xdr:to>
    <xdr:sp macro="" textlink="">
      <xdr:nvSpPr>
        <xdr:cNvPr id="48" name="Text Box 158">
          <a:extLst>
            <a:ext uri="{FF2B5EF4-FFF2-40B4-BE49-F238E27FC236}">
              <a16:creationId xmlns:a16="http://schemas.microsoft.com/office/drawing/2014/main" id="{0B9AD546-5097-4C6E-AEBF-7ECDEFF18BDD}"/>
            </a:ext>
          </a:extLst>
        </xdr:cNvPr>
        <xdr:cNvSpPr txBox="1">
          <a:spLocks noChangeArrowheads="1"/>
        </xdr:cNvSpPr>
      </xdr:nvSpPr>
      <xdr:spPr bwMode="auto">
        <a:xfrm>
          <a:off x="5366385" y="18268950"/>
          <a:ext cx="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49" name="Text Box 159">
          <a:extLst>
            <a:ext uri="{FF2B5EF4-FFF2-40B4-BE49-F238E27FC236}">
              <a16:creationId xmlns:a16="http://schemas.microsoft.com/office/drawing/2014/main" id="{7CE84F5F-6D48-4513-909B-9B543BD55A36}"/>
            </a:ext>
          </a:extLst>
        </xdr:cNvPr>
        <xdr:cNvSpPr txBox="1">
          <a:spLocks noChangeArrowheads="1"/>
        </xdr:cNvSpPr>
      </xdr:nvSpPr>
      <xdr:spPr bwMode="auto">
        <a:xfrm>
          <a:off x="5915025" y="18268950"/>
          <a:ext cx="25315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50" name="Text Box 160">
          <a:extLst>
            <a:ext uri="{FF2B5EF4-FFF2-40B4-BE49-F238E27FC236}">
              <a16:creationId xmlns:a16="http://schemas.microsoft.com/office/drawing/2014/main" id="{01B9608B-FDBF-44D7-ABAC-4ED4AA152A2E}"/>
            </a:ext>
          </a:extLst>
        </xdr:cNvPr>
        <xdr:cNvSpPr txBox="1">
          <a:spLocks noChangeArrowheads="1"/>
        </xdr:cNvSpPr>
      </xdr:nvSpPr>
      <xdr:spPr bwMode="auto">
        <a:xfrm>
          <a:off x="5915025" y="18268950"/>
          <a:ext cx="25315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51" name="Text Box 161">
          <a:extLst>
            <a:ext uri="{FF2B5EF4-FFF2-40B4-BE49-F238E27FC236}">
              <a16:creationId xmlns:a16="http://schemas.microsoft.com/office/drawing/2014/main" id="{C947655D-7AAC-4A8F-9920-0FFF0028509D}"/>
            </a:ext>
          </a:extLst>
        </xdr:cNvPr>
        <xdr:cNvSpPr txBox="1">
          <a:spLocks noChangeArrowheads="1"/>
        </xdr:cNvSpPr>
      </xdr:nvSpPr>
      <xdr:spPr bwMode="auto">
        <a:xfrm>
          <a:off x="5915025" y="18268950"/>
          <a:ext cx="25315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52" name="Text Box 162">
          <a:extLst>
            <a:ext uri="{FF2B5EF4-FFF2-40B4-BE49-F238E27FC236}">
              <a16:creationId xmlns:a16="http://schemas.microsoft.com/office/drawing/2014/main" id="{1DD37499-65DA-41FE-9EB9-195CCD58C268}"/>
            </a:ext>
          </a:extLst>
        </xdr:cNvPr>
        <xdr:cNvSpPr txBox="1">
          <a:spLocks noChangeArrowheads="1"/>
        </xdr:cNvSpPr>
      </xdr:nvSpPr>
      <xdr:spPr bwMode="auto">
        <a:xfrm>
          <a:off x="5915025" y="18268950"/>
          <a:ext cx="25315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6</xdr:col>
      <xdr:colOff>286385</xdr:colOff>
      <xdr:row>26</xdr:row>
      <xdr:rowOff>49530</xdr:rowOff>
    </xdr:from>
    <xdr:to>
      <xdr:col>7</xdr:col>
      <xdr:colOff>29104</xdr:colOff>
      <xdr:row>27</xdr:row>
      <xdr:rowOff>9745</xdr:rowOff>
    </xdr:to>
    <xdr:sp macro="" textlink="">
      <xdr:nvSpPr>
        <xdr:cNvPr id="53" name="Text Box 36">
          <a:extLst>
            <a:ext uri="{FF2B5EF4-FFF2-40B4-BE49-F238E27FC236}">
              <a16:creationId xmlns:a16="http://schemas.microsoft.com/office/drawing/2014/main" id="{BDD93030-BC5B-43C2-ACF5-39F105AC82F2}"/>
            </a:ext>
          </a:extLst>
        </xdr:cNvPr>
        <xdr:cNvSpPr txBox="1">
          <a:spLocks noChangeArrowheads="1"/>
        </xdr:cNvSpPr>
      </xdr:nvSpPr>
      <xdr:spPr bwMode="auto">
        <a:xfrm>
          <a:off x="3348990" y="6631305"/>
          <a:ext cx="223340"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13</xdr:col>
      <xdr:colOff>16139</xdr:colOff>
      <xdr:row>54</xdr:row>
      <xdr:rowOff>146367</xdr:rowOff>
    </xdr:from>
    <xdr:to>
      <xdr:col>19</xdr:col>
      <xdr:colOff>63764</xdr:colOff>
      <xdr:row>55</xdr:row>
      <xdr:rowOff>114665</xdr:rowOff>
    </xdr:to>
    <xdr:sp macro="" textlink="">
      <xdr:nvSpPr>
        <xdr:cNvPr id="2" name="Text Box 1">
          <a:extLst>
            <a:ext uri="{FF2B5EF4-FFF2-40B4-BE49-F238E27FC236}">
              <a16:creationId xmlns:a16="http://schemas.microsoft.com/office/drawing/2014/main" id="{BCE87F2A-ACE8-40A8-9CD0-16342C3E11A9}"/>
            </a:ext>
          </a:extLst>
        </xdr:cNvPr>
        <xdr:cNvSpPr txBox="1">
          <a:spLocks noChangeArrowheads="1"/>
        </xdr:cNvSpPr>
      </xdr:nvSpPr>
      <xdr:spPr bwMode="auto">
        <a:xfrm>
          <a:off x="5147733" y="11242992"/>
          <a:ext cx="3679031" cy="295254"/>
        </a:xfrm>
        <a:prstGeom prst="rect">
          <a:avLst/>
        </a:prstGeom>
        <a:noFill/>
        <a:ln w="9525">
          <a:noFill/>
          <a:miter lim="800000"/>
          <a:headEnd/>
          <a:tailEnd/>
        </a:ln>
      </xdr:spPr>
      <xdr:txBody>
        <a:bodyPr vertOverflow="clip" wrap="square" lIns="36576" tIns="22860" rIns="0" bIns="0" anchor="t" upright="1"/>
        <a:lstStyle/>
        <a:p>
          <a:pPr algn="l" rtl="1">
            <a:defRPr sz="1000"/>
          </a:pPr>
          <a:r>
            <a:rPr lang="en-US" sz="1200" b="1" i="0" strike="noStrike">
              <a:solidFill>
                <a:srgbClr val="000000"/>
              </a:solidFill>
              <a:latin typeface="Tahoma"/>
              <a:cs typeface="Tahoma"/>
            </a:rPr>
            <a:t>Signature :- ……………………………</a:t>
          </a:r>
        </a:p>
      </xdr:txBody>
    </xdr:sp>
    <xdr:clientData/>
  </xdr:twoCellAnchor>
  <xdr:twoCellAnchor>
    <xdr:from>
      <xdr:col>8</xdr:col>
      <xdr:colOff>828728</xdr:colOff>
      <xdr:row>2</xdr:row>
      <xdr:rowOff>30162</xdr:rowOff>
    </xdr:from>
    <xdr:to>
      <xdr:col>14</xdr:col>
      <xdr:colOff>60433</xdr:colOff>
      <xdr:row>3</xdr:row>
      <xdr:rowOff>112836</xdr:rowOff>
    </xdr:to>
    <xdr:sp macro="" textlink="">
      <xdr:nvSpPr>
        <xdr:cNvPr id="3" name="WordArt 111">
          <a:extLst>
            <a:ext uri="{FF2B5EF4-FFF2-40B4-BE49-F238E27FC236}">
              <a16:creationId xmlns:a16="http://schemas.microsoft.com/office/drawing/2014/main" id="{AF7B9226-3339-4DEF-A599-A71EFC17151E}"/>
            </a:ext>
          </a:extLst>
        </xdr:cNvPr>
        <xdr:cNvSpPr>
          <a:spLocks noChangeArrowheads="1" noChangeShapeType="1" noTextEdit="1"/>
        </xdr:cNvSpPr>
      </xdr:nvSpPr>
      <xdr:spPr bwMode="auto">
        <a:xfrm>
          <a:off x="3584787" y="1023937"/>
          <a:ext cx="1946160" cy="247952"/>
        </a:xfrm>
        <a:prstGeom prst="rect">
          <a:avLst/>
        </a:prstGeom>
      </xdr:spPr>
      <xdr:txBody>
        <a:bodyPr wrap="none" fromWordArt="1">
          <a:prstTxWarp prst="textPlain">
            <a:avLst>
              <a:gd name="adj" fmla="val 50000"/>
            </a:avLst>
          </a:prstTxWarp>
        </a:bodyPr>
        <a:lstStyle/>
        <a:p>
          <a:pPr algn="ctr" rtl="0"/>
          <a:r>
            <a:rPr lang="en-US" sz="3600" kern="10" spc="0">
              <a:ln w="9525">
                <a:noFill/>
                <a:round/>
                <a:headEnd/>
                <a:tailEnd/>
              </a:ln>
              <a:solidFill>
                <a:srgbClr val="336699"/>
              </a:solidFill>
              <a:effectLst/>
              <a:latin typeface="Tahoma"/>
              <a:cs typeface="Tahoma"/>
            </a:rPr>
            <a:t>QUOTATION</a:t>
          </a:r>
        </a:p>
      </xdr:txBody>
    </xdr:sp>
    <xdr:clientData/>
  </xdr:twoCellAnchor>
  <xdr:twoCellAnchor>
    <xdr:from>
      <xdr:col>2</xdr:col>
      <xdr:colOff>65881</xdr:colOff>
      <xdr:row>1</xdr:row>
      <xdr:rowOff>52387</xdr:rowOff>
    </xdr:from>
    <xdr:to>
      <xdr:col>8</xdr:col>
      <xdr:colOff>9791</xdr:colOff>
      <xdr:row>1</xdr:row>
      <xdr:rowOff>309562</xdr:rowOff>
    </xdr:to>
    <xdr:sp macro="" textlink="">
      <xdr:nvSpPr>
        <xdr:cNvPr id="4" name="WordArt 111">
          <a:extLst>
            <a:ext uri="{FF2B5EF4-FFF2-40B4-BE49-F238E27FC236}">
              <a16:creationId xmlns:a16="http://schemas.microsoft.com/office/drawing/2014/main" id="{EACD805A-D034-4F21-A821-A7533CA4AD6C}"/>
            </a:ext>
          </a:extLst>
        </xdr:cNvPr>
        <xdr:cNvSpPr>
          <a:spLocks noChangeArrowheads="1" noChangeShapeType="1" noTextEdit="1"/>
        </xdr:cNvSpPr>
      </xdr:nvSpPr>
      <xdr:spPr bwMode="auto">
        <a:xfrm>
          <a:off x="309562" y="623887"/>
          <a:ext cx="2504545" cy="257175"/>
        </a:xfrm>
        <a:prstGeom prst="rect">
          <a:avLst/>
        </a:prstGeom>
      </xdr:spPr>
      <xdr:txBody>
        <a:bodyPr wrap="none" fromWordArt="1">
          <a:prstTxWarp prst="textPlain">
            <a:avLst>
              <a:gd name="adj" fmla="val 50000"/>
            </a:avLst>
          </a:prstTxWarp>
        </a:bodyPr>
        <a:lstStyle/>
        <a:p>
          <a:pPr algn="l" rtl="0"/>
          <a:r>
            <a:rPr lang="en-US" sz="3600" kern="10" spc="0">
              <a:ln w="9525">
                <a:noFill/>
                <a:round/>
                <a:headEnd/>
                <a:tailEnd/>
              </a:ln>
              <a:solidFill>
                <a:schemeClr val="tx2">
                  <a:lumMod val="75000"/>
                </a:schemeClr>
              </a:solidFill>
              <a:effectLst/>
              <a:latin typeface="Tahoma"/>
              <a:cs typeface="Tahoma"/>
            </a:rPr>
            <a:t>Comprehensive Cover</a:t>
          </a:r>
        </a:p>
      </xdr:txBody>
    </xdr:sp>
    <xdr:clientData/>
  </xdr:twoCellAnchor>
  <xdr:twoCellAnchor editAs="oneCell">
    <xdr:from>
      <xdr:col>17</xdr:col>
      <xdr:colOff>63500</xdr:colOff>
      <xdr:row>27</xdr:row>
      <xdr:rowOff>63500</xdr:rowOff>
    </xdr:from>
    <xdr:to>
      <xdr:col>18</xdr:col>
      <xdr:colOff>25400</xdr:colOff>
      <xdr:row>31</xdr:row>
      <xdr:rowOff>158750</xdr:rowOff>
    </xdr:to>
    <xdr:pic>
      <xdr:nvPicPr>
        <xdr:cNvPr id="144664" name="Picture 85" descr="C:\Users\mumtaz\Downloads\motorcycle-types-objects-icons-set-vector-6122963.jpg">
          <a:extLst>
            <a:ext uri="{FF2B5EF4-FFF2-40B4-BE49-F238E27FC236}">
              <a16:creationId xmlns:a16="http://schemas.microsoft.com/office/drawing/2014/main" id="{AA27B6F0-66E5-48B8-AA6B-D0E0F32459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64932" t="4869" r="5272" b="78262"/>
        <a:stretch>
          <a:fillRect/>
        </a:stretch>
      </xdr:blipFill>
      <xdr:spPr bwMode="auto">
        <a:xfrm>
          <a:off x="7232650" y="5727700"/>
          <a:ext cx="1701800"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425450</xdr:colOff>
      <xdr:row>0</xdr:row>
      <xdr:rowOff>158750</xdr:rowOff>
    </xdr:from>
    <xdr:to>
      <xdr:col>18</xdr:col>
      <xdr:colOff>146050</xdr:colOff>
      <xdr:row>2</xdr:row>
      <xdr:rowOff>114300</xdr:rowOff>
    </xdr:to>
    <xdr:pic>
      <xdr:nvPicPr>
        <xdr:cNvPr id="144665" name="Picture 84" descr="C:\Users\mumtaz\Desktop\ATI Logo\Amana-Logos-04.png">
          <a:extLst>
            <a:ext uri="{FF2B5EF4-FFF2-40B4-BE49-F238E27FC236}">
              <a16:creationId xmlns:a16="http://schemas.microsoft.com/office/drawing/2014/main" id="{B3D49E49-94B9-4BDF-8246-5600365AAFD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13503" t="35825" r="11176" b="32567"/>
        <a:stretch>
          <a:fillRect/>
        </a:stretch>
      </xdr:blipFill>
      <xdr:spPr bwMode="auto">
        <a:xfrm>
          <a:off x="6223000" y="158750"/>
          <a:ext cx="2832100"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5</xdr:col>
      <xdr:colOff>593090</xdr:colOff>
      <xdr:row>39</xdr:row>
      <xdr:rowOff>28575</xdr:rowOff>
    </xdr:from>
    <xdr:to>
      <xdr:col>5</xdr:col>
      <xdr:colOff>1293540</xdr:colOff>
      <xdr:row>39</xdr:row>
      <xdr:rowOff>171450</xdr:rowOff>
    </xdr:to>
    <xdr:sp macro="" textlink="">
      <xdr:nvSpPr>
        <xdr:cNvPr id="2" name="Text Box 48">
          <a:extLst>
            <a:ext uri="{FF2B5EF4-FFF2-40B4-BE49-F238E27FC236}">
              <a16:creationId xmlns:a16="http://schemas.microsoft.com/office/drawing/2014/main" id="{66E71DED-95E0-40A8-9750-E4982A19BC6C}"/>
            </a:ext>
          </a:extLst>
        </xdr:cNvPr>
        <xdr:cNvSpPr txBox="1">
          <a:spLocks noChangeArrowheads="1"/>
        </xdr:cNvSpPr>
      </xdr:nvSpPr>
      <xdr:spPr bwMode="auto">
        <a:xfrm>
          <a:off x="1524000" y="7439025"/>
          <a:ext cx="664791" cy="14287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on vehicle</a:t>
          </a:r>
        </a:p>
      </xdr:txBody>
    </xdr:sp>
    <xdr:clientData/>
  </xdr:twoCellAnchor>
  <xdr:twoCellAnchor>
    <xdr:from>
      <xdr:col>5</xdr:col>
      <xdr:colOff>1171575</xdr:colOff>
      <xdr:row>41</xdr:row>
      <xdr:rowOff>79375</xdr:rowOff>
    </xdr:from>
    <xdr:to>
      <xdr:col>5</xdr:col>
      <xdr:colOff>1838212</xdr:colOff>
      <xdr:row>41</xdr:row>
      <xdr:rowOff>231775</xdr:rowOff>
    </xdr:to>
    <xdr:sp macro="" textlink="">
      <xdr:nvSpPr>
        <xdr:cNvPr id="3" name="Text Box 49">
          <a:extLst>
            <a:ext uri="{FF2B5EF4-FFF2-40B4-BE49-F238E27FC236}">
              <a16:creationId xmlns:a16="http://schemas.microsoft.com/office/drawing/2014/main" id="{4552481E-FD29-4CF2-B975-8E232C29928C}"/>
            </a:ext>
          </a:extLst>
        </xdr:cNvPr>
        <xdr:cNvSpPr txBox="1">
          <a:spLocks noChangeArrowheads="1"/>
        </xdr:cNvSpPr>
      </xdr:nvSpPr>
      <xdr:spPr bwMode="auto">
        <a:xfrm>
          <a:off x="2066925" y="7889875"/>
          <a:ext cx="638731" cy="152400"/>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on vehicle</a:t>
          </a:r>
        </a:p>
      </xdr:txBody>
    </xdr:sp>
    <xdr:clientData/>
  </xdr:twoCellAnchor>
  <xdr:twoCellAnchor>
    <xdr:from>
      <xdr:col>3</xdr:col>
      <xdr:colOff>174625</xdr:colOff>
      <xdr:row>0</xdr:row>
      <xdr:rowOff>88900</xdr:rowOff>
    </xdr:from>
    <xdr:to>
      <xdr:col>7</xdr:col>
      <xdr:colOff>737902</xdr:colOff>
      <xdr:row>0</xdr:row>
      <xdr:rowOff>482600</xdr:rowOff>
    </xdr:to>
    <xdr:sp macro="" textlink="">
      <xdr:nvSpPr>
        <xdr:cNvPr id="4" name="Text Box 65">
          <a:extLst>
            <a:ext uri="{FF2B5EF4-FFF2-40B4-BE49-F238E27FC236}">
              <a16:creationId xmlns:a16="http://schemas.microsoft.com/office/drawing/2014/main" id="{0CD0DE41-A2FE-4657-ABD3-B8A10C2FEF98}"/>
            </a:ext>
          </a:extLst>
        </xdr:cNvPr>
        <xdr:cNvSpPr txBox="1">
          <a:spLocks noChangeArrowheads="1"/>
        </xdr:cNvSpPr>
      </xdr:nvSpPr>
      <xdr:spPr bwMode="auto">
        <a:xfrm>
          <a:off x="622300" y="88900"/>
          <a:ext cx="3567436" cy="393700"/>
        </a:xfrm>
        <a:prstGeom prst="rect">
          <a:avLst/>
        </a:prstGeom>
        <a:noFill/>
        <a:ln w="9525">
          <a:noFill/>
          <a:miter lim="800000"/>
          <a:headEnd/>
          <a:tailEnd/>
        </a:ln>
      </xdr:spPr>
      <xdr:txBody>
        <a:bodyPr vertOverflow="clip" wrap="square" lIns="45720" tIns="32004" rIns="45720" bIns="0" anchor="t" upright="1">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l" rtl="1">
            <a:defRPr sz="1000"/>
          </a:pPr>
          <a:r>
            <a:rPr lang="en-US" sz="1600" b="1" i="0" u="sng" strike="noStrike" cap="none" spc="50">
              <a:ln w="11430"/>
              <a:solidFill>
                <a:srgbClr val="FF0000"/>
              </a:solidFill>
              <a:effectLst>
                <a:outerShdw blurRad="76200" dist="50800" dir="5400000" algn="tl" rotWithShape="0">
                  <a:srgbClr val="000000">
                    <a:alpha val="65000"/>
                  </a:srgbClr>
                </a:outerShdw>
              </a:effectLst>
              <a:latin typeface="Tahoma"/>
              <a:cs typeface="Tahoma"/>
            </a:rPr>
            <a:t>Premium Working</a:t>
          </a:r>
        </a:p>
      </xdr:txBody>
    </xdr:sp>
    <xdr:clientData/>
  </xdr:twoCellAnchor>
  <xdr:twoCellAnchor>
    <xdr:from>
      <xdr:col>3</xdr:col>
      <xdr:colOff>104775</xdr:colOff>
      <xdr:row>68</xdr:row>
      <xdr:rowOff>38100</xdr:rowOff>
    </xdr:from>
    <xdr:to>
      <xdr:col>5</xdr:col>
      <xdr:colOff>831885</xdr:colOff>
      <xdr:row>70</xdr:row>
      <xdr:rowOff>26061</xdr:rowOff>
    </xdr:to>
    <xdr:sp macro="" textlink="">
      <xdr:nvSpPr>
        <xdr:cNvPr id="5" name="Text Box 66">
          <a:extLst>
            <a:ext uri="{FF2B5EF4-FFF2-40B4-BE49-F238E27FC236}">
              <a16:creationId xmlns:a16="http://schemas.microsoft.com/office/drawing/2014/main" id="{286149FC-854C-4D67-90D7-4C0CFAB6E2ED}"/>
            </a:ext>
          </a:extLst>
        </xdr:cNvPr>
        <xdr:cNvSpPr txBox="1">
          <a:spLocks noChangeArrowheads="1"/>
        </xdr:cNvSpPr>
      </xdr:nvSpPr>
      <xdr:spPr bwMode="auto">
        <a:xfrm>
          <a:off x="552450" y="12011025"/>
          <a:ext cx="1196512" cy="273711"/>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000000"/>
              </a:solidFill>
              <a:latin typeface="Tahoma"/>
              <a:cs typeface="Tahoma"/>
            </a:rPr>
            <a:t>Date of Issue :-</a:t>
          </a:r>
        </a:p>
      </xdr:txBody>
    </xdr:sp>
    <xdr:clientData/>
  </xdr:twoCellAnchor>
  <xdr:twoCellAnchor>
    <xdr:from>
      <xdr:col>5</xdr:col>
      <xdr:colOff>1397000</xdr:colOff>
      <xdr:row>48</xdr:row>
      <xdr:rowOff>29845</xdr:rowOff>
    </xdr:from>
    <xdr:to>
      <xdr:col>7</xdr:col>
      <xdr:colOff>164201</xdr:colOff>
      <xdr:row>48</xdr:row>
      <xdr:rowOff>190220</xdr:rowOff>
    </xdr:to>
    <xdr:sp macro="" textlink="">
      <xdr:nvSpPr>
        <xdr:cNvPr id="6" name="Text Box 375">
          <a:extLst>
            <a:ext uri="{FF2B5EF4-FFF2-40B4-BE49-F238E27FC236}">
              <a16:creationId xmlns:a16="http://schemas.microsoft.com/office/drawing/2014/main" id="{A0ECDA62-2AB3-4EA3-82A4-273BE9121AD2}"/>
            </a:ext>
          </a:extLst>
        </xdr:cNvPr>
        <xdr:cNvSpPr txBox="1">
          <a:spLocks noChangeArrowheads="1"/>
        </xdr:cNvSpPr>
      </xdr:nvSpPr>
      <xdr:spPr bwMode="auto">
        <a:xfrm>
          <a:off x="2286000" y="9255125"/>
          <a:ext cx="1350374" cy="16037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0" i="0" strike="noStrike">
              <a:solidFill>
                <a:srgbClr val="000000"/>
              </a:solidFill>
              <a:latin typeface="Tahoma"/>
              <a:cs typeface="Tahoma"/>
            </a:rPr>
            <a:t>Required Amount</a:t>
          </a:r>
        </a:p>
      </xdr:txBody>
    </xdr:sp>
    <xdr:clientData/>
  </xdr:twoCellAnchor>
  <xdr:twoCellAnchor>
    <xdr:from>
      <xdr:col>7</xdr:col>
      <xdr:colOff>1278890</xdr:colOff>
      <xdr:row>19</xdr:row>
      <xdr:rowOff>635</xdr:rowOff>
    </xdr:from>
    <xdr:to>
      <xdr:col>8</xdr:col>
      <xdr:colOff>341261</xdr:colOff>
      <xdr:row>20</xdr:row>
      <xdr:rowOff>2473</xdr:rowOff>
    </xdr:to>
    <xdr:sp macro="" textlink="">
      <xdr:nvSpPr>
        <xdr:cNvPr id="7" name="Text Box 463">
          <a:extLst>
            <a:ext uri="{FF2B5EF4-FFF2-40B4-BE49-F238E27FC236}">
              <a16:creationId xmlns:a16="http://schemas.microsoft.com/office/drawing/2014/main" id="{41FA3EDB-8DAC-42BF-B65C-68AE3D773495}"/>
            </a:ext>
          </a:extLst>
        </xdr:cNvPr>
        <xdr:cNvSpPr txBox="1">
          <a:spLocks noChangeArrowheads="1"/>
        </xdr:cNvSpPr>
      </xdr:nvSpPr>
      <xdr:spPr bwMode="auto">
        <a:xfrm>
          <a:off x="4709160" y="4391660"/>
          <a:ext cx="335677" cy="21549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%e</a:t>
          </a:r>
        </a:p>
      </xdr:txBody>
    </xdr:sp>
    <xdr:clientData/>
  </xdr:twoCellAnchor>
  <xdr:twoCellAnchor>
    <xdr:from>
      <xdr:col>7</xdr:col>
      <xdr:colOff>41275</xdr:colOff>
      <xdr:row>68</xdr:row>
      <xdr:rowOff>49530</xdr:rowOff>
    </xdr:from>
    <xdr:to>
      <xdr:col>12</xdr:col>
      <xdr:colOff>695697</xdr:colOff>
      <xdr:row>70</xdr:row>
      <xdr:rowOff>102470</xdr:rowOff>
    </xdr:to>
    <xdr:sp macro="" textlink="">
      <xdr:nvSpPr>
        <xdr:cNvPr id="8" name="Text Box 469" descr="Large grid">
          <a:extLst>
            <a:ext uri="{FF2B5EF4-FFF2-40B4-BE49-F238E27FC236}">
              <a16:creationId xmlns:a16="http://schemas.microsoft.com/office/drawing/2014/main" id="{EE759522-89EF-4B2E-B582-A7FCA8E2456F}"/>
            </a:ext>
          </a:extLst>
        </xdr:cNvPr>
        <xdr:cNvSpPr txBox="1">
          <a:spLocks noChangeArrowheads="1"/>
        </xdr:cNvSpPr>
      </xdr:nvSpPr>
      <xdr:spPr bwMode="auto">
        <a:xfrm>
          <a:off x="3527425" y="12030075"/>
          <a:ext cx="4449196" cy="331021"/>
        </a:xfrm>
        <a:prstGeom prst="rect">
          <a:avLst/>
        </a:prstGeom>
        <a:pattFill prst="lgGrid">
          <a:fgClr>
            <a:srgbClr val="000000">
              <a:alpha val="22000"/>
            </a:srgbClr>
          </a:fgClr>
          <a:bgClr>
            <a:srgbClr val="FFFFFF">
              <a:alpha val="22000"/>
            </a:srgbClr>
          </a:bgClr>
        </a:pattFill>
        <a:ln w="9525">
          <a:solidFill>
            <a:srgbClr val="800000"/>
          </a:solidFill>
          <a:miter lim="800000"/>
          <a:headEnd/>
          <a:tailEnd/>
        </a:ln>
      </xdr:spPr>
      <xdr:txBody>
        <a:bodyPr vertOverflow="clip" wrap="square" lIns="36576" tIns="27432" rIns="36576" bIns="0" anchor="t" upright="1"/>
        <a:lstStyle/>
        <a:p>
          <a:pPr algn="ctr" rtl="1">
            <a:defRPr sz="1000"/>
          </a:pPr>
          <a:r>
            <a:rPr lang="en-US" sz="1400" b="1" i="0" strike="noStrike">
              <a:solidFill>
                <a:srgbClr val="000000"/>
              </a:solidFill>
              <a:latin typeface="Tahoma"/>
              <a:cs typeface="Tahoma"/>
            </a:rPr>
            <a:t>This documents is for office use only</a:t>
          </a:r>
        </a:p>
        <a:p>
          <a:pPr algn="ctr" rtl="1">
            <a:defRPr sz="1000"/>
          </a:pPr>
          <a:r>
            <a:rPr lang="en-US" sz="1400" b="1" i="0" strike="noStrike">
              <a:solidFill>
                <a:srgbClr val="000000"/>
              </a:solidFill>
              <a:latin typeface="Tahoma"/>
              <a:cs typeface="Tahoma"/>
            </a:rPr>
            <a:t> </a:t>
          </a:r>
        </a:p>
      </xdr:txBody>
    </xdr:sp>
    <xdr:clientData/>
  </xdr:twoCellAnchor>
  <xdr:twoCellAnchor>
    <xdr:from>
      <xdr:col>4</xdr:col>
      <xdr:colOff>104775</xdr:colOff>
      <xdr:row>65</xdr:row>
      <xdr:rowOff>116205</xdr:rowOff>
    </xdr:from>
    <xdr:to>
      <xdr:col>5</xdr:col>
      <xdr:colOff>2301663</xdr:colOff>
      <xdr:row>68</xdr:row>
      <xdr:rowOff>95234</xdr:rowOff>
    </xdr:to>
    <xdr:sp macro="" textlink="">
      <xdr:nvSpPr>
        <xdr:cNvPr id="9" name="Text Box 522">
          <a:extLst>
            <a:ext uri="{FF2B5EF4-FFF2-40B4-BE49-F238E27FC236}">
              <a16:creationId xmlns:a16="http://schemas.microsoft.com/office/drawing/2014/main" id="{C01DE5F3-61F9-4581-BCC6-7A52783453CC}"/>
            </a:ext>
          </a:extLst>
        </xdr:cNvPr>
        <xdr:cNvSpPr txBox="1">
          <a:spLocks noChangeArrowheads="1"/>
        </xdr:cNvSpPr>
      </xdr:nvSpPr>
      <xdr:spPr bwMode="auto">
        <a:xfrm>
          <a:off x="771525" y="11765280"/>
          <a:ext cx="2375753" cy="302879"/>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003300"/>
              </a:solidFill>
              <a:latin typeface="Tahoma"/>
              <a:cs typeface="Tahoma"/>
            </a:rPr>
            <a:t>Special Remarks (write in the box)</a:t>
          </a:r>
        </a:p>
      </xdr:txBody>
    </xdr:sp>
    <xdr:clientData/>
  </xdr:twoCellAnchor>
  <xdr:twoCellAnchor>
    <xdr:from>
      <xdr:col>13</xdr:col>
      <xdr:colOff>147320</xdr:colOff>
      <xdr:row>0</xdr:row>
      <xdr:rowOff>76200</xdr:rowOff>
    </xdr:from>
    <xdr:to>
      <xdr:col>14</xdr:col>
      <xdr:colOff>545853</xdr:colOff>
      <xdr:row>0</xdr:row>
      <xdr:rowOff>295275</xdr:rowOff>
    </xdr:to>
    <xdr:sp macro="" textlink="">
      <xdr:nvSpPr>
        <xdr:cNvPr id="10" name="Text Box 612">
          <a:extLst>
            <a:ext uri="{FF2B5EF4-FFF2-40B4-BE49-F238E27FC236}">
              <a16:creationId xmlns:a16="http://schemas.microsoft.com/office/drawing/2014/main" id="{7A7AB35D-19BB-4E26-8A7F-A8D56F57C078}"/>
            </a:ext>
          </a:extLst>
        </xdr:cNvPr>
        <xdr:cNvSpPr txBox="1">
          <a:spLocks noChangeArrowheads="1"/>
        </xdr:cNvSpPr>
      </xdr:nvSpPr>
      <xdr:spPr bwMode="auto">
        <a:xfrm>
          <a:off x="9148445" y="76200"/>
          <a:ext cx="1132700" cy="219075"/>
        </a:xfrm>
        <a:prstGeom prst="rect">
          <a:avLst/>
        </a:prstGeom>
        <a:solidFill>
          <a:srgbClr val="008000"/>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nter Password </a:t>
          </a:r>
        </a:p>
      </xdr:txBody>
    </xdr:sp>
    <xdr:clientData/>
  </xdr:twoCellAnchor>
  <xdr:twoCellAnchor>
    <xdr:from>
      <xdr:col>8</xdr:col>
      <xdr:colOff>3175</xdr:colOff>
      <xdr:row>22</xdr:row>
      <xdr:rowOff>847</xdr:rowOff>
    </xdr:from>
    <xdr:to>
      <xdr:col>8</xdr:col>
      <xdr:colOff>339994</xdr:colOff>
      <xdr:row>23</xdr:row>
      <xdr:rowOff>2731</xdr:rowOff>
    </xdr:to>
    <xdr:sp macro="" textlink="">
      <xdr:nvSpPr>
        <xdr:cNvPr id="11" name="Text Box 357">
          <a:extLst>
            <a:ext uri="{FF2B5EF4-FFF2-40B4-BE49-F238E27FC236}">
              <a16:creationId xmlns:a16="http://schemas.microsoft.com/office/drawing/2014/main" id="{20D1CD5B-659C-40B4-8D18-C6E4B25FA049}"/>
            </a:ext>
          </a:extLst>
        </xdr:cNvPr>
        <xdr:cNvSpPr txBox="1">
          <a:spLocks noChangeArrowheads="1"/>
        </xdr:cNvSpPr>
      </xdr:nvSpPr>
      <xdr:spPr bwMode="auto">
        <a:xfrm>
          <a:off x="4727575" y="4997450"/>
          <a:ext cx="316743" cy="202459"/>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1235075</xdr:colOff>
      <xdr:row>52</xdr:row>
      <xdr:rowOff>40640</xdr:rowOff>
    </xdr:from>
    <xdr:to>
      <xdr:col>6</xdr:col>
      <xdr:colOff>70370</xdr:colOff>
      <xdr:row>52</xdr:row>
      <xdr:rowOff>197506</xdr:rowOff>
    </xdr:to>
    <xdr:sp macro="" textlink="">
      <xdr:nvSpPr>
        <xdr:cNvPr id="12" name="Text Box 1045">
          <a:extLst>
            <a:ext uri="{FF2B5EF4-FFF2-40B4-BE49-F238E27FC236}">
              <a16:creationId xmlns:a16="http://schemas.microsoft.com/office/drawing/2014/main" id="{A3716E68-F27E-497D-95E4-3D564E664B80}"/>
            </a:ext>
          </a:extLst>
        </xdr:cNvPr>
        <xdr:cNvSpPr txBox="1">
          <a:spLocks noChangeArrowheads="1"/>
        </xdr:cNvSpPr>
      </xdr:nvSpPr>
      <xdr:spPr bwMode="auto">
        <a:xfrm>
          <a:off x="2124075" y="9946640"/>
          <a:ext cx="1110431" cy="156866"/>
        </a:xfrm>
        <a:prstGeom prst="rect">
          <a:avLst/>
        </a:prstGeom>
        <a:solidFill>
          <a:sysClr val="window" lastClr="FFFFFF"/>
        </a:solidFill>
        <a:ln w="9525">
          <a:noFill/>
          <a:miter lim="800000"/>
          <a:headEnd/>
          <a:tailEnd/>
        </a:ln>
      </xdr:spPr>
      <xdr:txBody>
        <a:bodyPr vertOverflow="clip" wrap="square" lIns="27432" tIns="18288" rIns="0" bIns="0" anchor="t" upright="1"/>
        <a:lstStyle/>
        <a:p>
          <a:pPr algn="l" rtl="1">
            <a:defRPr sz="1000"/>
          </a:pPr>
          <a:r>
            <a:rPr lang="en-US" sz="900" b="1" i="0" strike="noStrike">
              <a:solidFill>
                <a:schemeClr val="bg1"/>
              </a:solidFill>
              <a:latin typeface="Tahoma"/>
              <a:cs typeface="Tahoma"/>
            </a:rPr>
            <a:t>Other Air Bags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Travel%20Pal%20-%20Quote%20for%205%20_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72.30.20.100\Branch%20Folders\2021%20-%20JOBS\1%20Quotations%20Formats\2021%20-%20Quotes\Motor\1.%20for%20Underwriters\2021%20-%20Special\Special%20Leasing%20Promotion\2022%20-%20MC%20&amp;%20TW-%20Leasing%20Incentiv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s"/>
      <sheetName val="Data Entry"/>
      <sheetName val="Quote"/>
      <sheetName val="benefits"/>
    </sheetNames>
    <sheetDataSet>
      <sheetData sheetId="0"/>
      <sheetData sheetId="1">
        <row r="4">
          <cell r="AK4">
            <v>1</v>
          </cell>
        </row>
        <row r="5">
          <cell r="AI5">
            <v>1934</v>
          </cell>
          <cell r="AK5">
            <v>2</v>
          </cell>
        </row>
        <row r="6">
          <cell r="AI6">
            <v>1935</v>
          </cell>
          <cell r="AK6">
            <v>3</v>
          </cell>
        </row>
        <row r="7">
          <cell r="AI7">
            <v>1936</v>
          </cell>
          <cell r="AK7">
            <v>4</v>
          </cell>
        </row>
        <row r="8">
          <cell r="AI8">
            <v>1937</v>
          </cell>
          <cell r="AK8">
            <v>5</v>
          </cell>
        </row>
        <row r="9">
          <cell r="AI9">
            <v>1937</v>
          </cell>
          <cell r="AK9">
            <v>6</v>
          </cell>
        </row>
        <row r="10">
          <cell r="AI10">
            <v>1938</v>
          </cell>
          <cell r="AK10">
            <v>7</v>
          </cell>
        </row>
        <row r="11">
          <cell r="AI11">
            <v>1937</v>
          </cell>
          <cell r="AK11">
            <v>8</v>
          </cell>
        </row>
        <row r="12">
          <cell r="AI12">
            <v>1938</v>
          </cell>
          <cell r="AK12">
            <v>9</v>
          </cell>
        </row>
        <row r="13">
          <cell r="AI13">
            <v>1939</v>
          </cell>
          <cell r="AK13">
            <v>10</v>
          </cell>
        </row>
        <row r="14">
          <cell r="AI14">
            <v>1940</v>
          </cell>
          <cell r="AK14">
            <v>11</v>
          </cell>
        </row>
        <row r="15">
          <cell r="AI15">
            <v>1941</v>
          </cell>
          <cell r="AK15">
            <v>12</v>
          </cell>
        </row>
        <row r="16">
          <cell r="AI16">
            <v>1942</v>
          </cell>
          <cell r="AK16">
            <v>13</v>
          </cell>
        </row>
        <row r="17">
          <cell r="AI17">
            <v>1943</v>
          </cell>
          <cell r="AK17">
            <v>14</v>
          </cell>
        </row>
        <row r="18">
          <cell r="AI18">
            <v>1944</v>
          </cell>
          <cell r="AK18">
            <v>15</v>
          </cell>
        </row>
        <row r="19">
          <cell r="AI19">
            <v>1945</v>
          </cell>
          <cell r="AK19">
            <v>16</v>
          </cell>
        </row>
        <row r="20">
          <cell r="AI20">
            <v>1946</v>
          </cell>
          <cell r="AK20">
            <v>17</v>
          </cell>
        </row>
        <row r="21">
          <cell r="AI21">
            <v>1947</v>
          </cell>
          <cell r="AK21">
            <v>18</v>
          </cell>
        </row>
        <row r="22">
          <cell r="AI22">
            <v>1948</v>
          </cell>
          <cell r="AK22">
            <v>19</v>
          </cell>
        </row>
        <row r="23">
          <cell r="AI23">
            <v>1949</v>
          </cell>
          <cell r="AK23">
            <v>20</v>
          </cell>
        </row>
        <row r="24">
          <cell r="AI24">
            <v>1950</v>
          </cell>
          <cell r="AK24">
            <v>21</v>
          </cell>
        </row>
        <row r="25">
          <cell r="AI25">
            <v>1951</v>
          </cell>
          <cell r="AK25">
            <v>22</v>
          </cell>
        </row>
        <row r="26">
          <cell r="AI26">
            <v>1952</v>
          </cell>
          <cell r="AK26">
            <v>23</v>
          </cell>
        </row>
        <row r="27">
          <cell r="AI27">
            <v>1953</v>
          </cell>
          <cell r="AK27">
            <v>24</v>
          </cell>
        </row>
        <row r="28">
          <cell r="AI28">
            <v>1954</v>
          </cell>
          <cell r="AK28">
            <v>25</v>
          </cell>
        </row>
        <row r="29">
          <cell r="AI29">
            <v>1955</v>
          </cell>
          <cell r="AK29">
            <v>26</v>
          </cell>
        </row>
        <row r="30">
          <cell r="AI30">
            <v>1956</v>
          </cell>
          <cell r="AK30">
            <v>27</v>
          </cell>
        </row>
        <row r="31">
          <cell r="AI31">
            <v>1957</v>
          </cell>
          <cell r="AK31">
            <v>28</v>
          </cell>
        </row>
        <row r="32">
          <cell r="AI32">
            <v>1958</v>
          </cell>
          <cell r="AK32">
            <v>29</v>
          </cell>
        </row>
        <row r="33">
          <cell r="AI33">
            <v>1959</v>
          </cell>
          <cell r="AK33">
            <v>30</v>
          </cell>
        </row>
        <row r="34">
          <cell r="AI34">
            <v>1960</v>
          </cell>
          <cell r="AK34">
            <v>31</v>
          </cell>
        </row>
        <row r="35">
          <cell r="AI35">
            <v>1961</v>
          </cell>
        </row>
        <row r="36">
          <cell r="AI36">
            <v>1962</v>
          </cell>
        </row>
        <row r="37">
          <cell r="AI37">
            <v>1963</v>
          </cell>
        </row>
        <row r="38">
          <cell r="AI38">
            <v>1964</v>
          </cell>
        </row>
        <row r="39">
          <cell r="AI39">
            <v>1965</v>
          </cell>
        </row>
        <row r="40">
          <cell r="AI40">
            <v>1966</v>
          </cell>
        </row>
        <row r="41">
          <cell r="AI41">
            <v>1967</v>
          </cell>
        </row>
        <row r="42">
          <cell r="AI42">
            <v>1968</v>
          </cell>
        </row>
        <row r="43">
          <cell r="AI43">
            <v>1969</v>
          </cell>
        </row>
        <row r="44">
          <cell r="AI44">
            <v>1970</v>
          </cell>
        </row>
        <row r="45">
          <cell r="AI45">
            <v>1971</v>
          </cell>
        </row>
        <row r="46">
          <cell r="AI46">
            <v>1972</v>
          </cell>
        </row>
        <row r="47">
          <cell r="AI47">
            <v>1973</v>
          </cell>
        </row>
        <row r="48">
          <cell r="AI48">
            <v>1974</v>
          </cell>
        </row>
        <row r="49">
          <cell r="AI49">
            <v>1975</v>
          </cell>
        </row>
        <row r="50">
          <cell r="AI50">
            <v>1976</v>
          </cell>
        </row>
        <row r="51">
          <cell r="AI51">
            <v>1977</v>
          </cell>
        </row>
        <row r="52">
          <cell r="AI52">
            <v>1978</v>
          </cell>
        </row>
        <row r="53">
          <cell r="AI53">
            <v>1979</v>
          </cell>
        </row>
        <row r="54">
          <cell r="AI54">
            <v>1980</v>
          </cell>
        </row>
        <row r="55">
          <cell r="AI55">
            <v>1981</v>
          </cell>
        </row>
        <row r="56">
          <cell r="AI56">
            <v>1982</v>
          </cell>
        </row>
        <row r="57">
          <cell r="AI57">
            <v>1983</v>
          </cell>
        </row>
        <row r="58">
          <cell r="AI58">
            <v>1984</v>
          </cell>
        </row>
        <row r="59">
          <cell r="AI59">
            <v>1985</v>
          </cell>
        </row>
        <row r="60">
          <cell r="AI60">
            <v>1986</v>
          </cell>
        </row>
        <row r="61">
          <cell r="AI61">
            <v>1987</v>
          </cell>
        </row>
        <row r="62">
          <cell r="AI62">
            <v>1988</v>
          </cell>
        </row>
        <row r="63">
          <cell r="AI63">
            <v>1989</v>
          </cell>
        </row>
        <row r="64">
          <cell r="AI64">
            <v>1990</v>
          </cell>
        </row>
        <row r="65">
          <cell r="AI65">
            <v>1991</v>
          </cell>
        </row>
        <row r="66">
          <cell r="AI66">
            <v>1992</v>
          </cell>
        </row>
        <row r="67">
          <cell r="AI67">
            <v>1993</v>
          </cell>
        </row>
        <row r="68">
          <cell r="AI68">
            <v>1994</v>
          </cell>
        </row>
        <row r="69">
          <cell r="AI69">
            <v>1995</v>
          </cell>
        </row>
        <row r="70">
          <cell r="AI70">
            <v>1996</v>
          </cell>
        </row>
        <row r="71">
          <cell r="AI71">
            <v>1997</v>
          </cell>
        </row>
        <row r="72">
          <cell r="AI72">
            <v>1998</v>
          </cell>
        </row>
        <row r="73">
          <cell r="AI73">
            <v>1999</v>
          </cell>
        </row>
        <row r="74">
          <cell r="AI74">
            <v>2000</v>
          </cell>
        </row>
        <row r="75">
          <cell r="AI75">
            <v>2001</v>
          </cell>
        </row>
        <row r="76">
          <cell r="AI76">
            <v>2002</v>
          </cell>
        </row>
        <row r="77">
          <cell r="AI77">
            <v>2003</v>
          </cell>
        </row>
        <row r="78">
          <cell r="AI78">
            <v>2004</v>
          </cell>
        </row>
        <row r="79">
          <cell r="AI79">
            <v>2005</v>
          </cell>
        </row>
        <row r="80">
          <cell r="AI80">
            <v>2006</v>
          </cell>
        </row>
        <row r="81">
          <cell r="AI81">
            <v>2007</v>
          </cell>
        </row>
        <row r="82">
          <cell r="AI82">
            <v>2008</v>
          </cell>
        </row>
        <row r="83">
          <cell r="AI83">
            <v>2009</v>
          </cell>
        </row>
        <row r="84">
          <cell r="AI84">
            <v>2010</v>
          </cell>
        </row>
      </sheetData>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ministration"/>
      <sheetName val="Rates"/>
      <sheetName val="Calculation"/>
      <sheetName val="Administration (2)"/>
      <sheetName val="Rates (2)"/>
      <sheetName val="Calculation (2)"/>
      <sheetName val="TW Working"/>
      <sheetName val="TW"/>
      <sheetName val="MC"/>
      <sheetName val="MC Working"/>
    </sheetNames>
    <sheetDataSet>
      <sheetData sheetId="0"/>
      <sheetData sheetId="1"/>
      <sheetData sheetId="2"/>
      <sheetData sheetId="3">
        <row r="4">
          <cell r="O4" t="str">
            <v>Head Office - 001</v>
          </cell>
          <cell r="Q4">
            <v>1</v>
          </cell>
        </row>
        <row r="5">
          <cell r="O5" t="str">
            <v>Head Office - 002</v>
          </cell>
          <cell r="Q5">
            <v>2</v>
          </cell>
        </row>
        <row r="6">
          <cell r="O6" t="str">
            <v>Head Office - 003</v>
          </cell>
          <cell r="Q6">
            <v>3</v>
          </cell>
        </row>
        <row r="7">
          <cell r="O7" t="str">
            <v>Head Office - 004</v>
          </cell>
          <cell r="Q7">
            <v>4</v>
          </cell>
        </row>
        <row r="8">
          <cell r="O8" t="str">
            <v>Head Office - 005</v>
          </cell>
          <cell r="Q8">
            <v>5</v>
          </cell>
        </row>
        <row r="9">
          <cell r="O9" t="str">
            <v>Head Office - 006</v>
          </cell>
          <cell r="Q9">
            <v>6</v>
          </cell>
        </row>
        <row r="10">
          <cell r="O10" t="str">
            <v>Head Office - 007</v>
          </cell>
          <cell r="Q10">
            <v>7</v>
          </cell>
        </row>
        <row r="11">
          <cell r="O11" t="str">
            <v>Head Office - 008</v>
          </cell>
          <cell r="Q11">
            <v>8</v>
          </cell>
        </row>
        <row r="12">
          <cell r="O12" t="str">
            <v>Head Office - 009</v>
          </cell>
          <cell r="Q12">
            <v>9</v>
          </cell>
        </row>
        <row r="13">
          <cell r="O13" t="str">
            <v>Head Office - 010</v>
          </cell>
          <cell r="Q13">
            <v>10</v>
          </cell>
        </row>
        <row r="14">
          <cell r="O14" t="str">
            <v>Pettah Branch - 001</v>
          </cell>
          <cell r="Q14">
            <v>11</v>
          </cell>
        </row>
        <row r="15">
          <cell r="O15" t="str">
            <v>Pettah Branch - 002</v>
          </cell>
          <cell r="Q15">
            <v>12</v>
          </cell>
        </row>
        <row r="16">
          <cell r="O16" t="str">
            <v>Negombo Branch</v>
          </cell>
          <cell r="Q16">
            <v>13</v>
          </cell>
        </row>
        <row r="17">
          <cell r="O17" t="str">
            <v>Galle Branch</v>
          </cell>
          <cell r="Q17">
            <v>14</v>
          </cell>
        </row>
        <row r="18">
          <cell r="O18" t="str">
            <v>Matara Branch</v>
          </cell>
          <cell r="Q18">
            <v>15</v>
          </cell>
        </row>
        <row r="19">
          <cell r="O19" t="str">
            <v>Puttlam Branch</v>
          </cell>
          <cell r="Q19">
            <v>16</v>
          </cell>
        </row>
        <row r="20">
          <cell r="O20" t="str">
            <v>Kandy Regional Office</v>
          </cell>
          <cell r="Q20">
            <v>17</v>
          </cell>
        </row>
        <row r="21">
          <cell r="O21" t="str">
            <v>Kandy City Office</v>
          </cell>
          <cell r="Q21">
            <v>18</v>
          </cell>
        </row>
        <row r="22">
          <cell r="O22" t="str">
            <v>Matale Branch</v>
          </cell>
          <cell r="Q22">
            <v>19</v>
          </cell>
        </row>
        <row r="23">
          <cell r="O23" t="str">
            <v>Gampola Branch</v>
          </cell>
          <cell r="Q23">
            <v>20</v>
          </cell>
        </row>
        <row r="24">
          <cell r="O24" t="str">
            <v>Kurunegala Branch</v>
          </cell>
          <cell r="Q24">
            <v>21</v>
          </cell>
        </row>
        <row r="25">
          <cell r="O25" t="str">
            <v>Mawanella Branch</v>
          </cell>
          <cell r="Q25">
            <v>22</v>
          </cell>
        </row>
        <row r="26">
          <cell r="O26" t="str">
            <v>Kathankudy Branch</v>
          </cell>
          <cell r="Q26">
            <v>23</v>
          </cell>
        </row>
        <row r="27">
          <cell r="O27" t="str">
            <v>Kalmunai Branch</v>
          </cell>
          <cell r="Q27">
            <v>24</v>
          </cell>
        </row>
        <row r="28">
          <cell r="O28" t="str">
            <v>Trincomalee Branch</v>
          </cell>
          <cell r="Q28">
            <v>25</v>
          </cell>
        </row>
        <row r="29">
          <cell r="O29" t="str">
            <v>Ladies Wing</v>
          </cell>
          <cell r="Q29">
            <v>26</v>
          </cell>
        </row>
        <row r="30">
          <cell r="O30" t="str">
            <v>Kaduruwela Branch</v>
          </cell>
          <cell r="Q30">
            <v>27</v>
          </cell>
        </row>
        <row r="31">
          <cell r="O31" t="str">
            <v>Kalutara Branch</v>
          </cell>
          <cell r="Q31">
            <v>28</v>
          </cell>
        </row>
        <row r="32">
          <cell r="Q32">
            <v>29</v>
          </cell>
        </row>
        <row r="33">
          <cell r="Q33">
            <v>30</v>
          </cell>
        </row>
        <row r="34">
          <cell r="Q34">
            <v>31</v>
          </cell>
        </row>
      </sheetData>
      <sheetData sheetId="4" refreshError="1"/>
      <sheetData sheetId="5" refreshError="1"/>
      <sheetData sheetId="6" refreshError="1"/>
      <sheetData sheetId="7" refreshError="1"/>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6" Type="http://schemas.openxmlformats.org/officeDocument/2006/relationships/hyperlink" Target="mailto:info@sdb.lk" TargetMode="External"/><Relationship Id="rId117" Type="http://schemas.openxmlformats.org/officeDocument/2006/relationships/vmlDrawing" Target="../drawings/vmlDrawing3.vml"/><Relationship Id="rId21" Type="http://schemas.openxmlformats.org/officeDocument/2006/relationships/hyperlink" Target="http://www.lankaputhra.lk/" TargetMode="External"/><Relationship Id="rId42" Type="http://schemas.openxmlformats.org/officeDocument/2006/relationships/hyperlink" Target="mailto:bimputhlanka@daya-group.com" TargetMode="External"/><Relationship Id="rId47" Type="http://schemas.openxmlformats.org/officeDocument/2006/relationships/hyperlink" Target="http://www.cf.lk/" TargetMode="External"/><Relationship Id="rId63" Type="http://schemas.openxmlformats.org/officeDocument/2006/relationships/hyperlink" Target="mailto:chandrin@kanrich.lk" TargetMode="External"/><Relationship Id="rId68" Type="http://schemas.openxmlformats.org/officeDocument/2006/relationships/hyperlink" Target="http://www.lankaorix.com/" TargetMode="External"/><Relationship Id="rId84" Type="http://schemas.openxmlformats.org/officeDocument/2006/relationships/hyperlink" Target="http://www.sinhaputhra.lk/" TargetMode="External"/><Relationship Id="rId89" Type="http://schemas.openxmlformats.org/officeDocument/2006/relationships/hyperlink" Target="mailto:info@fglk.com" TargetMode="External"/><Relationship Id="rId112" Type="http://schemas.openxmlformats.org/officeDocument/2006/relationships/hyperlink" Target="mailto:smbhed@sltnet.lk" TargetMode="External"/><Relationship Id="rId16" Type="http://schemas.openxmlformats.org/officeDocument/2006/relationships/hyperlink" Target="mailto:info@seylan.lk" TargetMode="External"/><Relationship Id="rId107" Type="http://schemas.openxmlformats.org/officeDocument/2006/relationships/hyperlink" Target="mailto:orientleasing@sltnet.lk" TargetMode="External"/><Relationship Id="rId11" Type="http://schemas.openxmlformats.org/officeDocument/2006/relationships/hyperlink" Target="mailto:info@nationstrust.com" TargetMode="External"/><Relationship Id="rId32" Type="http://schemas.openxmlformats.org/officeDocument/2006/relationships/hyperlink" Target="mailto:info@alliancefinance.lk" TargetMode="External"/><Relationship Id="rId37" Type="http://schemas.openxmlformats.org/officeDocument/2006/relationships/hyperlink" Target="mailto:info@asiaassetfinance.lk" TargetMode="External"/><Relationship Id="rId53" Type="http://schemas.openxmlformats.org/officeDocument/2006/relationships/hyperlink" Target="mailto:infoifl@infinltd.lk" TargetMode="External"/><Relationship Id="rId58" Type="http://schemas.openxmlformats.org/officeDocument/2006/relationships/hyperlink" Target="http://www.clc.lk/" TargetMode="External"/><Relationship Id="rId74" Type="http://schemas.openxmlformats.org/officeDocument/2006/relationships/hyperlink" Target="http://www.mcsl.lk/" TargetMode="External"/><Relationship Id="rId79" Type="http://schemas.openxmlformats.org/officeDocument/2006/relationships/hyperlink" Target="mailto:senk@senfin.com" TargetMode="External"/><Relationship Id="rId102" Type="http://schemas.openxmlformats.org/officeDocument/2006/relationships/hyperlink" Target="mailto:lmewijesuriya@gmail.lk" TargetMode="External"/><Relationship Id="rId5" Type="http://schemas.openxmlformats.org/officeDocument/2006/relationships/hyperlink" Target="http://www.dfccvardhanabank.com/" TargetMode="External"/><Relationship Id="rId90" Type="http://schemas.openxmlformats.org/officeDocument/2006/relationships/hyperlink" Target="http://www.fglk.com/" TargetMode="External"/><Relationship Id="rId95" Type="http://schemas.openxmlformats.org/officeDocument/2006/relationships/hyperlink" Target="mailto:info@vallibelfinance.com" TargetMode="External"/><Relationship Id="rId22" Type="http://schemas.openxmlformats.org/officeDocument/2006/relationships/hyperlink" Target="mailto:savingsbank@mbslsavingsbank.com" TargetMode="External"/><Relationship Id="rId27" Type="http://schemas.openxmlformats.org/officeDocument/2006/relationships/hyperlink" Target="http://www.sdb.lk/" TargetMode="External"/><Relationship Id="rId43" Type="http://schemas.openxmlformats.org/officeDocument/2006/relationships/hyperlink" Target="http://www.dayagroupofcompanies.com/" TargetMode="External"/><Relationship Id="rId48" Type="http://schemas.openxmlformats.org/officeDocument/2006/relationships/hyperlink" Target="mailto:cifl@cifl.lk" TargetMode="External"/><Relationship Id="rId64" Type="http://schemas.openxmlformats.org/officeDocument/2006/relationships/hyperlink" Target="http://www.kanrich.lk/" TargetMode="External"/><Relationship Id="rId69" Type="http://schemas.openxmlformats.org/officeDocument/2006/relationships/hyperlink" Target="mailto:mercantile@mi.com.lk" TargetMode="External"/><Relationship Id="rId113" Type="http://schemas.openxmlformats.org/officeDocument/2006/relationships/hyperlink" Target="http://www.smblk.com/" TargetMode="External"/><Relationship Id="rId118" Type="http://schemas.openxmlformats.org/officeDocument/2006/relationships/vmlDrawing" Target="../drawings/vmlDrawing4.vml"/><Relationship Id="rId80" Type="http://schemas.openxmlformats.org/officeDocument/2006/relationships/hyperlink" Target="http://www.senfin.com/" TargetMode="External"/><Relationship Id="rId85" Type="http://schemas.openxmlformats.org/officeDocument/2006/relationships/hyperlink" Target="mailto:info@softlogicfinance.lk" TargetMode="External"/><Relationship Id="rId12" Type="http://schemas.openxmlformats.org/officeDocument/2006/relationships/hyperlink" Target="mailto:pabc@pabcbank.com" TargetMode="External"/><Relationship Id="rId17" Type="http://schemas.openxmlformats.org/officeDocument/2006/relationships/hyperlink" Target="http://www.eseylan.com/" TargetMode="External"/><Relationship Id="rId33" Type="http://schemas.openxmlformats.org/officeDocument/2006/relationships/hyperlink" Target="http://www.alliancefinance.lk/" TargetMode="External"/><Relationship Id="rId38" Type="http://schemas.openxmlformats.org/officeDocument/2006/relationships/hyperlink" Target="mailto:afl@asianfinance.lk" TargetMode="External"/><Relationship Id="rId59" Type="http://schemas.openxmlformats.org/officeDocument/2006/relationships/hyperlink" Target="mailto:info@divasafinance.lk" TargetMode="External"/><Relationship Id="rId103" Type="http://schemas.openxmlformats.org/officeDocument/2006/relationships/hyperlink" Target="mailto:koshilea@sltnet.lk" TargetMode="External"/><Relationship Id="rId108" Type="http://schemas.openxmlformats.org/officeDocument/2006/relationships/hyperlink" Target="mailto:dpkumarage@plc.lk" TargetMode="External"/><Relationship Id="rId54" Type="http://schemas.openxmlformats.org/officeDocument/2006/relationships/hyperlink" Target="http://www.ifl.lk/" TargetMode="External"/><Relationship Id="rId70" Type="http://schemas.openxmlformats.org/officeDocument/2006/relationships/hyperlink" Target="http://www.mi.com.lk/" TargetMode="External"/><Relationship Id="rId75" Type="http://schemas.openxmlformats.org/officeDocument/2006/relationships/hyperlink" Target="mailto:info@nifl.lk" TargetMode="External"/><Relationship Id="rId91" Type="http://schemas.openxmlformats.org/officeDocument/2006/relationships/hyperlink" Target="mailto:smi@thefinance.lk" TargetMode="External"/><Relationship Id="rId96" Type="http://schemas.openxmlformats.org/officeDocument/2006/relationships/hyperlink" Target="mailto:kushantha@dpmco.com" TargetMode="External"/><Relationship Id="rId1" Type="http://schemas.openxmlformats.org/officeDocument/2006/relationships/hyperlink" Target="mailto:info@amanabank.lk" TargetMode="External"/><Relationship Id="rId6" Type="http://schemas.openxmlformats.org/officeDocument/2006/relationships/hyperlink" Target="mailto:moreinfo@hnb.net" TargetMode="External"/><Relationship Id="rId23" Type="http://schemas.openxmlformats.org/officeDocument/2006/relationships/hyperlink" Target="http://www.mbslsavingsbank.com/" TargetMode="External"/><Relationship Id="rId28" Type="http://schemas.openxmlformats.org/officeDocument/2006/relationships/hyperlink" Target="mailto:slsbl@sltnet.lk" TargetMode="External"/><Relationship Id="rId49" Type="http://schemas.openxmlformats.org/officeDocument/2006/relationships/hyperlink" Target="http://www.cifl.lk/" TargetMode="External"/><Relationship Id="rId114" Type="http://schemas.openxmlformats.org/officeDocument/2006/relationships/hyperlink" Target="mailto:credit@softlogicfinance.lk" TargetMode="External"/><Relationship Id="rId119" Type="http://schemas.openxmlformats.org/officeDocument/2006/relationships/comments" Target="../comments2.xml"/><Relationship Id="rId10" Type="http://schemas.openxmlformats.org/officeDocument/2006/relationships/hyperlink" Target="http://www.ndbbank.com/" TargetMode="External"/><Relationship Id="rId31" Type="http://schemas.openxmlformats.org/officeDocument/2006/relationships/hyperlink" Target="http://www.abansgroup.com/" TargetMode="External"/><Relationship Id="rId44" Type="http://schemas.openxmlformats.org/officeDocument/2006/relationships/hyperlink" Target="mailto:silvereenkandy@sltnet.lk" TargetMode="External"/><Relationship Id="rId52" Type="http://schemas.openxmlformats.org/officeDocument/2006/relationships/hyperlink" Target="http://www.cdb.lk/" TargetMode="External"/><Relationship Id="rId60" Type="http://schemas.openxmlformats.org/officeDocument/2006/relationships/hyperlink" Target="http://www.divasafinance.lk/" TargetMode="External"/><Relationship Id="rId65" Type="http://schemas.openxmlformats.org/officeDocument/2006/relationships/hyperlink" Target="mailto:mail@lbfinance.lk" TargetMode="External"/><Relationship Id="rId73" Type="http://schemas.openxmlformats.org/officeDocument/2006/relationships/hyperlink" Target="mailto:info@themultifinance.com" TargetMode="External"/><Relationship Id="rId78" Type="http://schemas.openxmlformats.org/officeDocument/2006/relationships/hyperlink" Target="mailto:dinindus@plc.lk" TargetMode="External"/><Relationship Id="rId81" Type="http://schemas.openxmlformats.org/officeDocument/2006/relationships/hyperlink" Target="mailto:financecompany@singersl.com" TargetMode="External"/><Relationship Id="rId86" Type="http://schemas.openxmlformats.org/officeDocument/2006/relationships/hyperlink" Target="http://www.softlogicfinance.lk/" TargetMode="External"/><Relationship Id="rId94" Type="http://schemas.openxmlformats.org/officeDocument/2006/relationships/hyperlink" Target="mailto:tradefi@lankabiz.net" TargetMode="External"/><Relationship Id="rId99" Type="http://schemas.openxmlformats.org/officeDocument/2006/relationships/hyperlink" Target="mailto:info@cooplease.com" TargetMode="External"/><Relationship Id="rId101" Type="http://schemas.openxmlformats.org/officeDocument/2006/relationships/hyperlink" Target="mailto:indrafinance@sltnet.lk" TargetMode="External"/><Relationship Id="rId4" Type="http://schemas.openxmlformats.org/officeDocument/2006/relationships/hyperlink" Target="mailto:info@dfccvardhanabank.com" TargetMode="External"/><Relationship Id="rId9" Type="http://schemas.openxmlformats.org/officeDocument/2006/relationships/hyperlink" Target="mailto:contact@ndbbank.com" TargetMode="External"/><Relationship Id="rId13" Type="http://schemas.openxmlformats.org/officeDocument/2006/relationships/hyperlink" Target="http://www.pabcbank.com/" TargetMode="External"/><Relationship Id="rId18" Type="http://schemas.openxmlformats.org/officeDocument/2006/relationships/hyperlink" Target="mailto:ubc@unionb.com" TargetMode="External"/><Relationship Id="rId39" Type="http://schemas.openxmlformats.org/officeDocument/2006/relationships/hyperlink" Target="mailto:amfcoltd@sltnet.lk" TargetMode="External"/><Relationship Id="rId109" Type="http://schemas.openxmlformats.org/officeDocument/2006/relationships/hyperlink" Target="mailto:info@pmb.lk" TargetMode="External"/><Relationship Id="rId34" Type="http://schemas.openxmlformats.org/officeDocument/2006/relationships/hyperlink" Target="http://www.amwltd.lk/" TargetMode="External"/><Relationship Id="rId50" Type="http://schemas.openxmlformats.org/officeDocument/2006/relationships/hyperlink" Target="mailto:chifinco@gmail.com" TargetMode="External"/><Relationship Id="rId55" Type="http://schemas.openxmlformats.org/officeDocument/2006/relationships/hyperlink" Target="mailto:ccl@cclk.lk" TargetMode="External"/><Relationship Id="rId76" Type="http://schemas.openxmlformats.org/officeDocument/2006/relationships/hyperlink" Target="mailto:bede@nflplc.com" TargetMode="External"/><Relationship Id="rId97" Type="http://schemas.openxmlformats.org/officeDocument/2006/relationships/hyperlink" Target="http://www.assetline.lk/" TargetMode="External"/><Relationship Id="rId104" Type="http://schemas.openxmlformats.org/officeDocument/2006/relationships/hyperlink" Target="mailto:lisvin@lisvin.com" TargetMode="External"/><Relationship Id="rId7" Type="http://schemas.openxmlformats.org/officeDocument/2006/relationships/hyperlink" Target="http://www.hnb.net/" TargetMode="External"/><Relationship Id="rId71" Type="http://schemas.openxmlformats.org/officeDocument/2006/relationships/hyperlink" Target="mailto:mcsl@mbslbank.com" TargetMode="External"/><Relationship Id="rId92" Type="http://schemas.openxmlformats.org/officeDocument/2006/relationships/hyperlink" Target="http://www.thefinance.lk/" TargetMode="External"/><Relationship Id="rId2" Type="http://schemas.openxmlformats.org/officeDocument/2006/relationships/hyperlink" Target="mailto:boc@boc.lk" TargetMode="External"/><Relationship Id="rId29" Type="http://schemas.openxmlformats.org/officeDocument/2006/relationships/hyperlink" Target="http://www.sdb.lk/" TargetMode="External"/><Relationship Id="rId24" Type="http://schemas.openxmlformats.org/officeDocument/2006/relationships/hyperlink" Target="mailto:siriwardener@rdb.lk" TargetMode="External"/><Relationship Id="rId40" Type="http://schemas.openxmlformats.org/officeDocument/2006/relationships/hyperlink" Target="mailto:bartfsl@bartleet.com" TargetMode="External"/><Relationship Id="rId45" Type="http://schemas.openxmlformats.org/officeDocument/2006/relationships/hyperlink" Target="http://www.cbsl.gov.lk/htm/english/05_fss/popup/" TargetMode="External"/><Relationship Id="rId66" Type="http://schemas.openxmlformats.org/officeDocument/2006/relationships/hyperlink" Target="http://www.lbfinance.com/" TargetMode="External"/><Relationship Id="rId87" Type="http://schemas.openxmlformats.org/officeDocument/2006/relationships/hyperlink" Target="mailto:info@sfs.lk" TargetMode="External"/><Relationship Id="rId110" Type="http://schemas.openxmlformats.org/officeDocument/2006/relationships/hyperlink" Target="http://www.peoplesmerchantbank.lk/" TargetMode="External"/><Relationship Id="rId115" Type="http://schemas.openxmlformats.org/officeDocument/2006/relationships/printerSettings" Target="../printerSettings/printerSettings11.bin"/><Relationship Id="rId61" Type="http://schemas.openxmlformats.org/officeDocument/2006/relationships/hyperlink" Target="mailto:info@eti.lk" TargetMode="External"/><Relationship Id="rId82" Type="http://schemas.openxmlformats.org/officeDocument/2006/relationships/hyperlink" Target="http://www.singersl.com/" TargetMode="External"/><Relationship Id="rId19" Type="http://schemas.openxmlformats.org/officeDocument/2006/relationships/hyperlink" Target="mailto:info@dfccbank.com" TargetMode="External"/><Relationship Id="rId14" Type="http://schemas.openxmlformats.org/officeDocument/2006/relationships/hyperlink" Target="mailto:info@peoplesbank.lk" TargetMode="External"/><Relationship Id="rId30" Type="http://schemas.openxmlformats.org/officeDocument/2006/relationships/hyperlink" Target="mailto:aban@abansgroup.com" TargetMode="External"/><Relationship Id="rId35" Type="http://schemas.openxmlformats.org/officeDocument/2006/relationships/hyperlink" Target="mailto:bedej@arpicofinance.com" TargetMode="External"/><Relationship Id="rId56" Type="http://schemas.openxmlformats.org/officeDocument/2006/relationships/hyperlink" Target="http://www.cclk.lk/" TargetMode="External"/><Relationship Id="rId77" Type="http://schemas.openxmlformats.org/officeDocument/2006/relationships/hyperlink" Target="http://www.cbsl.gov.lk/htm/english/05_fss/popup/www.nflplc.lk/" TargetMode="External"/><Relationship Id="rId100" Type="http://schemas.openxmlformats.org/officeDocument/2006/relationships/hyperlink" Target="http://www.cooplease.com./" TargetMode="External"/><Relationship Id="rId105" Type="http://schemas.openxmlformats.org/officeDocument/2006/relationships/hyperlink" Target="mailto:chrishathi@lankaorix.com" TargetMode="External"/><Relationship Id="rId8" Type="http://schemas.openxmlformats.org/officeDocument/2006/relationships/hyperlink" Target="mailto:azfar.nomani@mcb.com.lk" TargetMode="External"/><Relationship Id="rId51" Type="http://schemas.openxmlformats.org/officeDocument/2006/relationships/hyperlink" Target="mailto:cdb@cdb.lk" TargetMode="External"/><Relationship Id="rId72" Type="http://schemas.openxmlformats.org/officeDocument/2006/relationships/hyperlink" Target="http://www.mcsl.lk/" TargetMode="External"/><Relationship Id="rId93" Type="http://schemas.openxmlformats.org/officeDocument/2006/relationships/hyperlink" Target="mailto:infomail@cir.lk" TargetMode="External"/><Relationship Id="rId98" Type="http://schemas.openxmlformats.org/officeDocument/2006/relationships/hyperlink" Target="mailto:%20ceylease@ceylease.lk" TargetMode="External"/><Relationship Id="rId3" Type="http://schemas.openxmlformats.org/officeDocument/2006/relationships/hyperlink" Target="mailto:email@combank.net" TargetMode="External"/><Relationship Id="rId25" Type="http://schemas.openxmlformats.org/officeDocument/2006/relationships/hyperlink" Target="http://www.rdb.lk/" TargetMode="External"/><Relationship Id="rId46" Type="http://schemas.openxmlformats.org/officeDocument/2006/relationships/hyperlink" Target="mailto:cenfin@cf.lk" TargetMode="External"/><Relationship Id="rId67" Type="http://schemas.openxmlformats.org/officeDocument/2006/relationships/hyperlink" Target="mailto:lofin@lankaorix.com" TargetMode="External"/><Relationship Id="rId116" Type="http://schemas.openxmlformats.org/officeDocument/2006/relationships/drawing" Target="../drawings/drawing8.xml"/><Relationship Id="rId20" Type="http://schemas.openxmlformats.org/officeDocument/2006/relationships/hyperlink" Target="mailto:info@lankaputhra.lk" TargetMode="External"/><Relationship Id="rId41" Type="http://schemas.openxmlformats.org/officeDocument/2006/relationships/hyperlink" Target="http://www.batrleetgroup.com/" TargetMode="External"/><Relationship Id="rId62" Type="http://schemas.openxmlformats.org/officeDocument/2006/relationships/hyperlink" Target="http://www.eti.lk/" TargetMode="External"/><Relationship Id="rId83" Type="http://schemas.openxmlformats.org/officeDocument/2006/relationships/hyperlink" Target="mailto:info@sinhaputhra.lk" TargetMode="External"/><Relationship Id="rId88" Type="http://schemas.openxmlformats.org/officeDocument/2006/relationships/hyperlink" Target="http://www.sfs.lk/" TargetMode="External"/><Relationship Id="rId111" Type="http://schemas.openxmlformats.org/officeDocument/2006/relationships/hyperlink" Target="mailto:roshan@sampath-slfl.lk" TargetMode="External"/><Relationship Id="rId15" Type="http://schemas.openxmlformats.org/officeDocument/2006/relationships/hyperlink" Target="mailto:oper.mgr@sampath.lk" TargetMode="External"/><Relationship Id="rId36" Type="http://schemas.openxmlformats.org/officeDocument/2006/relationships/hyperlink" Target="http://www.arpicofinance.lk/" TargetMode="External"/><Relationship Id="rId57" Type="http://schemas.openxmlformats.org/officeDocument/2006/relationships/hyperlink" Target="mailto:clc@.lk" TargetMode="External"/><Relationship Id="rId106" Type="http://schemas.openxmlformats.org/officeDocument/2006/relationships/hyperlink" Target="mailto:mbslbank@mbslbank.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6" Type="http://schemas.openxmlformats.org/officeDocument/2006/relationships/hyperlink" Target="mailto:info@sdb.lk" TargetMode="External"/><Relationship Id="rId117" Type="http://schemas.openxmlformats.org/officeDocument/2006/relationships/vmlDrawing" Target="../drawings/vmlDrawing1.vml"/><Relationship Id="rId21" Type="http://schemas.openxmlformats.org/officeDocument/2006/relationships/hyperlink" Target="http://www.lankaputhra.lk/" TargetMode="External"/><Relationship Id="rId42" Type="http://schemas.openxmlformats.org/officeDocument/2006/relationships/hyperlink" Target="mailto:bimputhlanka@daya-group.com" TargetMode="External"/><Relationship Id="rId47" Type="http://schemas.openxmlformats.org/officeDocument/2006/relationships/hyperlink" Target="http://www.cf.lk/" TargetMode="External"/><Relationship Id="rId63" Type="http://schemas.openxmlformats.org/officeDocument/2006/relationships/hyperlink" Target="mailto:chandrin@kanrich.lk" TargetMode="External"/><Relationship Id="rId68" Type="http://schemas.openxmlformats.org/officeDocument/2006/relationships/hyperlink" Target="http://www.lankaorix.com/" TargetMode="External"/><Relationship Id="rId84" Type="http://schemas.openxmlformats.org/officeDocument/2006/relationships/hyperlink" Target="http://www.sinhaputhra.lk/" TargetMode="External"/><Relationship Id="rId89" Type="http://schemas.openxmlformats.org/officeDocument/2006/relationships/hyperlink" Target="mailto:info@fglk.com" TargetMode="External"/><Relationship Id="rId112" Type="http://schemas.openxmlformats.org/officeDocument/2006/relationships/hyperlink" Target="mailto:smbhed@sltnet.lk" TargetMode="External"/><Relationship Id="rId16" Type="http://schemas.openxmlformats.org/officeDocument/2006/relationships/hyperlink" Target="mailto:info@seylan.lk" TargetMode="External"/><Relationship Id="rId107" Type="http://schemas.openxmlformats.org/officeDocument/2006/relationships/hyperlink" Target="mailto:orientleasing@sltnet.lk" TargetMode="External"/><Relationship Id="rId11" Type="http://schemas.openxmlformats.org/officeDocument/2006/relationships/hyperlink" Target="mailto:info@nationstrust.com" TargetMode="External"/><Relationship Id="rId32" Type="http://schemas.openxmlformats.org/officeDocument/2006/relationships/hyperlink" Target="mailto:info@alliancefinance.lk" TargetMode="External"/><Relationship Id="rId37" Type="http://schemas.openxmlformats.org/officeDocument/2006/relationships/hyperlink" Target="mailto:info@asiaassetfinance.lk" TargetMode="External"/><Relationship Id="rId53" Type="http://schemas.openxmlformats.org/officeDocument/2006/relationships/hyperlink" Target="mailto:infoifl@infinltd.lk" TargetMode="External"/><Relationship Id="rId58" Type="http://schemas.openxmlformats.org/officeDocument/2006/relationships/hyperlink" Target="http://www.clc.lk/" TargetMode="External"/><Relationship Id="rId74" Type="http://schemas.openxmlformats.org/officeDocument/2006/relationships/hyperlink" Target="http://www.mcsl.lk/" TargetMode="External"/><Relationship Id="rId79" Type="http://schemas.openxmlformats.org/officeDocument/2006/relationships/hyperlink" Target="mailto:senk@senfin.com" TargetMode="External"/><Relationship Id="rId102" Type="http://schemas.openxmlformats.org/officeDocument/2006/relationships/hyperlink" Target="mailto:lmewijesuriya@gmail.lk" TargetMode="External"/><Relationship Id="rId5" Type="http://schemas.openxmlformats.org/officeDocument/2006/relationships/hyperlink" Target="http://www.dfccvardhanabank.com/" TargetMode="External"/><Relationship Id="rId90" Type="http://schemas.openxmlformats.org/officeDocument/2006/relationships/hyperlink" Target="http://www.fglk.com/" TargetMode="External"/><Relationship Id="rId95" Type="http://schemas.openxmlformats.org/officeDocument/2006/relationships/hyperlink" Target="mailto:info@vallibelfinance.com" TargetMode="External"/><Relationship Id="rId22" Type="http://schemas.openxmlformats.org/officeDocument/2006/relationships/hyperlink" Target="mailto:savingsbank@mbslsavingsbank.com" TargetMode="External"/><Relationship Id="rId27" Type="http://schemas.openxmlformats.org/officeDocument/2006/relationships/hyperlink" Target="http://www.sdb.lk/" TargetMode="External"/><Relationship Id="rId43" Type="http://schemas.openxmlformats.org/officeDocument/2006/relationships/hyperlink" Target="http://www.dayagroupofcompanies.com/" TargetMode="External"/><Relationship Id="rId48" Type="http://schemas.openxmlformats.org/officeDocument/2006/relationships/hyperlink" Target="mailto:cifl@cifl.lk" TargetMode="External"/><Relationship Id="rId64" Type="http://schemas.openxmlformats.org/officeDocument/2006/relationships/hyperlink" Target="http://www.kanrich.lk/" TargetMode="External"/><Relationship Id="rId69" Type="http://schemas.openxmlformats.org/officeDocument/2006/relationships/hyperlink" Target="mailto:mercantile@mi.com.lk" TargetMode="External"/><Relationship Id="rId113" Type="http://schemas.openxmlformats.org/officeDocument/2006/relationships/hyperlink" Target="http://www.smblk.com/" TargetMode="External"/><Relationship Id="rId118" Type="http://schemas.openxmlformats.org/officeDocument/2006/relationships/vmlDrawing" Target="../drawings/vmlDrawing2.vml"/><Relationship Id="rId80" Type="http://schemas.openxmlformats.org/officeDocument/2006/relationships/hyperlink" Target="http://www.senfin.com/" TargetMode="External"/><Relationship Id="rId85" Type="http://schemas.openxmlformats.org/officeDocument/2006/relationships/hyperlink" Target="mailto:info@softlogicfinance.lk" TargetMode="External"/><Relationship Id="rId12" Type="http://schemas.openxmlformats.org/officeDocument/2006/relationships/hyperlink" Target="mailto:pabc@pabcbank.com" TargetMode="External"/><Relationship Id="rId17" Type="http://schemas.openxmlformats.org/officeDocument/2006/relationships/hyperlink" Target="http://www.eseylan.com/" TargetMode="External"/><Relationship Id="rId33" Type="http://schemas.openxmlformats.org/officeDocument/2006/relationships/hyperlink" Target="http://www.alliancefinance.lk/" TargetMode="External"/><Relationship Id="rId38" Type="http://schemas.openxmlformats.org/officeDocument/2006/relationships/hyperlink" Target="mailto:afl@asianfinance.lk" TargetMode="External"/><Relationship Id="rId59" Type="http://schemas.openxmlformats.org/officeDocument/2006/relationships/hyperlink" Target="mailto:info@divasafinance.lk" TargetMode="External"/><Relationship Id="rId103" Type="http://schemas.openxmlformats.org/officeDocument/2006/relationships/hyperlink" Target="mailto:koshilea@sltnet.lk" TargetMode="External"/><Relationship Id="rId108" Type="http://schemas.openxmlformats.org/officeDocument/2006/relationships/hyperlink" Target="mailto:dpkumarage@plc.lk" TargetMode="External"/><Relationship Id="rId54" Type="http://schemas.openxmlformats.org/officeDocument/2006/relationships/hyperlink" Target="http://www.ifl.lk/" TargetMode="External"/><Relationship Id="rId70" Type="http://schemas.openxmlformats.org/officeDocument/2006/relationships/hyperlink" Target="http://www.mi.com.lk/" TargetMode="External"/><Relationship Id="rId75" Type="http://schemas.openxmlformats.org/officeDocument/2006/relationships/hyperlink" Target="mailto:info@nifl.lk" TargetMode="External"/><Relationship Id="rId91" Type="http://schemas.openxmlformats.org/officeDocument/2006/relationships/hyperlink" Target="mailto:smi@thefinance.lk" TargetMode="External"/><Relationship Id="rId96" Type="http://schemas.openxmlformats.org/officeDocument/2006/relationships/hyperlink" Target="mailto:kushantha@dpmco.com" TargetMode="External"/><Relationship Id="rId1" Type="http://schemas.openxmlformats.org/officeDocument/2006/relationships/hyperlink" Target="mailto:info@amanabank.lk" TargetMode="External"/><Relationship Id="rId6" Type="http://schemas.openxmlformats.org/officeDocument/2006/relationships/hyperlink" Target="mailto:moreinfo@hnb.net" TargetMode="External"/><Relationship Id="rId23" Type="http://schemas.openxmlformats.org/officeDocument/2006/relationships/hyperlink" Target="http://www.mbslsavingsbank.com/" TargetMode="External"/><Relationship Id="rId28" Type="http://schemas.openxmlformats.org/officeDocument/2006/relationships/hyperlink" Target="mailto:slsbl@sltnet.lk" TargetMode="External"/><Relationship Id="rId49" Type="http://schemas.openxmlformats.org/officeDocument/2006/relationships/hyperlink" Target="http://www.cifl.lk/" TargetMode="External"/><Relationship Id="rId114" Type="http://schemas.openxmlformats.org/officeDocument/2006/relationships/hyperlink" Target="mailto:credit@softlogicfinance.lk" TargetMode="External"/><Relationship Id="rId119" Type="http://schemas.openxmlformats.org/officeDocument/2006/relationships/comments" Target="../comments1.xml"/><Relationship Id="rId10" Type="http://schemas.openxmlformats.org/officeDocument/2006/relationships/hyperlink" Target="http://www.ndbbank.com/" TargetMode="External"/><Relationship Id="rId31" Type="http://schemas.openxmlformats.org/officeDocument/2006/relationships/hyperlink" Target="http://www.abansgroup.com/" TargetMode="External"/><Relationship Id="rId44" Type="http://schemas.openxmlformats.org/officeDocument/2006/relationships/hyperlink" Target="mailto:silvereenkandy@sltnet.lk" TargetMode="External"/><Relationship Id="rId52" Type="http://schemas.openxmlformats.org/officeDocument/2006/relationships/hyperlink" Target="http://www.cdb.lk/" TargetMode="External"/><Relationship Id="rId60" Type="http://schemas.openxmlformats.org/officeDocument/2006/relationships/hyperlink" Target="http://www.divasafinance.lk/" TargetMode="External"/><Relationship Id="rId65" Type="http://schemas.openxmlformats.org/officeDocument/2006/relationships/hyperlink" Target="mailto:mail@lbfinance.lk" TargetMode="External"/><Relationship Id="rId73" Type="http://schemas.openxmlformats.org/officeDocument/2006/relationships/hyperlink" Target="mailto:info@themultifinance.com" TargetMode="External"/><Relationship Id="rId78" Type="http://schemas.openxmlformats.org/officeDocument/2006/relationships/hyperlink" Target="mailto:dinindus@plc.lk" TargetMode="External"/><Relationship Id="rId81" Type="http://schemas.openxmlformats.org/officeDocument/2006/relationships/hyperlink" Target="mailto:financecompany@singersl.com" TargetMode="External"/><Relationship Id="rId86" Type="http://schemas.openxmlformats.org/officeDocument/2006/relationships/hyperlink" Target="http://www.softlogicfinance.lk/" TargetMode="External"/><Relationship Id="rId94" Type="http://schemas.openxmlformats.org/officeDocument/2006/relationships/hyperlink" Target="mailto:tradefi@lankabiz.net" TargetMode="External"/><Relationship Id="rId99" Type="http://schemas.openxmlformats.org/officeDocument/2006/relationships/hyperlink" Target="mailto:info@cooplease.com" TargetMode="External"/><Relationship Id="rId101" Type="http://schemas.openxmlformats.org/officeDocument/2006/relationships/hyperlink" Target="mailto:indrafinance@sltnet.lk" TargetMode="External"/><Relationship Id="rId4" Type="http://schemas.openxmlformats.org/officeDocument/2006/relationships/hyperlink" Target="mailto:info@dfccvardhanabank.com" TargetMode="External"/><Relationship Id="rId9" Type="http://schemas.openxmlformats.org/officeDocument/2006/relationships/hyperlink" Target="mailto:contact@ndbbank.com" TargetMode="External"/><Relationship Id="rId13" Type="http://schemas.openxmlformats.org/officeDocument/2006/relationships/hyperlink" Target="http://www.pabcbank.com/" TargetMode="External"/><Relationship Id="rId18" Type="http://schemas.openxmlformats.org/officeDocument/2006/relationships/hyperlink" Target="mailto:ubc@unionb.com" TargetMode="External"/><Relationship Id="rId39" Type="http://schemas.openxmlformats.org/officeDocument/2006/relationships/hyperlink" Target="mailto:amfcoltd@sltnet.lk" TargetMode="External"/><Relationship Id="rId109" Type="http://schemas.openxmlformats.org/officeDocument/2006/relationships/hyperlink" Target="mailto:info@pmb.lk" TargetMode="External"/><Relationship Id="rId34" Type="http://schemas.openxmlformats.org/officeDocument/2006/relationships/hyperlink" Target="http://www.amwltd.lk/" TargetMode="External"/><Relationship Id="rId50" Type="http://schemas.openxmlformats.org/officeDocument/2006/relationships/hyperlink" Target="mailto:chifinco@gmail.com" TargetMode="External"/><Relationship Id="rId55" Type="http://schemas.openxmlformats.org/officeDocument/2006/relationships/hyperlink" Target="mailto:ccl@cclk.lk" TargetMode="External"/><Relationship Id="rId76" Type="http://schemas.openxmlformats.org/officeDocument/2006/relationships/hyperlink" Target="mailto:bede@nflplc.com" TargetMode="External"/><Relationship Id="rId97" Type="http://schemas.openxmlformats.org/officeDocument/2006/relationships/hyperlink" Target="http://www.assetline.lk/" TargetMode="External"/><Relationship Id="rId104" Type="http://schemas.openxmlformats.org/officeDocument/2006/relationships/hyperlink" Target="mailto:lisvin@lisvin.com" TargetMode="External"/><Relationship Id="rId7" Type="http://schemas.openxmlformats.org/officeDocument/2006/relationships/hyperlink" Target="http://www.hnb.net/" TargetMode="External"/><Relationship Id="rId71" Type="http://schemas.openxmlformats.org/officeDocument/2006/relationships/hyperlink" Target="mailto:mcsl@mbslbank.com" TargetMode="External"/><Relationship Id="rId92" Type="http://schemas.openxmlformats.org/officeDocument/2006/relationships/hyperlink" Target="http://www.thefinance.lk/" TargetMode="External"/><Relationship Id="rId2" Type="http://schemas.openxmlformats.org/officeDocument/2006/relationships/hyperlink" Target="mailto:boc@boc.lk" TargetMode="External"/><Relationship Id="rId29" Type="http://schemas.openxmlformats.org/officeDocument/2006/relationships/hyperlink" Target="http://www.sdb.lk/" TargetMode="External"/><Relationship Id="rId24" Type="http://schemas.openxmlformats.org/officeDocument/2006/relationships/hyperlink" Target="mailto:siriwardener@rdb.lk" TargetMode="External"/><Relationship Id="rId40" Type="http://schemas.openxmlformats.org/officeDocument/2006/relationships/hyperlink" Target="mailto:bartfsl@bartleet.com" TargetMode="External"/><Relationship Id="rId45" Type="http://schemas.openxmlformats.org/officeDocument/2006/relationships/hyperlink" Target="http://www.cbsl.gov.lk/htm/english/05_fss/popup/" TargetMode="External"/><Relationship Id="rId66" Type="http://schemas.openxmlformats.org/officeDocument/2006/relationships/hyperlink" Target="http://www.lbfinance.com/" TargetMode="External"/><Relationship Id="rId87" Type="http://schemas.openxmlformats.org/officeDocument/2006/relationships/hyperlink" Target="mailto:info@sfs.lk" TargetMode="External"/><Relationship Id="rId110" Type="http://schemas.openxmlformats.org/officeDocument/2006/relationships/hyperlink" Target="http://www.peoplesmerchantbank.lk/" TargetMode="External"/><Relationship Id="rId115" Type="http://schemas.openxmlformats.org/officeDocument/2006/relationships/printerSettings" Target="../printerSettings/printerSettings6.bin"/><Relationship Id="rId61" Type="http://schemas.openxmlformats.org/officeDocument/2006/relationships/hyperlink" Target="mailto:info@eti.lk" TargetMode="External"/><Relationship Id="rId82" Type="http://schemas.openxmlformats.org/officeDocument/2006/relationships/hyperlink" Target="http://www.singersl.com/" TargetMode="External"/><Relationship Id="rId19" Type="http://schemas.openxmlformats.org/officeDocument/2006/relationships/hyperlink" Target="mailto:info@dfccbank.com" TargetMode="External"/><Relationship Id="rId14" Type="http://schemas.openxmlformats.org/officeDocument/2006/relationships/hyperlink" Target="mailto:info@peoplesbank.lk" TargetMode="External"/><Relationship Id="rId30" Type="http://schemas.openxmlformats.org/officeDocument/2006/relationships/hyperlink" Target="mailto:aban@abansgroup.com" TargetMode="External"/><Relationship Id="rId35" Type="http://schemas.openxmlformats.org/officeDocument/2006/relationships/hyperlink" Target="mailto:bedej@arpicofinance.com" TargetMode="External"/><Relationship Id="rId56" Type="http://schemas.openxmlformats.org/officeDocument/2006/relationships/hyperlink" Target="http://www.cclk.lk/" TargetMode="External"/><Relationship Id="rId77" Type="http://schemas.openxmlformats.org/officeDocument/2006/relationships/hyperlink" Target="http://www.cbsl.gov.lk/htm/english/05_fss/popup/www.nflplc.lk/" TargetMode="External"/><Relationship Id="rId100" Type="http://schemas.openxmlformats.org/officeDocument/2006/relationships/hyperlink" Target="http://www.cooplease.com./" TargetMode="External"/><Relationship Id="rId105" Type="http://schemas.openxmlformats.org/officeDocument/2006/relationships/hyperlink" Target="mailto:chrishathi@lankaorix.com" TargetMode="External"/><Relationship Id="rId8" Type="http://schemas.openxmlformats.org/officeDocument/2006/relationships/hyperlink" Target="mailto:azfar.nomani@mcb.com.lk" TargetMode="External"/><Relationship Id="rId51" Type="http://schemas.openxmlformats.org/officeDocument/2006/relationships/hyperlink" Target="mailto:cdb@cdb.lk" TargetMode="External"/><Relationship Id="rId72" Type="http://schemas.openxmlformats.org/officeDocument/2006/relationships/hyperlink" Target="http://www.mcsl.lk/" TargetMode="External"/><Relationship Id="rId93" Type="http://schemas.openxmlformats.org/officeDocument/2006/relationships/hyperlink" Target="mailto:infomail@cir.lk" TargetMode="External"/><Relationship Id="rId98" Type="http://schemas.openxmlformats.org/officeDocument/2006/relationships/hyperlink" Target="mailto:%20ceylease@ceylease.lk" TargetMode="External"/><Relationship Id="rId3" Type="http://schemas.openxmlformats.org/officeDocument/2006/relationships/hyperlink" Target="mailto:email@combank.net" TargetMode="External"/><Relationship Id="rId25" Type="http://schemas.openxmlformats.org/officeDocument/2006/relationships/hyperlink" Target="http://www.rdb.lk/" TargetMode="External"/><Relationship Id="rId46" Type="http://schemas.openxmlformats.org/officeDocument/2006/relationships/hyperlink" Target="mailto:cenfin@cf.lk" TargetMode="External"/><Relationship Id="rId67" Type="http://schemas.openxmlformats.org/officeDocument/2006/relationships/hyperlink" Target="mailto:lofin@lankaorix.com" TargetMode="External"/><Relationship Id="rId116" Type="http://schemas.openxmlformats.org/officeDocument/2006/relationships/drawing" Target="../drawings/drawing4.xml"/><Relationship Id="rId20" Type="http://schemas.openxmlformats.org/officeDocument/2006/relationships/hyperlink" Target="mailto:info@lankaputhra.lk" TargetMode="External"/><Relationship Id="rId41" Type="http://schemas.openxmlformats.org/officeDocument/2006/relationships/hyperlink" Target="http://www.batrleetgroup.com/" TargetMode="External"/><Relationship Id="rId62" Type="http://schemas.openxmlformats.org/officeDocument/2006/relationships/hyperlink" Target="http://www.eti.lk/" TargetMode="External"/><Relationship Id="rId83" Type="http://schemas.openxmlformats.org/officeDocument/2006/relationships/hyperlink" Target="mailto:info@sinhaputhra.lk" TargetMode="External"/><Relationship Id="rId88" Type="http://schemas.openxmlformats.org/officeDocument/2006/relationships/hyperlink" Target="http://www.sfs.lk/" TargetMode="External"/><Relationship Id="rId111" Type="http://schemas.openxmlformats.org/officeDocument/2006/relationships/hyperlink" Target="mailto:roshan@sampath-slfl.lk" TargetMode="External"/><Relationship Id="rId15" Type="http://schemas.openxmlformats.org/officeDocument/2006/relationships/hyperlink" Target="mailto:oper.mgr@sampath.lk" TargetMode="External"/><Relationship Id="rId36" Type="http://schemas.openxmlformats.org/officeDocument/2006/relationships/hyperlink" Target="http://www.arpicofinance.lk/" TargetMode="External"/><Relationship Id="rId57" Type="http://schemas.openxmlformats.org/officeDocument/2006/relationships/hyperlink" Target="mailto:clc@.lk" TargetMode="External"/><Relationship Id="rId106" Type="http://schemas.openxmlformats.org/officeDocument/2006/relationships/hyperlink" Target="mailto:mbslbank@mbslbank.com"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1:IT40"/>
  <sheetViews>
    <sheetView showGridLines="0" topLeftCell="IC1" workbookViewId="0">
      <selection activeCell="IT5" sqref="IT5"/>
    </sheetView>
  </sheetViews>
  <sheetFormatPr defaultColWidth="9.1796875" defaultRowHeight="25" customHeight="1" x14ac:dyDescent="0.25"/>
  <cols>
    <col min="1" max="1" width="13.453125" style="248" customWidth="1"/>
    <col min="2" max="2" width="9.1796875" style="248"/>
    <col min="3" max="3" width="6.1796875" style="248" customWidth="1"/>
    <col min="4" max="4" width="11.26953125" style="248" customWidth="1"/>
    <col min="5" max="5" width="5" style="248" customWidth="1"/>
    <col min="6" max="6" width="5.7265625" style="248" customWidth="1"/>
    <col min="7" max="7" width="23.1796875" style="248" customWidth="1"/>
    <col min="8" max="8" width="9.1796875" style="248"/>
    <col min="9" max="9" width="10.453125" style="248" customWidth="1"/>
    <col min="10" max="10" width="41.1796875" style="248" customWidth="1"/>
    <col min="11" max="12" width="9.1796875" style="248"/>
    <col min="13" max="13" width="1.81640625" style="248" customWidth="1"/>
    <col min="14" max="14" width="17.453125" style="248" customWidth="1"/>
    <col min="15" max="15" width="20.7265625" style="248" customWidth="1"/>
    <col min="16" max="251" width="9.1796875" style="248"/>
    <col min="252" max="252" width="10.453125" style="248" bestFit="1" customWidth="1"/>
    <col min="253" max="16384" width="9.1796875" style="248"/>
  </cols>
  <sheetData>
    <row r="1" spans="1:254" ht="25" customHeight="1" thickBot="1" x14ac:dyDescent="0.35">
      <c r="A1" s="1473" t="s">
        <v>218</v>
      </c>
      <c r="B1" s="1474"/>
      <c r="C1" s="1474"/>
      <c r="D1" s="1475"/>
      <c r="E1" s="216"/>
    </row>
    <row r="2" spans="1:254" ht="14.25" customHeight="1" x14ac:dyDescent="0.25"/>
    <row r="3" spans="1:254" ht="20.25" customHeight="1" x14ac:dyDescent="0.3">
      <c r="A3" s="218"/>
      <c r="G3" s="254">
        <f>IF(IS5="January",1,IF(IS5="February",2,IF(IS5="March",3,IF(IS5="April",4,IF(IS5="May",5,IF(IS5="June",6,IF(IS5="July",7,IF(IS5="August",8,H3))))))))</f>
        <v>5</v>
      </c>
      <c r="H3" s="254">
        <f>IF(IS5="September",9,IF(IS5="October",10,IF(IS5="November",11,12)))</f>
        <v>12</v>
      </c>
      <c r="I3" s="255">
        <f>DATE(IR5,G3,IT5)</f>
        <v>45413</v>
      </c>
      <c r="J3" s="254">
        <f>IF(M3=0,29,28)</f>
        <v>29</v>
      </c>
      <c r="K3" s="256">
        <f>YEAR(I3)/4</f>
        <v>506</v>
      </c>
      <c r="L3" s="256">
        <f>ROUND(K3,0)</f>
        <v>506</v>
      </c>
      <c r="M3" s="254">
        <f>K3-L3</f>
        <v>0</v>
      </c>
      <c r="N3" s="260" t="s">
        <v>235</v>
      </c>
      <c r="Q3" s="249" t="s">
        <v>206</v>
      </c>
    </row>
    <row r="4" spans="1:254" ht="25" customHeight="1" thickBot="1" x14ac:dyDescent="0.35">
      <c r="A4" s="250"/>
      <c r="G4" s="358"/>
      <c r="H4" s="358"/>
      <c r="I4" s="359"/>
      <c r="J4" s="359"/>
      <c r="K4" s="359"/>
      <c r="L4" s="216"/>
      <c r="M4" s="216"/>
      <c r="N4" s="259" t="s">
        <v>236</v>
      </c>
      <c r="O4" s="217" t="s">
        <v>177</v>
      </c>
      <c r="Q4" s="248">
        <v>1</v>
      </c>
      <c r="IR4" s="296" t="s">
        <v>204</v>
      </c>
      <c r="IS4" s="296" t="s">
        <v>205</v>
      </c>
      <c r="IT4" s="296" t="s">
        <v>206</v>
      </c>
    </row>
    <row r="5" spans="1:254" ht="25" customHeight="1" thickBot="1" x14ac:dyDescent="0.35">
      <c r="A5" s="218" t="s">
        <v>207</v>
      </c>
      <c r="C5" s="1477" t="str">
        <f>H5</f>
        <v/>
      </c>
      <c r="D5" s="1478"/>
      <c r="E5" s="1479"/>
      <c r="G5" s="358"/>
      <c r="H5" s="358" t="str">
        <f>IF(Working!$H$65529=N4,O4,IF(Working!$H$65529=N5,O5,IF(Working!$H$65529=N6,O6,IF(Working!$H$65529=N7,O7,IF(Working!$H$65529=N8,O8,IF(Working!$H$65529=N9,O9,IF(Working!$H$65529=N10,O10,IF(Working!$H$65529=N11,O11,I5))))))))</f>
        <v/>
      </c>
      <c r="I5" s="358" t="str">
        <f>IF(Working!$H$65529=N12,O12,IF(Working!$H$65529=N13,O13,IF(Working!$H$65529=N14,O14,IF(Working!$H$65529=N15,O15,IF(Working!$H$65529=N16,O16,IF(Working!$H$65529=N17,O17,IF(Working!$H$65529=N18,O18,IF(Working!$H$65529=N19,O19,J5))))))))</f>
        <v/>
      </c>
      <c r="J5" s="358" t="str">
        <f>IF(Working!$H$65529=N20,O20,IF(Working!$H$65529=N21,O21,IF(Working!$H$65529=N22,O22,IF(Working!$H$65529=N23,O23,IF(Working!$H$65529=N24,O24,IF(Working!$H$65529=N25,O25,IF(Working!$H$65529=N26,O26,IF(Working!$H$65529=N27,O27,K5))))))))</f>
        <v/>
      </c>
      <c r="K5" s="358" t="str">
        <f>IF(Working!$H$65529=N28,O28,IF(Working!$H$65529=N29,O29,IF(Working!$H$65529=N30,O30,IF(Working!$H$65529=N31,O31,""))))</f>
        <v/>
      </c>
      <c r="N5" s="259" t="s">
        <v>237</v>
      </c>
      <c r="O5" s="217" t="s">
        <v>178</v>
      </c>
      <c r="Q5" s="248">
        <f>Q4+1</f>
        <v>2</v>
      </c>
      <c r="IR5" s="215">
        <v>2024</v>
      </c>
      <c r="IS5" s="215" t="s">
        <v>348</v>
      </c>
      <c r="IT5" s="215">
        <v>1</v>
      </c>
    </row>
    <row r="6" spans="1:254" ht="25" customHeight="1" thickBot="1" x14ac:dyDescent="0.3">
      <c r="G6" s="358"/>
      <c r="H6" s="358"/>
      <c r="I6" s="358"/>
      <c r="J6" s="572" t="s">
        <v>417</v>
      </c>
      <c r="K6" s="358"/>
      <c r="N6" s="259" t="s">
        <v>241</v>
      </c>
      <c r="O6" s="217" t="s">
        <v>179</v>
      </c>
      <c r="Q6" s="248">
        <f t="shared" ref="Q6:Q18" si="0">Q5+1</f>
        <v>3</v>
      </c>
    </row>
    <row r="7" spans="1:254" ht="25" customHeight="1" thickBot="1" x14ac:dyDescent="0.35">
      <c r="A7" s="218" t="s">
        <v>208</v>
      </c>
      <c r="C7" s="248" t="s">
        <v>175</v>
      </c>
      <c r="F7" s="251" t="s">
        <v>78</v>
      </c>
      <c r="G7" s="358" t="str">
        <f t="shared" ref="G7:G17" si="1">IF(F7="Yes",C7,"")</f>
        <v>Motor Car</v>
      </c>
      <c r="H7" s="358">
        <f>IF(F7="Yes",1,0)</f>
        <v>1</v>
      </c>
      <c r="I7" s="358" t="str">
        <f>IF(H7=1,C7,IF(H8=1,C8,IF(H9=1,C9,IF(H10=1,C10,IF(H11=1,C16,IF(H12=1,C11,IF(I5=1,C12,IF(H14=1,C13,J15))))))))</f>
        <v>Motor Car</v>
      </c>
      <c r="J7" s="572" t="s">
        <v>382</v>
      </c>
      <c r="K7" s="358"/>
      <c r="N7" s="259" t="s">
        <v>239</v>
      </c>
      <c r="O7" s="217" t="s">
        <v>180</v>
      </c>
      <c r="Q7" s="248">
        <f t="shared" si="0"/>
        <v>4</v>
      </c>
      <c r="IR7" s="1476">
        <f>I3</f>
        <v>45413</v>
      </c>
      <c r="IS7" s="1476"/>
      <c r="IT7" s="1476"/>
    </row>
    <row r="8" spans="1:254" ht="17.149999999999999" customHeight="1" thickBot="1" x14ac:dyDescent="0.3">
      <c r="C8" s="248" t="s">
        <v>209</v>
      </c>
      <c r="F8" s="251" t="s">
        <v>78</v>
      </c>
      <c r="G8" s="358" t="str">
        <f t="shared" si="1"/>
        <v>Jeep</v>
      </c>
      <c r="H8" s="358">
        <f>IF(F8="Yes",1,0)</f>
        <v>1</v>
      </c>
      <c r="I8" s="358"/>
      <c r="J8" s="572" t="s">
        <v>383</v>
      </c>
      <c r="K8" s="358"/>
      <c r="N8" s="259" t="s">
        <v>240</v>
      </c>
      <c r="O8" s="217" t="s">
        <v>181</v>
      </c>
      <c r="Q8" s="248">
        <f t="shared" si="0"/>
        <v>5</v>
      </c>
      <c r="IR8" s="759">
        <f ca="1">TODAY()</f>
        <v>45346</v>
      </c>
    </row>
    <row r="9" spans="1:254" ht="17.149999999999999" customHeight="1" thickBot="1" x14ac:dyDescent="0.3">
      <c r="C9" s="248" t="s">
        <v>210</v>
      </c>
      <c r="F9" s="251" t="s">
        <v>78</v>
      </c>
      <c r="G9" s="358" t="str">
        <f t="shared" si="1"/>
        <v>Dual Purpose</v>
      </c>
      <c r="H9" s="358">
        <f>IF(F9="Yes",1,0)</f>
        <v>1</v>
      </c>
      <c r="I9" s="358"/>
      <c r="J9" s="572" t="s">
        <v>390</v>
      </c>
      <c r="K9" s="358"/>
      <c r="N9" s="259" t="s">
        <v>238</v>
      </c>
      <c r="O9" s="217" t="s">
        <v>182</v>
      </c>
      <c r="Q9" s="248">
        <f t="shared" si="0"/>
        <v>6</v>
      </c>
      <c r="IR9" s="248">
        <f ca="1">IF(IR7&gt;IR8,1,0)</f>
        <v>1</v>
      </c>
    </row>
    <row r="10" spans="1:254" ht="17.149999999999999" customHeight="1" thickBot="1" x14ac:dyDescent="0.3">
      <c r="C10" s="248" t="s">
        <v>211</v>
      </c>
      <c r="F10" s="251" t="s">
        <v>78</v>
      </c>
      <c r="G10" s="358" t="str">
        <f t="shared" si="1"/>
        <v>Motor Coach</v>
      </c>
      <c r="H10" s="358">
        <f>IF(F10="Yes",1,0)</f>
        <v>1</v>
      </c>
      <c r="I10" s="358"/>
      <c r="J10" s="572" t="s">
        <v>427</v>
      </c>
      <c r="K10" s="358"/>
      <c r="N10" s="259" t="s">
        <v>261</v>
      </c>
      <c r="O10" s="217" t="s">
        <v>183</v>
      </c>
      <c r="Q10" s="248">
        <f t="shared" si="0"/>
        <v>7</v>
      </c>
    </row>
    <row r="11" spans="1:254" ht="17.149999999999999" customHeight="1" thickBot="1" x14ac:dyDescent="0.3">
      <c r="C11" s="248" t="s">
        <v>359</v>
      </c>
      <c r="F11" s="251" t="s">
        <v>78</v>
      </c>
      <c r="G11" s="358" t="str">
        <f t="shared" si="1"/>
        <v>Motor Lorry</v>
      </c>
      <c r="H11" s="358">
        <f>IF(F16="Yes",1,0)</f>
        <v>1</v>
      </c>
      <c r="I11" s="358"/>
      <c r="J11" s="572" t="s">
        <v>431</v>
      </c>
      <c r="K11" s="358"/>
      <c r="N11" s="259" t="s">
        <v>242</v>
      </c>
      <c r="O11" s="217" t="s">
        <v>184</v>
      </c>
      <c r="Q11" s="248">
        <f t="shared" si="0"/>
        <v>8</v>
      </c>
    </row>
    <row r="12" spans="1:254" ht="17.149999999999999" customHeight="1" thickBot="1" x14ac:dyDescent="0.3">
      <c r="C12" s="248" t="s">
        <v>212</v>
      </c>
      <c r="F12" s="251" t="s">
        <v>78</v>
      </c>
      <c r="G12" s="358" t="str">
        <f t="shared" si="1"/>
        <v>Three Wheeler</v>
      </c>
      <c r="H12" s="358">
        <f>IF(F11="Yes",1,0)</f>
        <v>1</v>
      </c>
      <c r="I12" s="358"/>
      <c r="J12" s="572" t="s">
        <v>384</v>
      </c>
      <c r="K12" s="358"/>
      <c r="N12" s="259" t="s">
        <v>243</v>
      </c>
      <c r="O12" s="217" t="s">
        <v>185</v>
      </c>
      <c r="Q12" s="248">
        <f t="shared" si="0"/>
        <v>9</v>
      </c>
    </row>
    <row r="13" spans="1:254" ht="17.149999999999999" customHeight="1" thickBot="1" x14ac:dyDescent="0.3">
      <c r="C13" s="248" t="s">
        <v>214</v>
      </c>
      <c r="F13" s="251" t="s">
        <v>78</v>
      </c>
      <c r="G13" s="358" t="str">
        <f t="shared" si="1"/>
        <v>Motor Cycle (Chinese)</v>
      </c>
      <c r="H13" s="358">
        <f>IF(F12="Yes",1,0)</f>
        <v>1</v>
      </c>
      <c r="I13" s="358"/>
      <c r="J13" s="572" t="s">
        <v>416</v>
      </c>
      <c r="K13" s="358"/>
      <c r="N13" s="259" t="s">
        <v>262</v>
      </c>
      <c r="O13" s="217" t="s">
        <v>186</v>
      </c>
      <c r="Q13" s="248">
        <f t="shared" si="0"/>
        <v>10</v>
      </c>
    </row>
    <row r="14" spans="1:254" ht="17.149999999999999" customHeight="1" thickBot="1" x14ac:dyDescent="0.3">
      <c r="C14" s="248" t="s">
        <v>361</v>
      </c>
      <c r="F14" s="251" t="s">
        <v>78</v>
      </c>
      <c r="G14" s="358" t="str">
        <f t="shared" si="1"/>
        <v>Motor Cycle</v>
      </c>
      <c r="H14" s="358">
        <f>IF(F13="Yes",1,0)</f>
        <v>1</v>
      </c>
      <c r="I14" s="358"/>
      <c r="J14" s="572" t="s">
        <v>440</v>
      </c>
      <c r="K14" s="358"/>
      <c r="N14" s="259" t="s">
        <v>263</v>
      </c>
      <c r="O14" s="217" t="s">
        <v>187</v>
      </c>
      <c r="Q14" s="248">
        <f t="shared" si="0"/>
        <v>11</v>
      </c>
    </row>
    <row r="15" spans="1:254" ht="17.149999999999999" customHeight="1" thickBot="1" x14ac:dyDescent="0.3">
      <c r="C15" s="248" t="s">
        <v>215</v>
      </c>
      <c r="F15" s="251" t="s">
        <v>78</v>
      </c>
      <c r="G15" s="358" t="str">
        <f t="shared" si="1"/>
        <v>Tractor</v>
      </c>
      <c r="H15" s="358">
        <f>IF(F14="Yes",1,0)</f>
        <v>1</v>
      </c>
      <c r="I15" s="358"/>
      <c r="J15" s="572" t="s">
        <v>420</v>
      </c>
      <c r="K15" s="358"/>
      <c r="N15" s="259" t="s">
        <v>244</v>
      </c>
      <c r="O15" s="217" t="s">
        <v>188</v>
      </c>
      <c r="Q15" s="248">
        <f t="shared" si="0"/>
        <v>12</v>
      </c>
    </row>
    <row r="16" spans="1:254" ht="17.149999999999999" customHeight="1" thickBot="1" x14ac:dyDescent="0.3">
      <c r="C16" s="248" t="s">
        <v>213</v>
      </c>
      <c r="F16" s="251" t="s">
        <v>78</v>
      </c>
      <c r="G16" s="358" t="str">
        <f t="shared" si="1"/>
        <v>Motor Lorry (Chinese)</v>
      </c>
      <c r="H16" s="358">
        <f>IF(F15="Yes",1,0)</f>
        <v>1</v>
      </c>
      <c r="I16" s="358"/>
      <c r="J16" s="572" t="s">
        <v>424</v>
      </c>
      <c r="K16" s="358"/>
      <c r="N16" s="259" t="s">
        <v>245</v>
      </c>
      <c r="O16" s="217" t="s">
        <v>189</v>
      </c>
      <c r="Q16" s="248">
        <f t="shared" si="0"/>
        <v>13</v>
      </c>
    </row>
    <row r="17" spans="1:17" ht="17.149999999999999" customHeight="1" thickBot="1" x14ac:dyDescent="0.3">
      <c r="C17" s="248" t="s">
        <v>216</v>
      </c>
      <c r="F17" s="251" t="s">
        <v>78</v>
      </c>
      <c r="G17" s="358" t="str">
        <f t="shared" si="1"/>
        <v>Others</v>
      </c>
      <c r="H17" s="358">
        <f>IF(F17="Yes",1,0)</f>
        <v>1</v>
      </c>
      <c r="I17" s="360"/>
      <c r="J17" s="572" t="s">
        <v>391</v>
      </c>
      <c r="K17" s="358"/>
      <c r="N17" s="259" t="s">
        <v>246</v>
      </c>
      <c r="O17" s="217" t="s">
        <v>190</v>
      </c>
      <c r="Q17" s="248">
        <f t="shared" si="0"/>
        <v>14</v>
      </c>
    </row>
    <row r="18" spans="1:17" ht="17.149999999999999" customHeight="1" x14ac:dyDescent="0.25">
      <c r="H18" s="358"/>
      <c r="I18" s="360"/>
      <c r="J18" s="572" t="s">
        <v>386</v>
      </c>
      <c r="K18" s="358"/>
      <c r="N18" s="259" t="s">
        <v>247</v>
      </c>
      <c r="O18" s="217" t="s">
        <v>191</v>
      </c>
      <c r="Q18" s="248">
        <f t="shared" si="0"/>
        <v>15</v>
      </c>
    </row>
    <row r="19" spans="1:17" ht="17.149999999999999" customHeight="1" thickBot="1" x14ac:dyDescent="0.3">
      <c r="G19" s="358"/>
      <c r="H19" s="358"/>
      <c r="I19" s="358"/>
      <c r="J19" s="572" t="s">
        <v>387</v>
      </c>
      <c r="K19" s="358"/>
      <c r="N19" s="259" t="s">
        <v>248</v>
      </c>
      <c r="O19" s="217" t="s">
        <v>192</v>
      </c>
      <c r="Q19" s="248">
        <f t="shared" ref="Q19:Q31" si="2">Q18+1</f>
        <v>16</v>
      </c>
    </row>
    <row r="20" spans="1:17" ht="17.149999999999999" customHeight="1" thickBot="1" x14ac:dyDescent="0.3">
      <c r="A20" s="252" t="s">
        <v>35</v>
      </c>
      <c r="C20" s="248" t="s">
        <v>323</v>
      </c>
      <c r="F20" s="251" t="s">
        <v>78</v>
      </c>
      <c r="G20" s="358" t="str">
        <f>IF(F20="Yes",C20,"")</f>
        <v>Private Use Only</v>
      </c>
      <c r="H20" s="358"/>
      <c r="I20" s="358" t="str">
        <f>IF(G20&lt;&gt;"",G20,IF(G21&lt;&gt;"",G21,IF(G22&lt;&gt;"",G22,IF(G23&lt;&gt;"",G23,IF(G24&lt;&gt;"",G24,"")))))</f>
        <v>Private Use Only</v>
      </c>
      <c r="J20" s="572" t="s">
        <v>429</v>
      </c>
      <c r="K20" s="358"/>
      <c r="N20" s="259" t="s">
        <v>249</v>
      </c>
      <c r="O20" s="217" t="s">
        <v>176</v>
      </c>
      <c r="Q20" s="248">
        <f t="shared" si="2"/>
        <v>17</v>
      </c>
    </row>
    <row r="21" spans="1:17" ht="17.149999999999999" customHeight="1" thickBot="1" x14ac:dyDescent="0.3">
      <c r="C21" s="248" t="s">
        <v>41</v>
      </c>
      <c r="F21" s="251" t="s">
        <v>78</v>
      </c>
      <c r="G21" s="358" t="str">
        <f>IF(F21="Yes",C21,"")</f>
        <v>Hiring</v>
      </c>
      <c r="I21" s="358" t="str">
        <f>IF(AND(G21&lt;&gt;"",G21&lt;&gt;I20),G21,IF(AND(G22&lt;&gt;"",G22&lt;&gt;I20),G22,IF(AND(G23&lt;&gt;"",G23&lt;&gt;I20),G23,IF(AND(G24&lt;&gt;"",G24&lt;&gt;I20),G24,""))))</f>
        <v>Hiring</v>
      </c>
      <c r="J21" s="572" t="s">
        <v>388</v>
      </c>
      <c r="K21" s="358"/>
      <c r="N21" s="259" t="s">
        <v>250</v>
      </c>
      <c r="O21" s="217" t="s">
        <v>193</v>
      </c>
      <c r="Q21" s="248">
        <f t="shared" si="2"/>
        <v>18</v>
      </c>
    </row>
    <row r="22" spans="1:17" ht="18" customHeight="1" thickBot="1" x14ac:dyDescent="0.3">
      <c r="C22" s="248" t="s">
        <v>7</v>
      </c>
      <c r="F22" s="251" t="s">
        <v>78</v>
      </c>
      <c r="G22" s="358" t="str">
        <f>IF(F22="Yes",C22,"")</f>
        <v>Rent A Vehicle</v>
      </c>
      <c r="H22" s="358"/>
      <c r="I22" s="358" t="str">
        <f>IF(AND(G22&lt;&gt;"",G22&lt;&gt;I21,G22&lt;&gt;I20),G22,IF(AND(G23&lt;&gt;"",G23&lt;&gt;I21,G23&lt;&gt;I20),G23,IF(AND(G24&lt;&gt;"",G24&lt;&gt;I20,G24&lt;&gt;I21),G24,"")))</f>
        <v>Rent A Vehicle</v>
      </c>
      <c r="J22" s="572" t="s">
        <v>423</v>
      </c>
      <c r="K22" s="358"/>
      <c r="N22" s="259" t="s">
        <v>251</v>
      </c>
      <c r="O22" s="217" t="s">
        <v>194</v>
      </c>
      <c r="Q22" s="248">
        <f t="shared" si="2"/>
        <v>19</v>
      </c>
    </row>
    <row r="23" spans="1:17" ht="18" customHeight="1" thickBot="1" x14ac:dyDescent="0.3">
      <c r="C23" s="248" t="s">
        <v>219</v>
      </c>
      <c r="F23" s="251" t="s">
        <v>78</v>
      </c>
      <c r="G23" s="358" t="str">
        <f>IF(F23="Yes",C23,"")</f>
        <v xml:space="preserve">SLTB Route </v>
      </c>
      <c r="H23" s="358"/>
      <c r="I23" s="358" t="str">
        <f>IF(AND(G23&lt;&gt;"",I20&lt;&gt;G23,I21&lt;&gt;G23,I22&lt;&gt;G23),G23,IF(AND(G24&lt;&gt;"",G24&lt;&gt;I20,G24&lt;&gt;I21,G24&lt;&gt;I22),G24,""))</f>
        <v xml:space="preserve">SLTB Route </v>
      </c>
      <c r="J23" s="572" t="s">
        <v>422</v>
      </c>
      <c r="K23" s="358"/>
      <c r="N23" s="259" t="s">
        <v>252</v>
      </c>
      <c r="O23" s="217" t="s">
        <v>195</v>
      </c>
      <c r="Q23" s="248">
        <f t="shared" si="2"/>
        <v>20</v>
      </c>
    </row>
    <row r="24" spans="1:17" ht="18" customHeight="1" thickBot="1" x14ac:dyDescent="0.3">
      <c r="C24" s="248" t="s">
        <v>221</v>
      </c>
      <c r="F24" s="251" t="s">
        <v>114</v>
      </c>
      <c r="G24" s="358" t="str">
        <f>IF(F24="Yes",C24,"")</f>
        <v/>
      </c>
      <c r="H24" s="358"/>
      <c r="I24" s="358" t="str">
        <f>IF(AND(G24&lt;&gt;"",I21&lt;&gt;G24,I22&lt;&gt;G24,I23&lt;&gt;G24,G24&lt;&gt;I20),G24,"")</f>
        <v/>
      </c>
      <c r="J24" s="572" t="s">
        <v>432</v>
      </c>
      <c r="K24" s="358"/>
      <c r="N24" s="259" t="s">
        <v>253</v>
      </c>
      <c r="O24" s="217" t="s">
        <v>196</v>
      </c>
      <c r="Q24" s="248">
        <f t="shared" si="2"/>
        <v>21</v>
      </c>
    </row>
    <row r="25" spans="1:17" ht="18" customHeight="1" x14ac:dyDescent="0.25">
      <c r="G25" s="358"/>
      <c r="H25" s="358"/>
      <c r="I25" s="358"/>
      <c r="J25" s="572" t="s">
        <v>419</v>
      </c>
      <c r="K25" s="358"/>
      <c r="N25" s="259" t="s">
        <v>254</v>
      </c>
      <c r="O25" s="217" t="s">
        <v>197</v>
      </c>
      <c r="Q25" s="248">
        <f t="shared" si="2"/>
        <v>22</v>
      </c>
    </row>
    <row r="26" spans="1:17" ht="18" customHeight="1" thickBot="1" x14ac:dyDescent="0.3">
      <c r="G26" s="358"/>
      <c r="H26" s="358"/>
      <c r="I26" s="358"/>
      <c r="J26" s="572" t="s">
        <v>394</v>
      </c>
      <c r="K26" s="358"/>
      <c r="N26" s="259" t="s">
        <v>255</v>
      </c>
      <c r="O26" s="217" t="s">
        <v>198</v>
      </c>
      <c r="Q26" s="248">
        <f t="shared" si="2"/>
        <v>23</v>
      </c>
    </row>
    <row r="27" spans="1:17" ht="25" customHeight="1" thickBot="1" x14ac:dyDescent="0.35">
      <c r="A27" s="253" t="s">
        <v>217</v>
      </c>
      <c r="F27" s="251" t="s">
        <v>78</v>
      </c>
      <c r="G27" s="358"/>
      <c r="H27" s="358"/>
      <c r="I27" s="358"/>
      <c r="J27" s="572" t="s">
        <v>418</v>
      </c>
      <c r="K27" s="358"/>
      <c r="N27" s="259" t="s">
        <v>256</v>
      </c>
      <c r="O27" s="217" t="s">
        <v>199</v>
      </c>
      <c r="Q27" s="248">
        <f t="shared" si="2"/>
        <v>24</v>
      </c>
    </row>
    <row r="28" spans="1:17" ht="25" customHeight="1" thickBot="1" x14ac:dyDescent="0.3">
      <c r="G28" s="358"/>
      <c r="H28" s="358"/>
      <c r="I28" s="358"/>
      <c r="J28" s="572" t="s">
        <v>426</v>
      </c>
      <c r="K28" s="358"/>
      <c r="N28" s="259" t="s">
        <v>257</v>
      </c>
      <c r="O28" s="217" t="s">
        <v>200</v>
      </c>
      <c r="Q28" s="248">
        <f t="shared" si="2"/>
        <v>25</v>
      </c>
    </row>
    <row r="29" spans="1:17" ht="25" customHeight="1" thickBot="1" x14ac:dyDescent="0.35">
      <c r="A29" s="218" t="s">
        <v>278</v>
      </c>
      <c r="C29" s="1"/>
      <c r="F29" s="277">
        <v>19</v>
      </c>
      <c r="G29" s="358"/>
      <c r="I29" s="358"/>
      <c r="J29" s="572" t="s">
        <v>428</v>
      </c>
      <c r="K29" s="358"/>
      <c r="N29" s="259" t="s">
        <v>258</v>
      </c>
      <c r="O29" s="217" t="s">
        <v>201</v>
      </c>
      <c r="Q29" s="248">
        <f t="shared" si="2"/>
        <v>26</v>
      </c>
    </row>
    <row r="30" spans="1:17" ht="25" customHeight="1" thickBot="1" x14ac:dyDescent="0.3">
      <c r="G30" s="358"/>
      <c r="H30" s="358"/>
      <c r="I30" s="358"/>
      <c r="J30" s="572" t="s">
        <v>441</v>
      </c>
      <c r="K30" s="358"/>
      <c r="N30" s="259" t="s">
        <v>259</v>
      </c>
      <c r="O30" s="217" t="s">
        <v>202</v>
      </c>
      <c r="Q30" s="248">
        <f t="shared" si="2"/>
        <v>27</v>
      </c>
    </row>
    <row r="31" spans="1:17" ht="25" customHeight="1" thickBot="1" x14ac:dyDescent="0.35">
      <c r="A31" s="218" t="s">
        <v>289</v>
      </c>
      <c r="C31" s="1"/>
      <c r="F31" s="251" t="s">
        <v>78</v>
      </c>
      <c r="J31" s="572" t="s">
        <v>430</v>
      </c>
      <c r="N31" s="259" t="s">
        <v>260</v>
      </c>
      <c r="O31" s="217" t="s">
        <v>203</v>
      </c>
      <c r="Q31" s="248">
        <f t="shared" si="2"/>
        <v>28</v>
      </c>
    </row>
    <row r="32" spans="1:17" ht="8.25" customHeight="1" x14ac:dyDescent="0.25">
      <c r="A32" s="1480" t="str">
        <f>IF(F31="Yes","I hereby declare that I have read and understood the terms and conditions of the covers provided under this quote and agree to them.","")</f>
        <v>I hereby declare that I have read and understood the terms and conditions of the covers provided under this quote and agree to them.</v>
      </c>
      <c r="B32" s="1480"/>
      <c r="C32" s="1480"/>
      <c r="D32" s="1480"/>
      <c r="E32" s="1480"/>
      <c r="F32" s="1480"/>
      <c r="G32" s="1480"/>
      <c r="J32" s="572" t="s">
        <v>421</v>
      </c>
      <c r="N32" s="259"/>
      <c r="Q32" s="248">
        <f>IF(AND(M3&lt;&gt;0,G3=2),"",29)</f>
        <v>29</v>
      </c>
    </row>
    <row r="33" spans="1:17" ht="25" customHeight="1" x14ac:dyDescent="0.25">
      <c r="A33" s="1480"/>
      <c r="B33" s="1480"/>
      <c r="C33" s="1480"/>
      <c r="D33" s="1480"/>
      <c r="E33" s="1480"/>
      <c r="F33" s="1480"/>
      <c r="G33" s="1480"/>
      <c r="J33" s="572" t="s">
        <v>389</v>
      </c>
      <c r="N33" s="259"/>
      <c r="Q33" s="248">
        <f>IF(G3=2,"",30)</f>
        <v>30</v>
      </c>
    </row>
    <row r="34" spans="1:17" ht="25" customHeight="1" x14ac:dyDescent="0.25">
      <c r="I34" s="573" t="s">
        <v>443</v>
      </c>
      <c r="J34" s="572"/>
      <c r="N34" s="259"/>
      <c r="Q34" s="248">
        <f>IF(OR(G3=2,G3=4,G3=6,G3=9,G3=11),"",31)</f>
        <v>31</v>
      </c>
    </row>
    <row r="35" spans="1:17" ht="25" customHeight="1" x14ac:dyDescent="0.25">
      <c r="J35" s="572"/>
      <c r="N35" s="259"/>
    </row>
    <row r="36" spans="1:17" ht="25" customHeight="1" x14ac:dyDescent="0.25">
      <c r="J36" s="572"/>
    </row>
    <row r="37" spans="1:17" ht="25" customHeight="1" x14ac:dyDescent="0.25">
      <c r="J37" s="572"/>
    </row>
    <row r="38" spans="1:17" ht="25" customHeight="1" x14ac:dyDescent="0.25">
      <c r="J38" s="572"/>
    </row>
    <row r="39" spans="1:17" ht="25" customHeight="1" x14ac:dyDescent="0.25">
      <c r="J39" s="572"/>
    </row>
    <row r="40" spans="1:17" ht="25" customHeight="1" x14ac:dyDescent="0.25">
      <c r="J40" s="572"/>
    </row>
  </sheetData>
  <dataConsolidate/>
  <mergeCells count="4">
    <mergeCell ref="A1:D1"/>
    <mergeCell ref="IR7:IT7"/>
    <mergeCell ref="C5:E5"/>
    <mergeCell ref="A32:G33"/>
  </mergeCells>
  <phoneticPr fontId="28" type="noConversion"/>
  <conditionalFormatting sqref="F27 F20:F24 F7:F17 F31">
    <cfRule type="cellIs" dxfId="342" priority="1" stopIfTrue="1" operator="equal">
      <formula>"No"</formula>
    </cfRule>
  </conditionalFormatting>
  <dataValidations count="6">
    <dataValidation type="list" allowBlank="1" showInputMessage="1" showErrorMessage="1" sqref="F29" xr:uid="{00000000-0002-0000-0000-000000000000}">
      <formula1>"10,11,12,13,14,15,16,17,18,19,20,21,22,23,24,25,26,27,28,29,30"</formula1>
    </dataValidation>
    <dataValidation type="list" allowBlank="1" showInputMessage="1" showErrorMessage="1" sqref="C5" xr:uid="{00000000-0002-0000-0000-000001000000}">
      <formula1>Branch</formula1>
    </dataValidation>
    <dataValidation type="list" allowBlank="1" showInputMessage="1" showErrorMessage="1" sqref="F27 F31 F7:F17 F20:F24" xr:uid="{00000000-0002-0000-0000-000002000000}">
      <formula1>"Yes,No"</formula1>
    </dataValidation>
    <dataValidation type="list" allowBlank="1" showInputMessage="1" showErrorMessage="1" sqref="IR5" xr:uid="{00000000-0002-0000-0000-000003000000}">
      <formula1>"2021,2023,2024"</formula1>
    </dataValidation>
    <dataValidation type="list" allowBlank="1" showInputMessage="1" showErrorMessage="1" sqref="IT5" xr:uid="{00000000-0002-0000-0000-000004000000}">
      <formula1>Date</formula1>
    </dataValidation>
    <dataValidation type="list" allowBlank="1" showInputMessage="1" showErrorMessage="1" sqref="IS5" xr:uid="{00000000-0002-0000-0000-000005000000}">
      <formula1>"January,February,March,April,May,June,July,August,September,October,November,December"</formula1>
    </dataValidation>
  </dataValidations>
  <pageMargins left="0.75" right="0.75" top="1" bottom="1" header="0.5" footer="0.5"/>
  <pageSetup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tabColor indexed="44"/>
    <pageSetUpPr fitToPage="1"/>
  </sheetPr>
  <dimension ref="A1:IU173"/>
  <sheetViews>
    <sheetView showGridLines="0" showOutlineSymbols="0" topLeftCell="A16" zoomScale="80" zoomScaleNormal="80" workbookViewId="0">
      <selection activeCell="Q33" sqref="Q33"/>
    </sheetView>
  </sheetViews>
  <sheetFormatPr defaultColWidth="0" defaultRowHeight="12.5" zeroHeight="1" x14ac:dyDescent="0.25"/>
  <cols>
    <col min="1" max="1" width="2.453125" style="971" customWidth="1"/>
    <col min="2" max="2" width="1.26953125" style="971" customWidth="1"/>
    <col min="3" max="3" width="4.26953125" style="971" customWidth="1"/>
    <col min="4" max="4" width="10.453125" style="971" customWidth="1"/>
    <col min="5" max="5" width="4.453125" style="971" customWidth="1"/>
    <col min="6" max="6" width="13.26953125" style="971" customWidth="1"/>
    <col min="7" max="7" width="4.26953125" style="971" customWidth="1"/>
    <col min="8" max="8" width="1.54296875" style="971" customWidth="1"/>
    <col min="9" max="9" width="16.81640625" style="971" customWidth="1"/>
    <col min="10" max="11" width="1.81640625" style="971" customWidth="1"/>
    <col min="12" max="12" width="4.81640625" style="971" customWidth="1"/>
    <col min="13" max="13" width="9.81640625" style="971" customWidth="1"/>
    <col min="14" max="14" width="5.1796875" style="971" customWidth="1"/>
    <col min="15" max="15" width="8.7265625" style="971" customWidth="1"/>
    <col min="16" max="16" width="3.7265625" style="971" customWidth="1"/>
    <col min="17" max="17" width="7.26953125" style="971" customWidth="1"/>
    <col min="18" max="18" width="24.81640625" style="971" customWidth="1"/>
    <col min="19" max="19" width="4.7265625" style="971" customWidth="1"/>
    <col min="20" max="20" width="8.81640625" style="971" customWidth="1"/>
    <col min="21" max="21" width="3.54296875" style="971" hidden="1" customWidth="1"/>
    <col min="22" max="22" width="6.81640625" style="974" hidden="1" customWidth="1"/>
    <col min="23" max="24" width="6.453125" style="974" hidden="1" customWidth="1"/>
    <col min="25" max="25" width="4.453125" style="974" hidden="1" customWidth="1"/>
    <col min="26" max="26" width="6.81640625" style="974" hidden="1" customWidth="1"/>
    <col min="27" max="27" width="3.453125" style="974" hidden="1" customWidth="1"/>
    <col min="28" max="28" width="8.81640625" style="974" hidden="1" customWidth="1"/>
    <col min="29" max="29" width="10.1796875" style="974" hidden="1" customWidth="1"/>
    <col min="30" max="253" width="8.81640625" style="971" hidden="1" customWidth="1"/>
    <col min="254" max="254" width="5.7265625" style="971" hidden="1" customWidth="1"/>
    <col min="255" max="255" width="5.1796875" style="971" hidden="1" customWidth="1"/>
    <col min="256" max="16384" width="5.453125" style="971" hidden="1"/>
  </cols>
  <sheetData>
    <row r="1" spans="1:28" s="974" customFormat="1" ht="45" customHeight="1" thickTop="1" x14ac:dyDescent="0.45">
      <c r="A1" s="967"/>
      <c r="B1" s="968"/>
      <c r="C1" s="969" t="s">
        <v>564</v>
      </c>
      <c r="D1" s="970"/>
      <c r="E1" s="970"/>
      <c r="F1" s="970"/>
      <c r="G1" s="970"/>
      <c r="H1" s="970"/>
      <c r="I1" s="970"/>
      <c r="J1" s="970"/>
      <c r="K1" s="970"/>
      <c r="L1" s="970"/>
      <c r="M1" s="1717" t="str">
        <f ca="1">CONCATENATE('MC Working'!H2," - (QI Code - ", X4,"-",W4,"-",Y4,"-",Z4,"-",AA4,"-", AB4)</f>
        <v>Special Leasing/2019 - (QI Code - 0-0-000-0-0-ATI)</v>
      </c>
      <c r="N1" s="1717"/>
      <c r="O1" s="1717"/>
      <c r="P1" s="1717"/>
      <c r="Q1" s="1717"/>
      <c r="R1" s="1717"/>
      <c r="S1" s="1718"/>
      <c r="T1" s="971"/>
      <c r="U1" s="972"/>
      <c r="V1" s="973"/>
      <c r="W1" s="973"/>
      <c r="X1" s="973"/>
      <c r="Y1" s="973"/>
      <c r="Z1" s="973"/>
      <c r="AA1" s="973"/>
      <c r="AB1" s="973"/>
    </row>
    <row r="2" spans="1:28" s="974" customFormat="1" ht="33.75" customHeight="1" x14ac:dyDescent="0.25">
      <c r="A2" s="975"/>
      <c r="B2" s="976"/>
      <c r="C2" s="977"/>
      <c r="D2" s="977"/>
      <c r="E2" s="977"/>
      <c r="F2" s="977"/>
      <c r="G2" s="977"/>
      <c r="H2" s="977"/>
      <c r="I2" s="977"/>
      <c r="J2" s="977"/>
      <c r="K2" s="977"/>
      <c r="L2" s="977"/>
      <c r="M2" s="1719" t="str">
        <f>IF(U3=0,CONCATENATE("Print  ",'MC Working'!Y48,"  Sheet"),"")</f>
        <v/>
      </c>
      <c r="N2" s="1719"/>
      <c r="O2" s="1719"/>
      <c r="P2" s="1719"/>
      <c r="Q2" s="1719"/>
      <c r="R2" s="1719"/>
      <c r="S2" s="979"/>
      <c r="T2" s="971"/>
      <c r="U2" s="972"/>
      <c r="V2" s="973"/>
      <c r="W2" s="973"/>
      <c r="X2" s="973"/>
      <c r="Y2" s="973"/>
      <c r="Z2" s="973"/>
      <c r="AA2" s="973"/>
      <c r="AB2" s="973"/>
    </row>
    <row r="3" spans="1:28" s="974" customFormat="1" ht="13" customHeight="1" x14ac:dyDescent="0.25">
      <c r="A3" s="975"/>
      <c r="B3" s="976"/>
      <c r="C3" s="977"/>
      <c r="D3" s="977"/>
      <c r="E3" s="977"/>
      <c r="F3" s="977"/>
      <c r="G3" s="977"/>
      <c r="H3" s="977"/>
      <c r="I3" s="977"/>
      <c r="J3" s="977"/>
      <c r="K3" s="977"/>
      <c r="L3" s="977"/>
      <c r="M3" s="978"/>
      <c r="N3" s="978"/>
      <c r="O3" s="978"/>
      <c r="P3" s="978"/>
      <c r="Q3" s="978"/>
      <c r="R3" s="978"/>
      <c r="S3" s="979"/>
      <c r="T3" s="971"/>
      <c r="U3" s="971">
        <f>IF(AND('MC Working'!Z2=1,'MC Working'!Y48="Motor Cycle Policy"),1,0)</f>
        <v>1</v>
      </c>
      <c r="V3" s="973"/>
      <c r="W3" s="973"/>
      <c r="X3" s="973"/>
      <c r="Y3" s="973"/>
      <c r="Z3" s="973"/>
      <c r="AA3" s="973"/>
      <c r="AB3" s="973"/>
    </row>
    <row r="4" spans="1:28" s="974" customFormat="1" ht="20.25" customHeight="1" x14ac:dyDescent="0.35">
      <c r="A4" s="975"/>
      <c r="B4" s="980"/>
      <c r="C4" s="981" t="s">
        <v>529</v>
      </c>
      <c r="D4" s="982"/>
      <c r="E4" s="983"/>
      <c r="F4" s="984"/>
      <c r="G4" s="980"/>
      <c r="H4" s="982"/>
      <c r="I4" s="982"/>
      <c r="J4" s="982"/>
      <c r="K4" s="982"/>
      <c r="L4" s="985"/>
      <c r="M4" s="986"/>
      <c r="N4" s="986"/>
      <c r="O4" s="981"/>
      <c r="P4" s="1720">
        <f ca="1">TODAY()</f>
        <v>45346</v>
      </c>
      <c r="Q4" s="1720"/>
      <c r="R4" s="1720"/>
      <c r="S4" s="987"/>
      <c r="T4" s="971"/>
      <c r="U4" s="971"/>
      <c r="W4" s="988">
        <f ca="1">IF('MC Working'!$M$37&lt;0,'MC Working'!$G$37*2,0)</f>
        <v>0</v>
      </c>
      <c r="X4" s="988">
        <f ca="1">IF('MC Working'!$M$36&lt;0,'MC Working'!$H$36*2,0)</f>
        <v>0</v>
      </c>
      <c r="Y4" s="989" t="str">
        <f>IF('MC Working'!$B$21="Free","000","111")</f>
        <v>000</v>
      </c>
      <c r="Z4" s="990">
        <f ca="1">IF('MC Working'!$M$23&lt;0,'MC Working'!$H$23*2,0)</f>
        <v>0</v>
      </c>
      <c r="AA4" s="991">
        <f>'MC Working'!$N$60</f>
        <v>0</v>
      </c>
      <c r="AB4" s="974" t="str">
        <f>IF('MC Working'!$C$2="Yes","GUD)","ATI)")</f>
        <v>ATI)</v>
      </c>
    </row>
    <row r="5" spans="1:28" s="974" customFormat="1" ht="13.5" customHeight="1" x14ac:dyDescent="0.3">
      <c r="A5" s="975"/>
      <c r="B5" s="980"/>
      <c r="C5" s="984" t="s">
        <v>425</v>
      </c>
      <c r="D5" s="983"/>
      <c r="E5" s="983"/>
      <c r="F5" s="984"/>
      <c r="G5" s="980"/>
      <c r="H5" s="980"/>
      <c r="I5" s="980"/>
      <c r="J5" s="980"/>
      <c r="K5" s="980"/>
      <c r="L5" s="980"/>
      <c r="M5" s="986"/>
      <c r="N5" s="986"/>
      <c r="O5" s="981"/>
      <c r="P5" s="981"/>
      <c r="Q5" s="992"/>
      <c r="R5" s="993"/>
      <c r="S5" s="994"/>
      <c r="T5" s="971"/>
      <c r="U5" s="971"/>
      <c r="W5" s="973"/>
      <c r="X5" s="995"/>
      <c r="Y5" s="996"/>
      <c r="Z5" s="997"/>
      <c r="AA5" s="998"/>
      <c r="AB5" s="973"/>
    </row>
    <row r="6" spans="1:28" s="974" customFormat="1" ht="5.15" customHeight="1" x14ac:dyDescent="0.35">
      <c r="A6" s="975"/>
      <c r="B6" s="980"/>
      <c r="C6" s="999"/>
      <c r="D6" s="1000"/>
      <c r="E6" s="1000"/>
      <c r="F6" s="1000"/>
      <c r="G6" s="1000"/>
      <c r="H6" s="1000"/>
      <c r="I6" s="1000"/>
      <c r="J6" s="1000"/>
      <c r="K6" s="1000"/>
      <c r="L6" s="1000"/>
      <c r="M6" s="1001"/>
      <c r="N6" s="1001"/>
      <c r="O6" s="1001"/>
      <c r="P6" s="1001"/>
      <c r="Q6" s="1001"/>
      <c r="R6" s="1001"/>
      <c r="S6" s="994"/>
      <c r="T6" s="971"/>
      <c r="U6" s="971"/>
    </row>
    <row r="7" spans="1:28" s="974" customFormat="1" ht="18" customHeight="1" x14ac:dyDescent="0.3">
      <c r="A7" s="975"/>
      <c r="B7" s="980"/>
      <c r="C7" s="1002" t="s">
        <v>297</v>
      </c>
      <c r="D7" s="1003"/>
      <c r="E7" s="1003"/>
      <c r="F7" s="1003"/>
      <c r="G7" s="1003"/>
      <c r="H7" s="1003"/>
      <c r="I7" s="1003"/>
      <c r="J7" s="1003"/>
      <c r="K7" s="982"/>
      <c r="L7" s="1004" t="s">
        <v>25</v>
      </c>
      <c r="M7" s="1005"/>
      <c r="N7" s="982"/>
      <c r="O7" s="1006"/>
      <c r="P7" s="1721" t="str">
        <f>IF(AND(U3=1,'MC Working'!U2=1),UPPER('MC Working'!H8),"")</f>
        <v>MOTOR CYCLE</v>
      </c>
      <c r="Q7" s="1721"/>
      <c r="R7" s="1721"/>
      <c r="S7" s="1722"/>
      <c r="T7" s="971"/>
      <c r="U7" s="971"/>
    </row>
    <row r="8" spans="1:28" s="974" customFormat="1" ht="18" customHeight="1" x14ac:dyDescent="0.25">
      <c r="A8" s="975"/>
      <c r="B8" s="980"/>
      <c r="C8" s="1723" t="s">
        <v>526</v>
      </c>
      <c r="D8" s="1724"/>
      <c r="E8" s="1724"/>
      <c r="F8" s="1724"/>
      <c r="G8" s="1724"/>
      <c r="H8" s="1724"/>
      <c r="I8" s="1724"/>
      <c r="J8" s="1725"/>
      <c r="K8" s="1007"/>
      <c r="L8" s="1004" t="s">
        <v>108</v>
      </c>
      <c r="M8" s="1008"/>
      <c r="N8" s="1006"/>
      <c r="O8" s="1006"/>
      <c r="P8" s="1723" t="s">
        <v>526</v>
      </c>
      <c r="Q8" s="1724"/>
      <c r="R8" s="1725"/>
      <c r="S8" s="1009"/>
      <c r="T8" s="971"/>
      <c r="U8" s="971"/>
    </row>
    <row r="9" spans="1:28" s="974" customFormat="1" ht="18" customHeight="1" x14ac:dyDescent="0.3">
      <c r="A9" s="975"/>
      <c r="B9" s="980"/>
      <c r="C9" s="1010" t="str">
        <f>IF(AND('MC Working'!H12="HYBRID",'MC Working'!H14="No",'MC Working'!B12="Corporate"),CONCATENATE("(",'MC Working'!B12," CUSTOMER)"),"")</f>
        <v/>
      </c>
      <c r="D9" s="1011"/>
      <c r="E9" s="1011"/>
      <c r="F9" s="1011"/>
      <c r="G9" s="1011"/>
      <c r="H9" s="1011"/>
      <c r="I9" s="1011"/>
      <c r="J9" s="1011"/>
      <c r="K9" s="1007"/>
      <c r="L9" s="1004" t="s">
        <v>377</v>
      </c>
      <c r="M9" s="1012"/>
      <c r="N9" s="1006"/>
      <c r="O9" s="1006"/>
      <c r="P9" s="1723" t="s">
        <v>522</v>
      </c>
      <c r="Q9" s="1724"/>
      <c r="R9" s="1725"/>
      <c r="S9" s="1013"/>
      <c r="T9" s="971"/>
      <c r="U9" s="971"/>
    </row>
    <row r="10" spans="1:28" s="974" customFormat="1" ht="18" customHeight="1" x14ac:dyDescent="0.3">
      <c r="A10" s="975"/>
      <c r="B10" s="980"/>
      <c r="C10" s="1002" t="s">
        <v>296</v>
      </c>
      <c r="D10" s="1003"/>
      <c r="E10" s="1003"/>
      <c r="F10" s="1003"/>
      <c r="G10" s="1014"/>
      <c r="H10" s="1014"/>
      <c r="I10" s="1014"/>
      <c r="J10" s="1014"/>
      <c r="K10" s="1015"/>
      <c r="L10" s="1004" t="s">
        <v>357</v>
      </c>
      <c r="M10" s="1012"/>
      <c r="N10" s="1016"/>
      <c r="O10" s="1016"/>
      <c r="P10" s="1727" t="s">
        <v>525</v>
      </c>
      <c r="Q10" s="1727"/>
      <c r="R10" s="1017" t="s">
        <v>527</v>
      </c>
      <c r="S10" s="1018"/>
      <c r="T10" s="971"/>
      <c r="U10" s="971"/>
    </row>
    <row r="11" spans="1:28" s="974" customFormat="1" ht="18" customHeight="1" x14ac:dyDescent="0.25">
      <c r="A11" s="975"/>
      <c r="B11" s="980"/>
      <c r="C11" s="1723" t="s">
        <v>526</v>
      </c>
      <c r="D11" s="1724"/>
      <c r="E11" s="1724"/>
      <c r="F11" s="1724"/>
      <c r="G11" s="1724"/>
      <c r="H11" s="1724"/>
      <c r="I11" s="1724"/>
      <c r="J11" s="1725"/>
      <c r="K11" s="1007"/>
      <c r="L11" s="1004" t="s">
        <v>34</v>
      </c>
      <c r="M11" s="1008"/>
      <c r="N11" s="1019"/>
      <c r="O11" s="1016"/>
      <c r="P11" s="1723" t="s">
        <v>528</v>
      </c>
      <c r="Q11" s="1724"/>
      <c r="R11" s="1725"/>
      <c r="S11" s="1020"/>
      <c r="T11" s="971"/>
      <c r="U11" s="971"/>
    </row>
    <row r="12" spans="1:28" s="974" customFormat="1" ht="18" customHeight="1" x14ac:dyDescent="0.3">
      <c r="A12" s="975"/>
      <c r="B12" s="980"/>
      <c r="C12" s="1021" t="s">
        <v>298</v>
      </c>
      <c r="D12" s="1003"/>
      <c r="E12" s="1003"/>
      <c r="F12" s="1003"/>
      <c r="G12" s="1022"/>
      <c r="H12" s="1022"/>
      <c r="I12" s="1022"/>
      <c r="J12" s="1022"/>
      <c r="K12" s="1023"/>
      <c r="L12" s="1004" t="s">
        <v>35</v>
      </c>
      <c r="M12" s="1008"/>
      <c r="N12" s="1024"/>
      <c r="O12" s="1024"/>
      <c r="P12" s="1728" t="str">
        <f>IF('MC Working'!U2=1,UPPER(V12),"")</f>
        <v>PRIVATE USE ONLY</v>
      </c>
      <c r="Q12" s="1728"/>
      <c r="R12" s="1728"/>
      <c r="S12" s="1026"/>
      <c r="T12" s="971"/>
      <c r="U12" s="971"/>
      <c r="V12" s="974" t="str">
        <f>IF('MC Working'!H9="Private Use","Private Use Only",'MC Working'!H9)</f>
        <v>Private Use Only</v>
      </c>
    </row>
    <row r="13" spans="1:28" s="974" customFormat="1" ht="20.25" customHeight="1" x14ac:dyDescent="0.3">
      <c r="A13" s="975"/>
      <c r="B13" s="1027">
        <f>IF(OR(C13=I86,C13=I87,C13=I88,C13=I89,C13=I90,C13=I91,C13=I92,C13=I93,C13=I94,C13=I95,C13=I96,C13=I97,C13=I98),1,0)</f>
        <v>0</v>
      </c>
      <c r="C13" s="1729" t="s">
        <v>556</v>
      </c>
      <c r="D13" s="1730"/>
      <c r="E13" s="1730"/>
      <c r="F13" s="1730"/>
      <c r="G13" s="1730"/>
      <c r="H13" s="1730"/>
      <c r="I13" s="1730"/>
      <c r="J13" s="1731"/>
      <c r="K13" s="1028"/>
      <c r="L13" s="1004" t="s">
        <v>408</v>
      </c>
      <c r="M13" s="1008"/>
      <c r="N13" s="1024"/>
      <c r="O13" s="1024"/>
      <c r="P13" s="1732">
        <v>2020</v>
      </c>
      <c r="Q13" s="1733"/>
      <c r="R13" s="1029">
        <f>IF(U3=1,'MC Working'!T12,"")</f>
        <v>2</v>
      </c>
      <c r="S13" s="1026"/>
      <c r="T13" s="1030">
        <f>IF(I13="Ijarah","Ijarah",I13)</f>
        <v>0</v>
      </c>
      <c r="U13" s="971"/>
      <c r="V13" s="974" t="str">
        <f>IF(AND('MC Working'!K14="",'MC Working'!B21="No"),"NOT APPLICABLE",IF(AND('MC Working'!K14="",OR('MC Working'!B21="Yes",'MC Working'!B21="Free")),"APPLICABLE  - TO BE ADVISED",'MC Working'!K14))</f>
        <v>COMMERCIAL CREDIT</v>
      </c>
    </row>
    <row r="14" spans="1:28" s="974" customFormat="1" ht="14.5" customHeight="1" x14ac:dyDescent="0.3">
      <c r="A14" s="975"/>
      <c r="B14" s="980"/>
      <c r="C14" s="932"/>
      <c r="D14" s="932"/>
      <c r="E14" s="932"/>
      <c r="F14" s="932"/>
      <c r="G14" s="932"/>
      <c r="H14" s="932"/>
      <c r="I14" s="1031"/>
      <c r="J14" s="1032"/>
      <c r="K14" s="1032"/>
      <c r="L14" s="932"/>
      <c r="M14" s="932"/>
      <c r="N14" s="932"/>
      <c r="O14" s="932"/>
      <c r="P14" s="932"/>
      <c r="Q14" s="932"/>
      <c r="R14" s="932"/>
      <c r="S14" s="1033"/>
      <c r="T14" s="971"/>
      <c r="U14" s="971"/>
    </row>
    <row r="15" spans="1:28" s="974" customFormat="1" ht="6.75" customHeight="1" thickBot="1" x14ac:dyDescent="0.35">
      <c r="A15" s="975"/>
      <c r="B15" s="980"/>
      <c r="C15" s="980"/>
      <c r="D15" s="980"/>
      <c r="E15" s="980"/>
      <c r="F15" s="980"/>
      <c r="G15" s="980"/>
      <c r="H15" s="980"/>
      <c r="I15" s="980"/>
      <c r="J15" s="982"/>
      <c r="K15" s="982"/>
      <c r="L15" s="980"/>
      <c r="M15" s="980"/>
      <c r="N15" s="980"/>
      <c r="O15" s="980"/>
      <c r="P15" s="980"/>
      <c r="Q15" s="980"/>
      <c r="R15" s="980"/>
      <c r="S15" s="1034"/>
      <c r="T15" s="971"/>
      <c r="U15" s="971"/>
    </row>
    <row r="16" spans="1:28" s="974" customFormat="1" ht="13.15" customHeight="1" x14ac:dyDescent="0.3">
      <c r="A16" s="975"/>
      <c r="B16" s="980"/>
      <c r="C16" s="1035" t="s">
        <v>301</v>
      </c>
      <c r="D16" s="980"/>
      <c r="E16" s="980"/>
      <c r="F16" s="1036" t="str">
        <f>IF('MC Working'!H3="One Year",": One Year",CONCATENATE(": ",'Calculation (2)'!H9," Days"))</f>
        <v>: One Year</v>
      </c>
      <c r="G16" s="980"/>
      <c r="H16" s="980"/>
      <c r="I16" s="1025" t="str">
        <f>IF('MC Working'!H3="One Year","",CONCATENATE("(",'MC Working'!H3," Basis)"))</f>
        <v/>
      </c>
      <c r="J16" s="982"/>
      <c r="K16" s="982"/>
      <c r="L16" s="980"/>
      <c r="M16" s="980"/>
      <c r="N16" s="980"/>
      <c r="O16" s="980"/>
      <c r="P16" s="1037"/>
      <c r="Q16" s="1734">
        <v>440000</v>
      </c>
      <c r="R16" s="1735"/>
      <c r="S16" s="1034"/>
      <c r="T16" s="971"/>
      <c r="U16" s="971"/>
    </row>
    <row r="17" spans="1:32" ht="13.15" customHeight="1" thickBot="1" x14ac:dyDescent="0.35">
      <c r="A17" s="975"/>
      <c r="B17" s="980"/>
      <c r="C17" s="1738" t="str">
        <f>IF('MC Working'!H3="One Year","",CONCATENATE("(From ",'MC Working'!G4," ",'MC Working'!H4," ",'MC Working'!I4," to ",'MC Working'!G5," ",'MC Working'!H5," ",'MC Working'!I5,")"))</f>
        <v/>
      </c>
      <c r="D17" s="1738"/>
      <c r="E17" s="1738"/>
      <c r="F17" s="1738"/>
      <c r="G17" s="1738"/>
      <c r="H17" s="1738"/>
      <c r="I17" s="1738"/>
      <c r="J17" s="982"/>
      <c r="K17" s="982"/>
      <c r="L17" s="1038" t="s">
        <v>168</v>
      </c>
      <c r="M17" s="1012"/>
      <c r="N17" s="980"/>
      <c r="O17" s="980"/>
      <c r="P17" s="1037"/>
      <c r="Q17" s="1736"/>
      <c r="R17" s="1737"/>
      <c r="S17" s="1034"/>
    </row>
    <row r="18" spans="1:32" ht="17.149999999999999" customHeight="1" x14ac:dyDescent="0.3">
      <c r="A18" s="975"/>
      <c r="B18" s="980"/>
      <c r="C18" s="1738"/>
      <c r="D18" s="1738"/>
      <c r="E18" s="1738"/>
      <c r="F18" s="1738"/>
      <c r="G18" s="1738"/>
      <c r="H18" s="1738"/>
      <c r="I18" s="1738"/>
      <c r="J18" s="982"/>
      <c r="K18" s="982"/>
      <c r="L18" s="1039" t="s">
        <v>13</v>
      </c>
      <c r="M18" s="980"/>
      <c r="N18" s="980"/>
      <c r="O18" s="980"/>
      <c r="P18" s="980"/>
      <c r="Q18" s="1040" t="s">
        <v>26</v>
      </c>
      <c r="R18" s="1041">
        <f ca="1">IF(U3=1,'MC Working'!O61,"")</f>
        <v>-1100</v>
      </c>
      <c r="S18" s="1034"/>
    </row>
    <row r="19" spans="1:32" ht="15" customHeight="1" x14ac:dyDescent="0.3">
      <c r="A19" s="975"/>
      <c r="B19" s="980"/>
      <c r="C19" s="1042" t="s">
        <v>518</v>
      </c>
      <c r="D19" s="1043"/>
      <c r="E19" s="1043"/>
      <c r="F19" s="1043"/>
      <c r="G19" s="1043"/>
      <c r="H19" s="1043"/>
      <c r="I19" s="1043"/>
      <c r="J19" s="982"/>
      <c r="K19" s="982"/>
      <c r="L19" s="1039" t="s">
        <v>23</v>
      </c>
      <c r="M19" s="1012"/>
      <c r="N19" s="980"/>
      <c r="O19" s="980"/>
      <c r="P19" s="980"/>
      <c r="Q19" s="1040" t="s">
        <v>26</v>
      </c>
      <c r="R19" s="1041">
        <f>IF(U3=1,'MC Working'!M40+'MC Working'!M41,"")</f>
        <v>880</v>
      </c>
      <c r="S19" s="1034"/>
      <c r="T19" s="1044" t="s">
        <v>58</v>
      </c>
    </row>
    <row r="20" spans="1:32" ht="17.149999999999999" customHeight="1" x14ac:dyDescent="0.3">
      <c r="A20" s="975"/>
      <c r="B20" s="980"/>
      <c r="C20" s="1739" t="s">
        <v>519</v>
      </c>
      <c r="D20" s="1739"/>
      <c r="E20" s="1739"/>
      <c r="F20" s="1739"/>
      <c r="G20" s="1739"/>
      <c r="H20" s="1739"/>
      <c r="I20" s="1739"/>
      <c r="J20" s="1739"/>
      <c r="K20" s="982"/>
      <c r="L20" s="1045" t="s">
        <v>24</v>
      </c>
      <c r="M20" s="980"/>
      <c r="N20" s="980"/>
      <c r="O20" s="980"/>
      <c r="P20" s="980"/>
      <c r="Q20" s="1040" t="s">
        <v>26</v>
      </c>
      <c r="R20" s="1041">
        <f>IF(U3=1,'MC Working'!M42+'MC Working'!M43,"")</f>
        <v>220</v>
      </c>
      <c r="S20" s="1034"/>
      <c r="T20" s="1046" t="s">
        <v>78</v>
      </c>
    </row>
    <row r="21" spans="1:32" ht="17.149999999999999" customHeight="1" x14ac:dyDescent="0.3">
      <c r="A21" s="975"/>
      <c r="B21" s="980"/>
      <c r="C21" s="1739"/>
      <c r="D21" s="1739"/>
      <c r="E21" s="1739"/>
      <c r="F21" s="1739"/>
      <c r="G21" s="1739"/>
      <c r="H21" s="1739"/>
      <c r="I21" s="1739"/>
      <c r="J21" s="1739"/>
      <c r="K21" s="982"/>
      <c r="L21" s="1045" t="s">
        <v>146</v>
      </c>
      <c r="M21" s="980"/>
      <c r="N21" s="980"/>
      <c r="O21" s="980"/>
      <c r="P21" s="980"/>
      <c r="Q21" s="1040" t="s">
        <v>26</v>
      </c>
      <c r="R21" s="1041">
        <f ca="1">IF(U3=1,'MC Working'!M62,"")</f>
        <v>0</v>
      </c>
      <c r="S21" s="1034"/>
    </row>
    <row r="22" spans="1:32" ht="17.149999999999999" customHeight="1" thickBot="1" x14ac:dyDescent="0.35">
      <c r="A22" s="975"/>
      <c r="B22" s="980"/>
      <c r="C22" s="1739"/>
      <c r="D22" s="1739"/>
      <c r="E22" s="1739"/>
      <c r="F22" s="1739"/>
      <c r="G22" s="1739"/>
      <c r="H22" s="1739"/>
      <c r="I22" s="1739"/>
      <c r="J22" s="1739"/>
      <c r="K22" s="982"/>
      <c r="L22" s="1045" t="str">
        <f>IF('Rates (2)'!$F$20="Yes","Nation Building Levy (NBL)","VAT")</f>
        <v>VAT</v>
      </c>
      <c r="M22" s="980"/>
      <c r="N22" s="980"/>
      <c r="O22" s="980"/>
      <c r="P22" s="980"/>
      <c r="Q22" s="1040" t="s">
        <v>26</v>
      </c>
      <c r="R22" s="1041">
        <f ca="1">IF(AND('Rates (2)'!$F$20="Yes",$U$3=1),'MC Working'!$M$64*'MC Working'!$C$69,IF($U$3=1,'MC Working'!$M$65*'MC Working'!$C$69,""))</f>
        <v>0</v>
      </c>
      <c r="S22" s="1034"/>
    </row>
    <row r="23" spans="1:32" ht="17.149999999999999" customHeight="1" thickTop="1" thickBot="1" x14ac:dyDescent="0.35">
      <c r="A23" s="975"/>
      <c r="B23" s="980"/>
      <c r="C23" s="1739"/>
      <c r="D23" s="1739"/>
      <c r="E23" s="1739"/>
      <c r="F23" s="1739"/>
      <c r="G23" s="1739"/>
      <c r="H23" s="1739"/>
      <c r="I23" s="1739"/>
      <c r="J23" s="1739"/>
      <c r="K23" s="982"/>
      <c r="L23" s="1039" t="str">
        <f>IF('Rates (2)'!$F$20="Yes","VAT","Total Contribution")</f>
        <v>Total Contribution</v>
      </c>
      <c r="M23" s="980"/>
      <c r="N23" s="980"/>
      <c r="O23" s="980"/>
      <c r="P23" s="980"/>
      <c r="Q23" s="1040" t="s">
        <v>26</v>
      </c>
      <c r="R23" s="1047">
        <f ca="1">IF(AND('Rates (2)'!$F$20="Yes",U3=1),'MC Working'!$M$65*'MC Working'!$C$69,IF(U3=1,'MC Working'!$M$66,""))</f>
        <v>0</v>
      </c>
      <c r="S23" s="1034"/>
      <c r="Y23" s="1048"/>
    </row>
    <row r="24" spans="1:32" ht="17.149999999999999" customHeight="1" thickTop="1" x14ac:dyDescent="0.3">
      <c r="A24" s="975"/>
      <c r="B24" s="980"/>
      <c r="C24" s="1739"/>
      <c r="D24" s="1739"/>
      <c r="E24" s="1739"/>
      <c r="F24" s="1739"/>
      <c r="G24" s="1739"/>
      <c r="H24" s="1739"/>
      <c r="I24" s="1739"/>
      <c r="J24" s="1739"/>
      <c r="K24" s="982"/>
      <c r="L24" s="1049" t="str">
        <f>IF('Rates (2)'!$F$20="Yes","Total Contribution","")</f>
        <v/>
      </c>
      <c r="M24" s="980"/>
      <c r="N24" s="980"/>
      <c r="O24" s="980"/>
      <c r="P24" s="980"/>
      <c r="Q24" s="733" t="str">
        <f>IF('Rates (2)'!$F$20="Yes","Rs.","")</f>
        <v/>
      </c>
      <c r="R24" s="1050" t="str">
        <f>IF(AND($U$3=1,'Rates (2)'!$F$20="Yes"),'MC Working'!$M$66,"")</f>
        <v/>
      </c>
      <c r="S24" s="1034"/>
    </row>
    <row r="25" spans="1:32" ht="25.15" customHeight="1" x14ac:dyDescent="0.3">
      <c r="A25" s="975"/>
      <c r="B25" s="980"/>
      <c r="C25" s="1051"/>
      <c r="D25" s="1051"/>
      <c r="E25" s="1051"/>
      <c r="F25" s="1051"/>
      <c r="G25" s="1051"/>
      <c r="H25" s="1051"/>
      <c r="I25" s="1051"/>
      <c r="J25" s="1051"/>
      <c r="K25" s="982"/>
      <c r="L25" s="1740" t="str">
        <f>IF('MC Working'!M12="Below 250cc",CONCATENATE(" N.B.:- Not Applicable for Motor Cycles engine capacity Above 250cc.   "),IF(AND(B13=1,T13="Ijarah"),"Standard Policy Terms Applicable. No Ijarah Benefits Applicable",""))</f>
        <v xml:space="preserve"> N.B.:- Not Applicable for Motor Cycles engine capacity Above 250cc.   </v>
      </c>
      <c r="M25" s="1740"/>
      <c r="N25" s="1740"/>
      <c r="O25" s="1740"/>
      <c r="P25" s="1740"/>
      <c r="Q25" s="1740"/>
      <c r="R25" s="1740"/>
      <c r="S25" s="1741"/>
      <c r="X25" s="1048"/>
      <c r="AB25" s="1052"/>
    </row>
    <row r="26" spans="1:32" ht="14.25" hidden="1" customHeight="1" x14ac:dyDescent="0.3">
      <c r="A26" s="975"/>
      <c r="B26" s="980"/>
      <c r="C26" s="1053"/>
      <c r="D26" s="1053"/>
      <c r="E26" s="1053"/>
      <c r="F26" s="1053"/>
      <c r="G26" s="1053"/>
      <c r="H26" s="1053"/>
      <c r="I26" s="1053"/>
      <c r="J26" s="1053"/>
      <c r="K26" s="1053"/>
      <c r="L26" s="1053"/>
      <c r="M26" s="1053"/>
      <c r="N26" s="1053"/>
      <c r="O26" s="1053"/>
      <c r="P26" s="1053"/>
      <c r="Q26" s="1053"/>
      <c r="R26" s="1053"/>
      <c r="S26" s="1034"/>
    </row>
    <row r="27" spans="1:32" ht="14.25" hidden="1" customHeight="1" x14ac:dyDescent="0.3">
      <c r="A27" s="975"/>
      <c r="B27" s="980"/>
      <c r="C27" s="1053"/>
      <c r="D27" s="1053"/>
      <c r="E27" s="1053"/>
      <c r="F27" s="1053"/>
      <c r="G27" s="1053"/>
      <c r="H27" s="1053"/>
      <c r="I27" s="1053"/>
      <c r="J27" s="1053"/>
      <c r="K27" s="1053"/>
      <c r="L27" s="1053"/>
      <c r="M27" s="1053"/>
      <c r="N27" s="1053"/>
      <c r="O27" s="1053"/>
      <c r="P27" s="1053"/>
      <c r="Q27" s="1053"/>
      <c r="R27" s="1053"/>
      <c r="S27" s="1054"/>
    </row>
    <row r="28" spans="1:32" ht="18" customHeight="1" x14ac:dyDescent="0.3">
      <c r="A28" s="975"/>
      <c r="B28" s="980"/>
      <c r="C28" s="1055" t="s">
        <v>293</v>
      </c>
      <c r="D28" s="1056"/>
      <c r="E28" s="1056"/>
      <c r="F28" s="1056"/>
      <c r="G28" s="1056"/>
      <c r="H28" s="1056"/>
      <c r="I28" s="1056"/>
      <c r="J28" s="1056"/>
      <c r="K28" s="1056"/>
      <c r="L28" s="1056"/>
      <c r="M28" s="1056"/>
      <c r="N28" s="1056"/>
      <c r="O28" s="1056"/>
      <c r="P28" s="1056"/>
      <c r="Q28" s="1056"/>
      <c r="R28" s="1057"/>
      <c r="S28" s="1054"/>
      <c r="V28" s="1058"/>
      <c r="W28" s="1058"/>
      <c r="X28" s="1058"/>
      <c r="Y28" s="1058"/>
      <c r="Z28" s="1058"/>
      <c r="AA28" s="1058"/>
      <c r="AB28" s="1058"/>
      <c r="AC28" s="1058"/>
      <c r="AD28" s="1059"/>
      <c r="AE28" s="1059"/>
      <c r="AF28" s="1059"/>
    </row>
    <row r="29" spans="1:32" ht="18" customHeight="1" x14ac:dyDescent="0.3">
      <c r="A29" s="975"/>
      <c r="B29" s="980"/>
      <c r="C29" s="1060" t="s">
        <v>291</v>
      </c>
      <c r="D29" s="731" t="s">
        <v>319</v>
      </c>
      <c r="E29" s="1053"/>
      <c r="F29" s="1053"/>
      <c r="G29" s="1053"/>
      <c r="H29" s="1053"/>
      <c r="I29" s="1053"/>
      <c r="J29" s="1053"/>
      <c r="K29" s="1053"/>
      <c r="L29" s="1053"/>
      <c r="M29" s="1053"/>
      <c r="N29" s="1053"/>
      <c r="O29" s="1053"/>
      <c r="P29" s="1053"/>
      <c r="Q29" s="1053"/>
      <c r="R29" s="1061"/>
      <c r="S29" s="1054"/>
      <c r="V29" s="1058"/>
      <c r="W29" s="1062"/>
      <c r="X29" s="1058"/>
      <c r="Y29" s="1058"/>
      <c r="Z29" s="1058"/>
      <c r="AA29" s="1058"/>
      <c r="AB29" s="1063"/>
      <c r="AC29" s="1058"/>
      <c r="AD29" s="1059"/>
      <c r="AE29" s="1059"/>
      <c r="AF29" s="1059"/>
    </row>
    <row r="30" spans="1:32" ht="18" customHeight="1" x14ac:dyDescent="0.3">
      <c r="A30" s="975"/>
      <c r="B30" s="980"/>
      <c r="C30" s="1060" t="s">
        <v>292</v>
      </c>
      <c r="D30" s="731" t="str">
        <f>CONCATENATE("Third Party Liability"," (Property Damage limited to Rs.",FIXED(MAX('Rates (2)'!B55,R33),0),")")</f>
        <v>Third Party Liability (Property Damage limited to Rs.100,000)</v>
      </c>
      <c r="E30" s="1053"/>
      <c r="F30" s="1053"/>
      <c r="G30" s="1053"/>
      <c r="H30" s="1053"/>
      <c r="I30" s="1053"/>
      <c r="J30" s="1053"/>
      <c r="K30" s="1053"/>
      <c r="L30" s="1053"/>
      <c r="M30" s="1053"/>
      <c r="N30" s="1053"/>
      <c r="O30" s="1053"/>
      <c r="P30" s="1053"/>
      <c r="Q30" s="1053"/>
      <c r="R30" s="1061"/>
      <c r="S30" s="1054"/>
      <c r="V30" s="1058"/>
      <c r="W30" s="1058"/>
      <c r="X30" s="1058"/>
      <c r="Y30" s="1058"/>
      <c r="Z30" s="1058"/>
      <c r="AA30" s="1058"/>
      <c r="AB30" s="1058"/>
      <c r="AC30" s="1058"/>
      <c r="AD30" s="1059"/>
      <c r="AE30" s="1059"/>
      <c r="AF30" s="1059"/>
    </row>
    <row r="31" spans="1:32" ht="18" customHeight="1" x14ac:dyDescent="0.3">
      <c r="A31" s="975"/>
      <c r="B31" s="980"/>
      <c r="C31" s="1060" t="s">
        <v>290</v>
      </c>
      <c r="D31" s="731" t="s">
        <v>299</v>
      </c>
      <c r="E31" s="1053"/>
      <c r="F31" s="1053"/>
      <c r="G31" s="1053"/>
      <c r="H31" s="1053"/>
      <c r="I31" s="1053"/>
      <c r="J31" s="1053"/>
      <c r="K31" s="1053"/>
      <c r="L31" s="1053"/>
      <c r="M31" s="1053"/>
      <c r="N31" s="1053"/>
      <c r="O31" s="1053"/>
      <c r="P31" s="1053"/>
      <c r="Q31" s="1053"/>
      <c r="R31" s="1064"/>
      <c r="S31" s="1054"/>
      <c r="V31" s="1058"/>
      <c r="W31" s="1058"/>
      <c r="X31" s="1058"/>
      <c r="Y31" s="1058"/>
      <c r="Z31" s="1058"/>
      <c r="AA31" s="1058"/>
      <c r="AB31" s="1058"/>
      <c r="AC31" s="1058"/>
      <c r="AD31" s="1059"/>
      <c r="AE31" s="1059"/>
      <c r="AF31" s="1059"/>
    </row>
    <row r="32" spans="1:32" ht="19" customHeight="1" thickBot="1" x14ac:dyDescent="0.45">
      <c r="A32" s="975"/>
      <c r="B32" s="980"/>
      <c r="C32" s="1065"/>
      <c r="D32" s="1066"/>
      <c r="E32" s="1067"/>
      <c r="F32" s="1067"/>
      <c r="G32" s="1067"/>
      <c r="H32" s="1068" t="str">
        <f>IF('MC Working'!B21="Free","FREE",IF('MC Working'!B21="No","N/A","Yes"))</f>
        <v>FREE</v>
      </c>
      <c r="I32" s="1069"/>
      <c r="J32" s="1070"/>
      <c r="K32" s="982"/>
      <c r="L32" s="1071"/>
      <c r="M32" s="1066"/>
      <c r="N32" s="1072"/>
      <c r="O32" s="1073"/>
      <c r="P32" s="982"/>
      <c r="Q32" s="980"/>
      <c r="R32" s="1066"/>
      <c r="S32" s="1074"/>
      <c r="T32" s="1075" t="s">
        <v>520</v>
      </c>
      <c r="U32" s="1076" t="str">
        <f>'MC Working'!B21</f>
        <v>Free</v>
      </c>
      <c r="V32" s="1058" t="s">
        <v>17</v>
      </c>
      <c r="W32" s="1077">
        <f>IF(OR('MC Working'!R25=2,'MC Working'!AA25=1),1,0)</f>
        <v>0</v>
      </c>
      <c r="X32" s="1058"/>
      <c r="Y32" s="1058"/>
      <c r="Z32" s="1078">
        <f>IF(AND('MC Working'!AA25=1,'MC Working'!R25=2),MAX('MC Working'!H25,'Rates (2)'!C40),IF(AND('MC Working'!AA25=1,'MC Working'!R25&lt;2),'Rates (2)'!C40,IF(AND('MC Working'!AA25=0,'MC Working'!R25=2),'MC Working'!H25,0)))</f>
        <v>0</v>
      </c>
      <c r="AA32" s="1058"/>
      <c r="AB32" s="1058"/>
      <c r="AC32" s="1058"/>
      <c r="AD32" s="1059"/>
      <c r="AE32" s="1059"/>
      <c r="AF32" s="1059"/>
    </row>
    <row r="33" spans="1:32" ht="19" customHeight="1" thickBot="1" x14ac:dyDescent="0.4">
      <c r="A33" s="975"/>
      <c r="B33" s="980"/>
      <c r="C33" s="1079" t="s">
        <v>9</v>
      </c>
      <c r="D33" s="1039" t="s">
        <v>530</v>
      </c>
      <c r="E33" s="1080"/>
      <c r="F33" s="1080"/>
      <c r="G33" s="1080"/>
      <c r="H33" s="982"/>
      <c r="I33" s="982"/>
      <c r="J33" s="1070"/>
      <c r="K33" s="982"/>
      <c r="L33" s="1079" t="s">
        <v>9</v>
      </c>
      <c r="M33" s="1081" t="s">
        <v>6</v>
      </c>
      <c r="N33" s="1082"/>
      <c r="O33" s="985"/>
      <c r="P33" s="985"/>
      <c r="Q33" s="985"/>
      <c r="R33" s="1083">
        <v>100000</v>
      </c>
      <c r="S33" s="1033"/>
      <c r="T33" s="1084" t="s">
        <v>0</v>
      </c>
      <c r="U33" s="1076" t="str">
        <f>'MC Working'!B39</f>
        <v>Yes</v>
      </c>
      <c r="V33" s="1058" t="s">
        <v>38</v>
      </c>
      <c r="W33" s="1077">
        <f>'MC Working'!R29</f>
        <v>1</v>
      </c>
      <c r="X33" s="1058"/>
      <c r="Y33" s="1058"/>
      <c r="Z33" s="1058"/>
      <c r="AA33" s="1058"/>
      <c r="AB33" s="1058"/>
      <c r="AC33" s="1058"/>
      <c r="AD33" s="1059"/>
      <c r="AE33" s="1059"/>
      <c r="AF33" s="1059"/>
    </row>
    <row r="34" spans="1:32" ht="19" customHeight="1" thickBot="1" x14ac:dyDescent="0.4">
      <c r="A34" s="975"/>
      <c r="B34" s="980"/>
      <c r="C34" s="1079" t="s">
        <v>9</v>
      </c>
      <c r="D34" s="1039" t="s">
        <v>265</v>
      </c>
      <c r="E34" s="1080"/>
      <c r="F34" s="1080"/>
      <c r="G34" s="1080"/>
      <c r="H34" s="982"/>
      <c r="I34" s="982"/>
      <c r="J34" s="1070"/>
      <c r="K34" s="982"/>
      <c r="L34" s="1079" t="s">
        <v>9</v>
      </c>
      <c r="M34" s="1081" t="s">
        <v>565</v>
      </c>
      <c r="N34" s="985"/>
      <c r="O34" s="985"/>
      <c r="P34" s="1085"/>
      <c r="Q34" s="985"/>
      <c r="R34" s="1086">
        <v>0</v>
      </c>
      <c r="S34" s="1033"/>
      <c r="T34" s="1087">
        <v>0</v>
      </c>
      <c r="U34" s="1076" t="str">
        <f>'MC Working'!B40</f>
        <v>Yes</v>
      </c>
      <c r="V34" s="1058" t="s">
        <v>37</v>
      </c>
      <c r="W34" s="1077">
        <f>'MC Working'!T48</f>
        <v>1</v>
      </c>
      <c r="X34" s="1058"/>
      <c r="Y34" s="1058"/>
      <c r="Z34" s="1058"/>
      <c r="AA34" s="1058"/>
      <c r="AB34" s="1058"/>
      <c r="AC34" s="1058"/>
      <c r="AD34" s="1059"/>
      <c r="AE34" s="1059"/>
      <c r="AF34" s="1059"/>
    </row>
    <row r="35" spans="1:32" ht="19" customHeight="1" thickBot="1" x14ac:dyDescent="0.4">
      <c r="A35" s="975"/>
      <c r="B35" s="980"/>
      <c r="C35" s="1079" t="s">
        <v>9</v>
      </c>
      <c r="D35" s="1039" t="s">
        <v>266</v>
      </c>
      <c r="E35" s="1088"/>
      <c r="F35" s="1089"/>
      <c r="G35" s="1090"/>
      <c r="H35" s="1091"/>
      <c r="I35" s="1090"/>
      <c r="J35" s="1070"/>
      <c r="K35" s="982"/>
      <c r="L35" s="1079" t="s">
        <v>9</v>
      </c>
      <c r="M35" s="1039" t="s">
        <v>12</v>
      </c>
      <c r="N35" s="985"/>
      <c r="O35" s="985"/>
      <c r="P35" s="985"/>
      <c r="Q35" s="985"/>
      <c r="R35" s="1092">
        <v>0</v>
      </c>
      <c r="S35" s="1033"/>
      <c r="U35" s="1076">
        <f>IF('MC Working'!Y42&gt;0,1,0)</f>
        <v>0</v>
      </c>
      <c r="V35" s="1058" t="s">
        <v>18</v>
      </c>
      <c r="W35" s="1077">
        <f>IF('MC Working'!Z42&gt;0,1,0)</f>
        <v>0</v>
      </c>
      <c r="X35" s="1058" t="s">
        <v>16</v>
      </c>
      <c r="Y35" s="1077">
        <f>IF('MC Working'!X42&gt;0,1,0)</f>
        <v>0</v>
      </c>
      <c r="Z35" s="1058" t="s">
        <v>33</v>
      </c>
      <c r="AA35" s="1077">
        <f>IF('MC Working'!T47=0,0,'MC Working'!O47)</f>
        <v>0</v>
      </c>
      <c r="AB35" s="1058"/>
      <c r="AC35" s="1058"/>
      <c r="AD35" s="1059"/>
      <c r="AE35" s="1059"/>
      <c r="AF35" s="1059"/>
    </row>
    <row r="36" spans="1:32" ht="19" customHeight="1" x14ac:dyDescent="0.35">
      <c r="A36" s="975"/>
      <c r="B36" s="980"/>
      <c r="C36" s="1079" t="s">
        <v>9</v>
      </c>
      <c r="D36" s="733" t="str">
        <f ca="1">IF(AND('MC Working'!$M$36&lt;0,'MC Working'!$I$38="Reveal"),CONCATENATE(K38," - ",MIN('MC Working'!$H$36%,'MC Working'!$R$36%)*100,"%"),K38)</f>
        <v>Earned NCB</v>
      </c>
      <c r="E36" s="1093"/>
      <c r="F36" s="1089"/>
      <c r="G36" s="1094"/>
      <c r="H36" s="1091"/>
      <c r="I36" s="1049" t="str">
        <f>IF(I12="Ijarah Leasing","NCB Protection","")</f>
        <v/>
      </c>
      <c r="J36" s="1070"/>
      <c r="K36" s="982"/>
      <c r="L36" s="1079" t="s">
        <v>9</v>
      </c>
      <c r="M36" s="733" t="str">
        <f>IF('MC Working'!H54&gt;0,CONCATENATE("Learner Driver Cover for"," ",'MC Working'!H54,"  ","Person(s)"),"Learner Driver Cover")</f>
        <v>Learner Driver Cover</v>
      </c>
      <c r="N36" s="985"/>
      <c r="O36" s="985"/>
      <c r="P36" s="985"/>
      <c r="Q36" s="985"/>
      <c r="R36" s="985"/>
      <c r="S36" s="1054"/>
      <c r="U36" s="1076" t="str">
        <f>'MC Working'!B41</f>
        <v>Yes</v>
      </c>
      <c r="V36" s="1058" t="s">
        <v>32</v>
      </c>
      <c r="W36" s="1077">
        <f>'MC Working'!O52</f>
        <v>0</v>
      </c>
      <c r="X36" s="1058"/>
      <c r="Y36" s="1077"/>
      <c r="Z36" s="1058"/>
      <c r="AA36" s="1077"/>
      <c r="AB36" s="1058"/>
      <c r="AC36" s="1058"/>
      <c r="AD36" s="1059"/>
      <c r="AE36" s="1059"/>
      <c r="AF36" s="1059"/>
    </row>
    <row r="37" spans="1:32" ht="19" hidden="1" customHeight="1" x14ac:dyDescent="0.35">
      <c r="A37" s="975"/>
      <c r="B37" s="980"/>
      <c r="C37" s="1039"/>
      <c r="D37" s="1039"/>
      <c r="E37" s="1039"/>
      <c r="F37" s="1039"/>
      <c r="G37" s="1095" t="s">
        <v>9</v>
      </c>
      <c r="H37" s="1095" t="s">
        <v>9</v>
      </c>
      <c r="I37" s="1049" t="str">
        <f>IF(I13="Ijarah Leasing","NCB Protection","")</f>
        <v/>
      </c>
      <c r="J37" s="1070"/>
      <c r="K37" s="982"/>
      <c r="L37" s="1079" t="s">
        <v>9</v>
      </c>
      <c r="M37" s="1096"/>
      <c r="N37" s="1097"/>
      <c r="O37" s="982"/>
      <c r="P37" s="982"/>
      <c r="Q37" s="1098"/>
      <c r="R37" s="1099"/>
      <c r="S37" s="1054"/>
      <c r="U37" s="1076">
        <f>IF('MC Working'!Y43&gt;0,1,0)</f>
        <v>0</v>
      </c>
      <c r="V37" s="1058" t="s">
        <v>18</v>
      </c>
      <c r="W37" s="1077">
        <f>IF('MC Working'!Z43&gt;0,1,0)</f>
        <v>0</v>
      </c>
      <c r="X37" s="1058" t="s">
        <v>16</v>
      </c>
      <c r="Y37" s="1077">
        <f>IF('MC Working'!X43&gt;0,1,0)</f>
        <v>0</v>
      </c>
      <c r="Z37" s="1058" t="s">
        <v>31</v>
      </c>
      <c r="AA37" s="1077">
        <f>IF(OR('MC Working'!Q49&gt;0,'MC Working'!H49&gt;0),1,0)</f>
        <v>0</v>
      </c>
      <c r="AB37" s="1058">
        <f>IF(AND('MC Working'!T47=1,'MC Working'!H49&lt;7500),7500,'MC Working'!H49)</f>
        <v>0</v>
      </c>
      <c r="AC37" s="1058"/>
      <c r="AD37" s="1059"/>
      <c r="AE37" s="1059"/>
      <c r="AF37" s="1059"/>
    </row>
    <row r="38" spans="1:32" ht="19" hidden="1" customHeight="1" x14ac:dyDescent="0.35">
      <c r="A38" s="975"/>
      <c r="B38" s="980"/>
      <c r="C38" s="1039"/>
      <c r="D38" s="1039"/>
      <c r="E38" s="1039"/>
      <c r="F38" s="1039"/>
      <c r="G38" s="1080"/>
      <c r="H38" s="982"/>
      <c r="I38" s="982"/>
      <c r="J38" s="1070"/>
      <c r="K38" s="1100" t="str">
        <f ca="1">IF('MC Working'!M37&lt;0,"No Claim Bonus (*)","Earned NCB")</f>
        <v>Earned NCB</v>
      </c>
      <c r="L38" s="1079" t="s">
        <v>9</v>
      </c>
      <c r="M38" s="1039"/>
      <c r="N38" s="1097"/>
      <c r="O38" s="1069"/>
      <c r="P38" s="1069"/>
      <c r="Q38" s="1101"/>
      <c r="R38" s="1102"/>
      <c r="S38" s="1054"/>
      <c r="U38" s="1076">
        <f>'MC Working'!O50</f>
        <v>0</v>
      </c>
      <c r="V38" s="1077" t="s">
        <v>30</v>
      </c>
      <c r="W38" s="1077">
        <f ca="1">'MC Working'!P23</f>
        <v>0</v>
      </c>
      <c r="X38" s="1058"/>
      <c r="Y38" s="1058"/>
      <c r="Z38" s="1058"/>
      <c r="AA38" s="1058"/>
      <c r="AB38" s="1058"/>
      <c r="AC38" s="1058"/>
      <c r="AD38" s="1059"/>
      <c r="AE38" s="1059"/>
      <c r="AF38" s="1059"/>
    </row>
    <row r="39" spans="1:32" ht="19" hidden="1" customHeight="1" x14ac:dyDescent="0.35">
      <c r="A39" s="975"/>
      <c r="B39" s="980"/>
      <c r="C39" s="1039"/>
      <c r="D39" s="1039"/>
      <c r="E39" s="1039"/>
      <c r="F39" s="1039"/>
      <c r="G39" s="1103"/>
      <c r="H39" s="1103"/>
      <c r="I39" s="733"/>
      <c r="J39" s="1070"/>
      <c r="K39" s="982"/>
      <c r="L39" s="1090" t="s">
        <v>9</v>
      </c>
      <c r="M39" s="1104" t="str">
        <f>IF(U42=1,"Duty Free Cover","")</f>
        <v/>
      </c>
      <c r="N39" s="985"/>
      <c r="O39" s="985"/>
      <c r="P39" s="985"/>
      <c r="Q39" s="985"/>
      <c r="R39" s="985"/>
      <c r="S39" s="1054"/>
      <c r="T39" s="971" t="s">
        <v>18</v>
      </c>
      <c r="U39" s="1076">
        <f>'MC Working'!O51</f>
        <v>0</v>
      </c>
      <c r="V39" s="1058" t="s">
        <v>29</v>
      </c>
      <c r="W39" s="1077">
        <f>'MC Working'!O22</f>
        <v>0</v>
      </c>
      <c r="X39" s="1058"/>
      <c r="Y39" s="1058"/>
      <c r="Z39" s="1058"/>
      <c r="AA39" s="1058"/>
      <c r="AB39" s="1058"/>
      <c r="AC39" s="1058"/>
      <c r="AD39" s="1059"/>
      <c r="AE39" s="1059"/>
      <c r="AF39" s="1059"/>
    </row>
    <row r="40" spans="1:32" ht="19" hidden="1" customHeight="1" x14ac:dyDescent="0.35">
      <c r="A40" s="975"/>
      <c r="B40" s="980"/>
      <c r="C40" s="1105" t="s">
        <v>9</v>
      </c>
      <c r="D40" s="733" t="str">
        <f>IF($T$40=1,PROPER('MC Working'!$F$58),"")</f>
        <v/>
      </c>
      <c r="E40" s="1072"/>
      <c r="F40" s="1106"/>
      <c r="G40" s="1072"/>
      <c r="H40" s="1072"/>
      <c r="I40" s="733"/>
      <c r="J40" s="1070"/>
      <c r="K40" s="982"/>
      <c r="L40" s="1090" t="s">
        <v>9</v>
      </c>
      <c r="M40" s="733" t="str">
        <f>IF($U$40=1,PROPER('MC Working'!$F$59),"")</f>
        <v/>
      </c>
      <c r="N40" s="985"/>
      <c r="O40" s="985"/>
      <c r="P40" s="985"/>
      <c r="Q40" s="980"/>
      <c r="R40" s="980"/>
      <c r="S40" s="1054"/>
      <c r="T40" s="1107">
        <f>'MC Working'!$O$58</f>
        <v>0</v>
      </c>
      <c r="U40" s="1107">
        <f>'MC Working'!$O$59</f>
        <v>0</v>
      </c>
      <c r="V40" s="1058"/>
      <c r="W40" s="1077"/>
      <c r="X40" s="1058"/>
      <c r="Y40" s="1058"/>
      <c r="Z40" s="1058"/>
      <c r="AA40" s="1058"/>
      <c r="AB40" s="1058"/>
      <c r="AC40" s="1058"/>
      <c r="AD40" s="1059"/>
      <c r="AE40" s="1059"/>
      <c r="AF40" s="1059"/>
    </row>
    <row r="41" spans="1:32" ht="12.75" hidden="1" customHeight="1" x14ac:dyDescent="0.35">
      <c r="A41" s="975"/>
      <c r="B41" s="980"/>
      <c r="C41" s="980"/>
      <c r="D41" s="1742"/>
      <c r="E41" s="1742"/>
      <c r="F41" s="980"/>
      <c r="G41" s="980"/>
      <c r="H41" s="980"/>
      <c r="I41" s="980"/>
      <c r="J41" s="982"/>
      <c r="K41" s="982"/>
      <c r="L41" s="985"/>
      <c r="M41" s="985"/>
      <c r="N41" s="985"/>
      <c r="O41" s="985"/>
      <c r="P41" s="985"/>
      <c r="Q41" s="985"/>
      <c r="R41" s="1098"/>
      <c r="S41" s="1054"/>
      <c r="T41" s="971" t="s">
        <v>27</v>
      </c>
      <c r="U41" s="1076">
        <f>'MC Working'!O54</f>
        <v>0</v>
      </c>
      <c r="V41" s="1108" t="s">
        <v>0</v>
      </c>
      <c r="W41" s="1077">
        <f ca="1">'MC Working'!O36</f>
        <v>0</v>
      </c>
      <c r="X41" s="1058"/>
      <c r="Y41" s="1058"/>
      <c r="Z41" s="1058"/>
      <c r="AA41" s="1058"/>
      <c r="AB41" s="1058"/>
    </row>
    <row r="42" spans="1:32" ht="12" customHeight="1" x14ac:dyDescent="0.3">
      <c r="A42" s="975"/>
      <c r="B42" s="980"/>
      <c r="C42" s="1109"/>
      <c r="D42" s="1109"/>
      <c r="E42" s="1109"/>
      <c r="F42" s="1109"/>
      <c r="G42" s="1109"/>
      <c r="H42" s="1109"/>
      <c r="I42" s="1109"/>
      <c r="J42" s="1109"/>
      <c r="K42" s="1109"/>
      <c r="L42" s="1109"/>
      <c r="M42" s="1109"/>
      <c r="N42" s="1109"/>
      <c r="O42" s="1109"/>
      <c r="P42" s="1109"/>
      <c r="Q42" s="1109"/>
      <c r="R42" s="1109"/>
      <c r="S42" s="1033"/>
      <c r="T42" s="971" t="s">
        <v>43</v>
      </c>
      <c r="U42" s="1076">
        <f>IF('MC Working'!B55="Yes",1,0)</f>
        <v>0</v>
      </c>
      <c r="V42" s="1058" t="s">
        <v>41</v>
      </c>
      <c r="W42" s="1077">
        <v>1</v>
      </c>
      <c r="X42" s="1058" t="s">
        <v>42</v>
      </c>
      <c r="Y42" s="1058">
        <f>'MC Working'!O45</f>
        <v>0</v>
      </c>
      <c r="Z42" s="1058"/>
      <c r="AA42" s="1058"/>
      <c r="AB42" s="1058"/>
    </row>
    <row r="43" spans="1:32" ht="13.5" customHeight="1" x14ac:dyDescent="0.3">
      <c r="A43" s="975"/>
      <c r="B43" s="980"/>
      <c r="C43" s="1726" t="s">
        <v>566</v>
      </c>
      <c r="D43" s="1726"/>
      <c r="E43" s="1726"/>
      <c r="F43" s="1726"/>
      <c r="G43" s="1726"/>
      <c r="H43" s="1726"/>
      <c r="I43" s="1726"/>
      <c r="J43" s="1726"/>
      <c r="K43" s="1726"/>
      <c r="L43" s="1726"/>
      <c r="M43" s="1726"/>
      <c r="N43" s="1726"/>
      <c r="O43" s="1726"/>
      <c r="P43" s="1726"/>
      <c r="Q43" s="1726"/>
      <c r="R43" s="1726"/>
      <c r="S43" s="1033"/>
      <c r="T43" s="971" t="s">
        <v>16</v>
      </c>
      <c r="U43" s="1076">
        <f>'MC Working'!O30</f>
        <v>0</v>
      </c>
      <c r="V43" s="1058" t="s">
        <v>44</v>
      </c>
      <c r="W43" s="1077">
        <f>'MC Working'!E34</f>
        <v>1</v>
      </c>
      <c r="X43" s="1058" t="s">
        <v>48</v>
      </c>
      <c r="Y43" s="1058" t="str">
        <f>'MC Working'!B46</f>
        <v>No</v>
      </c>
      <c r="Z43" s="1058" t="s">
        <v>48</v>
      </c>
      <c r="AA43" s="1058">
        <f>IF('MC Working'!Q48=0,1,'MC Working'!T46)</f>
        <v>0</v>
      </c>
      <c r="AB43" s="1058">
        <f>IF(AND('MC Working'!M8="Motor Coach",'MC Working'!H9="SLTB Route"),1,0)</f>
        <v>0</v>
      </c>
    </row>
    <row r="44" spans="1:32" ht="18" customHeight="1" x14ac:dyDescent="0.3">
      <c r="A44" s="975"/>
      <c r="B44" s="980"/>
      <c r="C44" s="1110" t="s">
        <v>324</v>
      </c>
      <c r="D44" s="1111"/>
      <c r="E44" s="1111"/>
      <c r="F44" s="1111"/>
      <c r="G44" s="1003" t="s">
        <v>325</v>
      </c>
      <c r="H44" s="1111"/>
      <c r="I44" s="1111"/>
      <c r="J44" s="1111"/>
      <c r="K44" s="1111"/>
      <c r="L44" s="1111"/>
      <c r="M44" s="1111"/>
      <c r="N44" s="1111"/>
      <c r="O44" s="1111"/>
      <c r="P44" s="1111"/>
      <c r="Q44" s="1111"/>
      <c r="R44" s="1111"/>
      <c r="S44" s="1033"/>
      <c r="U44" s="1076"/>
      <c r="V44" s="1058"/>
      <c r="W44" s="1077"/>
      <c r="X44" s="1058"/>
      <c r="Y44" s="1058"/>
      <c r="Z44" s="1058"/>
      <c r="AA44" s="1058"/>
      <c r="AB44" s="1058"/>
    </row>
    <row r="45" spans="1:32" ht="18" customHeight="1" x14ac:dyDescent="0.3">
      <c r="A45" s="975"/>
      <c r="B45" s="980">
        <f>IF(AND('Rates (2)'!D71="Yes",'MC Working'!H12="Hybrid"),1,0)</f>
        <v>0</v>
      </c>
      <c r="C45" s="1112" t="s">
        <v>406</v>
      </c>
      <c r="D45" s="1111"/>
      <c r="E45" s="1111"/>
      <c r="F45" s="1111"/>
      <c r="G45" s="1111"/>
      <c r="H45" s="1113" t="s">
        <v>51</v>
      </c>
      <c r="I45" s="1114" t="str">
        <f ca="1">IF(AND(U3=1,'MC Working'!M12="Above 250cc")," as below",IF(AND(U3=1,'MC Working'!R92=0),"Nil",IF(U3=1,CONCATENATE("Rs.",FIXED('MC Working'!R92,0),"/-"),"-")))</f>
        <v>Rs.2,500/-</v>
      </c>
      <c r="J45" s="1115"/>
      <c r="K45" s="1111"/>
      <c r="L45" s="1116" t="str">
        <f>IF(U33="Yes","• Flood &amp; Natural Disaster","")</f>
        <v>• Flood &amp; Natural Disaster</v>
      </c>
      <c r="M45" s="1111"/>
      <c r="N45" s="1111"/>
      <c r="O45" s="1111"/>
      <c r="P45" s="1111"/>
      <c r="Q45" s="1111" t="str">
        <f>IF(U33="Yes","-","")</f>
        <v>-</v>
      </c>
      <c r="R45" s="1114" t="s">
        <v>567</v>
      </c>
      <c r="S45" s="1033"/>
      <c r="U45" s="1076"/>
      <c r="W45" s="1117"/>
    </row>
    <row r="46" spans="1:32" ht="18" customHeight="1" x14ac:dyDescent="0.3">
      <c r="A46" s="975"/>
      <c r="B46" s="980"/>
      <c r="C46" s="1118" t="str">
        <f>IF(AND(U3=1,'MC Working'!M12="Above 250cc"),CONCATENATE("  20% of loss with a minimum of Rs.",FIXED('MC Working'!R92,0),"/-"),"")</f>
        <v/>
      </c>
      <c r="D46" s="1111"/>
      <c r="E46" s="1111"/>
      <c r="F46" s="1111"/>
      <c r="G46" s="1111"/>
      <c r="H46" s="1111"/>
      <c r="I46" s="1119"/>
      <c r="J46" s="1115"/>
      <c r="K46" s="1111"/>
      <c r="L46" s="1120" t="s">
        <v>568</v>
      </c>
      <c r="M46" s="1121"/>
      <c r="N46" s="983"/>
      <c r="O46" s="983"/>
      <c r="P46" s="1111"/>
      <c r="Q46" s="1111"/>
      <c r="R46" s="1111"/>
      <c r="S46" s="1033"/>
      <c r="U46" s="1076"/>
      <c r="W46" s="1117"/>
    </row>
    <row r="47" spans="1:32" ht="18" customHeight="1" x14ac:dyDescent="0.3">
      <c r="A47" s="975"/>
      <c r="B47" s="980"/>
      <c r="C47" s="1122" t="str">
        <f>IF(AND('Rates (2)'!D67="Yes",OR('MC Working'!H12="Hybrid",'MC Working'!H12="Electric")),CONCATENATE("• Excess on Inverter 25%; Excess on Battery : ",'Rates (2)'!A68),"")</f>
        <v/>
      </c>
      <c r="D47" s="1123"/>
      <c r="E47" s="1123"/>
      <c r="F47" s="1123"/>
      <c r="G47" s="1123"/>
      <c r="H47" s="1123"/>
      <c r="I47" s="1123"/>
      <c r="J47" s="1124"/>
      <c r="K47" s="1125"/>
      <c r="L47" s="1125"/>
      <c r="M47" s="1125"/>
      <c r="N47" s="1125"/>
      <c r="O47" s="1125"/>
      <c r="P47" s="1125"/>
      <c r="Q47" s="1111"/>
      <c r="R47" s="1111"/>
      <c r="S47" s="1033"/>
      <c r="U47" s="1076"/>
      <c r="W47" s="1117"/>
    </row>
    <row r="48" spans="1:32" ht="18" customHeight="1" x14ac:dyDescent="0.3">
      <c r="A48" s="975"/>
      <c r="B48" s="980"/>
      <c r="C48" s="1745" t="s">
        <v>300</v>
      </c>
      <c r="D48" s="1746"/>
      <c r="E48" s="1746"/>
      <c r="F48" s="1746"/>
      <c r="G48" s="1746"/>
      <c r="H48" s="1746"/>
      <c r="I48" s="1746"/>
      <c r="J48" s="1746"/>
      <c r="K48" s="1746"/>
      <c r="L48" s="1746"/>
      <c r="M48" s="1746"/>
      <c r="N48" s="1746"/>
      <c r="O48" s="1746"/>
      <c r="P48" s="1746"/>
      <c r="Q48" s="1746"/>
      <c r="R48" s="1746"/>
      <c r="S48" s="1033"/>
      <c r="U48" s="1076"/>
      <c r="W48" s="1117"/>
    </row>
    <row r="49" spans="1:24" s="974" customFormat="1" ht="40.5" customHeight="1" x14ac:dyDescent="0.3">
      <c r="A49" s="975"/>
      <c r="B49" s="980"/>
      <c r="C49" s="1747" t="str">
        <f ca="1">CONCATENATE(A65,X49)</f>
        <v xml:space="preserve">This quotation is offered based on the information provided by the Proposer and is subject to revision upon changes to the risk. Further, this quotation is valid only for 30 days from the date of issue and is subject to revision of government taxes. </v>
      </c>
      <c r="D49" s="1747"/>
      <c r="E49" s="1747"/>
      <c r="F49" s="1747"/>
      <c r="G49" s="1747"/>
      <c r="H49" s="1747"/>
      <c r="I49" s="1747"/>
      <c r="J49" s="1747"/>
      <c r="K49" s="1747"/>
      <c r="L49" s="1747"/>
      <c r="M49" s="1747"/>
      <c r="N49" s="1747"/>
      <c r="O49" s="1747"/>
      <c r="P49" s="1747"/>
      <c r="Q49" s="1747"/>
      <c r="R49" s="1747"/>
      <c r="S49" s="1033"/>
      <c r="T49" s="971" t="s">
        <v>132</v>
      </c>
      <c r="U49" s="1126">
        <f>IF(AND('MC Working'!M8="Motor Coach",'MC Working'!H9="SLTB Route"),1,0)</f>
        <v>0</v>
      </c>
      <c r="V49" s="974" t="s">
        <v>28</v>
      </c>
      <c r="W49" s="1117">
        <f>'MC Working'!O56</f>
        <v>0</v>
      </c>
      <c r="X49" s="974" t="str">
        <f ca="1">IF('MC Working'!M36&lt;0,"NCB allowed is subject to documentary evidence.","")</f>
        <v/>
      </c>
    </row>
    <row r="50" spans="1:24" s="974" customFormat="1" ht="17.25" customHeight="1" x14ac:dyDescent="0.3">
      <c r="A50" s="975"/>
      <c r="B50" s="980"/>
      <c r="C50" s="1127" t="s">
        <v>569</v>
      </c>
      <c r="D50" s="1003"/>
      <c r="E50" s="1003"/>
      <c r="F50" s="1003"/>
      <c r="G50" s="1003"/>
      <c r="H50" s="1003"/>
      <c r="I50" s="1003"/>
      <c r="J50" s="1003"/>
      <c r="K50" s="1003"/>
      <c r="L50" s="1003"/>
      <c r="M50" s="1003"/>
      <c r="N50" s="1003"/>
      <c r="O50" s="1003"/>
      <c r="P50" s="1003"/>
      <c r="Q50" s="1003"/>
      <c r="R50" s="1003"/>
      <c r="S50" s="1033"/>
      <c r="T50" s="971"/>
      <c r="U50" s="971"/>
    </row>
    <row r="51" spans="1:24" s="974" customFormat="1" ht="14.25" customHeight="1" x14ac:dyDescent="0.3">
      <c r="A51" s="975"/>
      <c r="B51" s="980"/>
      <c r="C51" s="1748" t="s">
        <v>570</v>
      </c>
      <c r="D51" s="1748"/>
      <c r="E51" s="1748"/>
      <c r="F51" s="1748"/>
      <c r="G51" s="1748"/>
      <c r="H51" s="1748"/>
      <c r="I51" s="1748"/>
      <c r="J51" s="1748"/>
      <c r="K51" s="1748"/>
      <c r="L51" s="1748"/>
      <c r="M51" s="1748"/>
      <c r="N51" s="1748"/>
      <c r="O51" s="1748"/>
      <c r="P51" s="1748"/>
      <c r="Q51" s="1748"/>
      <c r="R51" s="1748"/>
      <c r="S51" s="1033"/>
      <c r="T51" s="971"/>
      <c r="U51" s="971"/>
    </row>
    <row r="52" spans="1:24" s="974" customFormat="1" ht="29.25" customHeight="1" x14ac:dyDescent="0.3">
      <c r="A52" s="975"/>
      <c r="B52" s="980"/>
      <c r="C52" s="1748"/>
      <c r="D52" s="1748"/>
      <c r="E52" s="1748"/>
      <c r="F52" s="1748"/>
      <c r="G52" s="1748"/>
      <c r="H52" s="1748"/>
      <c r="I52" s="1748"/>
      <c r="J52" s="1748"/>
      <c r="K52" s="1748"/>
      <c r="L52" s="1748"/>
      <c r="M52" s="1748"/>
      <c r="N52" s="1748"/>
      <c r="O52" s="1748"/>
      <c r="P52" s="1748"/>
      <c r="Q52" s="1748"/>
      <c r="R52" s="1748"/>
      <c r="S52" s="1054"/>
      <c r="T52" s="971"/>
      <c r="U52" s="971"/>
    </row>
    <row r="53" spans="1:24" s="974" customFormat="1" ht="20.149999999999999" customHeight="1" x14ac:dyDescent="0.3">
      <c r="A53" s="975"/>
      <c r="B53" s="980"/>
      <c r="C53" s="1128" t="s">
        <v>571</v>
      </c>
      <c r="D53" s="1129"/>
      <c r="E53" s="1129"/>
      <c r="F53" s="1129"/>
      <c r="G53" s="1129"/>
      <c r="H53" s="1129"/>
      <c r="I53" s="1129"/>
      <c r="J53" s="1130"/>
      <c r="K53" s="1130"/>
      <c r="L53" s="1130"/>
      <c r="M53" s="1130"/>
      <c r="N53" s="1130"/>
      <c r="O53" s="1130"/>
      <c r="P53" s="1130"/>
      <c r="Q53" s="1130"/>
      <c r="R53" s="1130"/>
      <c r="S53" s="1054"/>
      <c r="T53" s="971"/>
      <c r="U53" s="971"/>
    </row>
    <row r="54" spans="1:24" s="974" customFormat="1" ht="29.25" customHeight="1" x14ac:dyDescent="0.3">
      <c r="A54" s="975"/>
      <c r="B54" s="980"/>
      <c r="C54" s="1749" t="s">
        <v>573</v>
      </c>
      <c r="D54" s="1750"/>
      <c r="E54" s="1750"/>
      <c r="F54" s="1750"/>
      <c r="G54" s="1750"/>
      <c r="H54" s="1750"/>
      <c r="I54" s="1750"/>
      <c r="J54" s="1750"/>
      <c r="K54" s="1750"/>
      <c r="L54" s="1750"/>
      <c r="M54" s="1750"/>
      <c r="N54" s="1131"/>
      <c r="O54" s="1131"/>
      <c r="P54" s="1131"/>
      <c r="Q54" s="1131"/>
      <c r="R54" s="1131"/>
      <c r="S54" s="1054"/>
      <c r="T54" s="971"/>
      <c r="U54" s="971"/>
    </row>
    <row r="55" spans="1:24" ht="26.25" customHeight="1" x14ac:dyDescent="0.3">
      <c r="A55" s="975"/>
      <c r="B55" s="980"/>
      <c r="C55" s="1750"/>
      <c r="D55" s="1750"/>
      <c r="E55" s="1750"/>
      <c r="F55" s="1750"/>
      <c r="G55" s="1750"/>
      <c r="H55" s="1750"/>
      <c r="I55" s="1750"/>
      <c r="J55" s="1750"/>
      <c r="K55" s="1750"/>
      <c r="L55" s="1750"/>
      <c r="M55" s="1750"/>
      <c r="N55" s="1131"/>
      <c r="O55" s="1131"/>
      <c r="P55" s="1131"/>
      <c r="Q55" s="1131"/>
      <c r="R55" s="1131"/>
      <c r="S55" s="1054"/>
      <c r="V55" s="974">
        <f>IF(OR('MC Working'!E61=0,'MC Working'!E61=""),1,0)</f>
        <v>1</v>
      </c>
    </row>
    <row r="56" spans="1:24" ht="18" customHeight="1" x14ac:dyDescent="0.3">
      <c r="A56" s="975"/>
      <c r="B56" s="980"/>
      <c r="C56" s="1132"/>
      <c r="D56" s="1133"/>
      <c r="E56" s="1133"/>
      <c r="F56" s="1133"/>
      <c r="G56" s="1133"/>
      <c r="H56" s="1133"/>
      <c r="I56" s="1133"/>
      <c r="J56" s="1133"/>
      <c r="K56" s="1133"/>
      <c r="L56" s="1133"/>
      <c r="M56" s="1133"/>
      <c r="N56" s="1751"/>
      <c r="O56" s="1751"/>
      <c r="P56" s="1751"/>
      <c r="Q56" s="1751"/>
      <c r="R56" s="1751"/>
      <c r="S56" s="1054"/>
    </row>
    <row r="57" spans="1:24" ht="30.75" hidden="1" customHeight="1" x14ac:dyDescent="0.3">
      <c r="A57" s="975"/>
      <c r="B57" s="980"/>
      <c r="C57" s="1134"/>
      <c r="D57" s="1133"/>
      <c r="E57" s="1133"/>
      <c r="F57" s="1133"/>
      <c r="G57" s="1133"/>
      <c r="H57" s="1133"/>
      <c r="I57" s="1133"/>
      <c r="J57" s="1133"/>
      <c r="K57" s="1133"/>
      <c r="L57" s="1133"/>
      <c r="M57" s="1133"/>
      <c r="N57" s="1133"/>
      <c r="O57" s="1133"/>
      <c r="P57" s="1133"/>
      <c r="Q57" s="1133"/>
      <c r="R57" s="1133"/>
      <c r="S57" s="1054"/>
    </row>
    <row r="58" spans="1:24" ht="15.75" hidden="1" customHeight="1" x14ac:dyDescent="0.3">
      <c r="A58" s="975"/>
      <c r="B58" s="980"/>
      <c r="C58" s="1752"/>
      <c r="D58" s="1752"/>
      <c r="E58" s="1752"/>
      <c r="F58" s="1752"/>
      <c r="G58" s="1752"/>
      <c r="H58" s="1752"/>
      <c r="I58" s="1752"/>
      <c r="J58" s="1135"/>
      <c r="K58" s="1135"/>
      <c r="L58" s="1135"/>
      <c r="M58" s="1136"/>
      <c r="N58" s="983"/>
      <c r="O58" s="983"/>
      <c r="P58" s="983"/>
      <c r="Q58" s="983"/>
      <c r="R58" s="983"/>
      <c r="S58" s="1137"/>
    </row>
    <row r="59" spans="1:24" ht="27" customHeight="1" x14ac:dyDescent="0.3">
      <c r="A59" s="975"/>
      <c r="B59" s="980"/>
      <c r="C59" s="1743"/>
      <c r="D59" s="1743"/>
      <c r="E59" s="1743"/>
      <c r="F59" s="1743"/>
      <c r="G59" s="1743"/>
      <c r="H59" s="1743"/>
      <c r="I59" s="1743"/>
      <c r="J59" s="980"/>
      <c r="K59" s="980"/>
      <c r="L59" s="1136"/>
      <c r="M59" s="1136"/>
      <c r="N59" s="1138"/>
      <c r="O59" s="1138"/>
      <c r="P59" s="1138"/>
      <c r="Q59" s="1138"/>
      <c r="R59" s="1138"/>
      <c r="S59" s="1137"/>
    </row>
    <row r="60" spans="1:24" ht="7.15" customHeight="1" thickBot="1" x14ac:dyDescent="0.3">
      <c r="A60" s="574"/>
      <c r="B60" s="575"/>
      <c r="C60" s="576"/>
      <c r="D60" s="575"/>
      <c r="E60" s="575"/>
      <c r="F60" s="575"/>
      <c r="G60" s="575"/>
      <c r="H60" s="575"/>
      <c r="I60" s="575"/>
      <c r="J60" s="575"/>
      <c r="K60" s="575"/>
      <c r="L60" s="575"/>
      <c r="M60" s="575"/>
      <c r="N60" s="575"/>
      <c r="O60" s="577"/>
      <c r="P60" s="578"/>
      <c r="Q60" s="579"/>
      <c r="R60" s="580"/>
      <c r="S60" s="581"/>
    </row>
    <row r="61" spans="1:24" ht="16" hidden="1" thickTop="1" x14ac:dyDescent="0.35">
      <c r="A61" s="1139"/>
      <c r="D61" s="1140"/>
      <c r="E61" s="1140"/>
      <c r="F61" s="1140"/>
      <c r="G61" s="1140"/>
      <c r="H61" s="1140"/>
      <c r="J61" s="1141"/>
      <c r="K61" s="1141"/>
      <c r="L61" s="1141"/>
      <c r="M61" s="1141"/>
      <c r="N61" s="1141"/>
      <c r="O61" s="1141"/>
      <c r="P61" s="1141"/>
      <c r="S61" s="1141"/>
    </row>
    <row r="62" spans="1:24" ht="13" hidden="1" thickTop="1" x14ac:dyDescent="0.25"/>
    <row r="63" spans="1:24" ht="13" hidden="1" thickTop="1" x14ac:dyDescent="0.25"/>
    <row r="64" spans="1:24" ht="13" hidden="1" thickTop="1" x14ac:dyDescent="0.25"/>
    <row r="65" spans="1:19" ht="13" hidden="1" thickTop="1" x14ac:dyDescent="0.25">
      <c r="A65" s="1744" t="s">
        <v>401</v>
      </c>
      <c r="B65" s="1744"/>
      <c r="C65" s="1744"/>
      <c r="D65" s="1744"/>
      <c r="E65" s="1744"/>
      <c r="F65" s="1744"/>
      <c r="G65" s="1744"/>
      <c r="H65" s="1744"/>
      <c r="I65" s="1744"/>
      <c r="J65" s="1744"/>
      <c r="K65" s="1744"/>
      <c r="L65" s="1744"/>
      <c r="M65" s="1744"/>
      <c r="N65" s="1744"/>
      <c r="O65" s="1744"/>
      <c r="P65" s="1744"/>
      <c r="Q65" s="1744"/>
      <c r="R65" s="1744"/>
      <c r="S65" s="1744"/>
    </row>
    <row r="66" spans="1:19" ht="13" hidden="1" thickTop="1" x14ac:dyDescent="0.25">
      <c r="A66" s="1744"/>
      <c r="B66" s="1744"/>
      <c r="C66" s="1744"/>
      <c r="D66" s="1744"/>
      <c r="E66" s="1744"/>
      <c r="F66" s="1744"/>
      <c r="G66" s="1744"/>
      <c r="H66" s="1744"/>
      <c r="I66" s="1744"/>
      <c r="J66" s="1744"/>
      <c r="K66" s="1744"/>
      <c r="L66" s="1744"/>
      <c r="M66" s="1744"/>
      <c r="N66" s="1744"/>
      <c r="O66" s="1744"/>
      <c r="P66" s="1744"/>
      <c r="Q66" s="1744"/>
      <c r="R66" s="1744"/>
      <c r="S66" s="1744"/>
    </row>
    <row r="67" spans="1:19" ht="13" hidden="1" thickTop="1" x14ac:dyDescent="0.25">
      <c r="A67" s="1744"/>
      <c r="B67" s="1744"/>
      <c r="C67" s="1744"/>
      <c r="D67" s="1744"/>
      <c r="E67" s="1744"/>
      <c r="F67" s="1744"/>
      <c r="G67" s="1744"/>
      <c r="H67" s="1744"/>
      <c r="I67" s="1744"/>
      <c r="J67" s="1744"/>
      <c r="K67" s="1744"/>
      <c r="L67" s="1744"/>
      <c r="M67" s="1744"/>
      <c r="N67" s="1744"/>
      <c r="O67" s="1744"/>
      <c r="P67" s="1744"/>
      <c r="Q67" s="1744"/>
      <c r="R67" s="1744"/>
      <c r="S67" s="1744"/>
    </row>
    <row r="68" spans="1:19" ht="13" hidden="1" thickTop="1" x14ac:dyDescent="0.25">
      <c r="A68" s="1744"/>
      <c r="B68" s="1744"/>
      <c r="C68" s="1744"/>
      <c r="D68" s="1744"/>
      <c r="E68" s="1744"/>
      <c r="F68" s="1744"/>
      <c r="G68" s="1744"/>
      <c r="H68" s="1744"/>
      <c r="I68" s="1744"/>
      <c r="J68" s="1744"/>
      <c r="K68" s="1744"/>
      <c r="L68" s="1744"/>
      <c r="M68" s="1744"/>
      <c r="N68" s="1744"/>
      <c r="O68" s="1744"/>
      <c r="P68" s="1744"/>
      <c r="Q68" s="1744"/>
      <c r="R68" s="1744"/>
      <c r="S68" s="1744"/>
    </row>
    <row r="69" spans="1:19" ht="13" hidden="1" thickTop="1" x14ac:dyDescent="0.25">
      <c r="A69" s="1744"/>
      <c r="B69" s="1744"/>
      <c r="C69" s="1744"/>
      <c r="D69" s="1744"/>
      <c r="E69" s="1744"/>
      <c r="F69" s="1744"/>
      <c r="G69" s="1744"/>
      <c r="H69" s="1744"/>
      <c r="I69" s="1744"/>
      <c r="J69" s="1744"/>
      <c r="K69" s="1744"/>
      <c r="L69" s="1744"/>
      <c r="M69" s="1744"/>
      <c r="N69" s="1744"/>
      <c r="O69" s="1744"/>
      <c r="P69" s="1744"/>
      <c r="Q69" s="1744"/>
      <c r="R69" s="1744"/>
      <c r="S69" s="1744"/>
    </row>
    <row r="70" spans="1:19" ht="13" hidden="1" thickTop="1" x14ac:dyDescent="0.25">
      <c r="A70" s="1744"/>
      <c r="B70" s="1744"/>
      <c r="C70" s="1744"/>
      <c r="D70" s="1744"/>
      <c r="E70" s="1744"/>
      <c r="F70" s="1744"/>
      <c r="G70" s="1744"/>
      <c r="H70" s="1744"/>
      <c r="I70" s="1744"/>
      <c r="J70" s="1744"/>
      <c r="K70" s="1744"/>
      <c r="L70" s="1744"/>
      <c r="M70" s="1744"/>
      <c r="N70" s="1744"/>
      <c r="O70" s="1744"/>
      <c r="P70" s="1744"/>
      <c r="Q70" s="1744"/>
      <c r="R70" s="1744"/>
      <c r="S70" s="1744"/>
    </row>
    <row r="71" spans="1:19" ht="13" hidden="1" thickTop="1" x14ac:dyDescent="0.25">
      <c r="A71" s="1744"/>
      <c r="B71" s="1744"/>
      <c r="C71" s="1744"/>
      <c r="D71" s="1744"/>
      <c r="E71" s="1744"/>
      <c r="F71" s="1744"/>
      <c r="G71" s="1744"/>
      <c r="H71" s="1744"/>
      <c r="I71" s="1744"/>
      <c r="J71" s="1744"/>
      <c r="K71" s="1744"/>
      <c r="L71" s="1744"/>
      <c r="M71" s="1744"/>
      <c r="N71" s="1744"/>
      <c r="O71" s="1744"/>
      <c r="P71" s="1744"/>
      <c r="Q71" s="1744"/>
      <c r="R71" s="1744"/>
      <c r="S71" s="1744"/>
    </row>
    <row r="72" spans="1:19" ht="13" hidden="1" thickTop="1" x14ac:dyDescent="0.25"/>
    <row r="73" spans="1:19" ht="13" hidden="1" thickTop="1" x14ac:dyDescent="0.25"/>
    <row r="74" spans="1:19" ht="13" hidden="1" thickTop="1" x14ac:dyDescent="0.25"/>
    <row r="75" spans="1:19" ht="13" hidden="1" thickTop="1" x14ac:dyDescent="0.25"/>
    <row r="76" spans="1:19" ht="13" hidden="1" thickTop="1" x14ac:dyDescent="0.25"/>
    <row r="77" spans="1:19" ht="13" hidden="1" thickTop="1" x14ac:dyDescent="0.25"/>
    <row r="78" spans="1:19" ht="13" hidden="1" thickTop="1" x14ac:dyDescent="0.25"/>
    <row r="79" spans="1:19" ht="13" hidden="1" thickTop="1" x14ac:dyDescent="0.25"/>
    <row r="80" spans="1:19" ht="13" hidden="1" thickTop="1" x14ac:dyDescent="0.25"/>
    <row r="81" spans="6:18" ht="13" hidden="1" thickTop="1" x14ac:dyDescent="0.25"/>
    <row r="82" spans="6:18" ht="13" hidden="1" thickTop="1" x14ac:dyDescent="0.25"/>
    <row r="83" spans="6:18" ht="13" hidden="1" thickTop="1" x14ac:dyDescent="0.25"/>
    <row r="84" spans="6:18" ht="13" hidden="1" thickTop="1" x14ac:dyDescent="0.25"/>
    <row r="85" spans="6:18" ht="13" hidden="1" thickTop="1" x14ac:dyDescent="0.25"/>
    <row r="86" spans="6:18" ht="14.5" hidden="1" thickTop="1" x14ac:dyDescent="0.25">
      <c r="I86" s="1142" t="s">
        <v>455</v>
      </c>
    </row>
    <row r="87" spans="6:18" ht="14.5" hidden="1" thickTop="1" x14ac:dyDescent="0.25">
      <c r="F87" s="1059" t="s">
        <v>458</v>
      </c>
      <c r="I87" s="1059" t="s">
        <v>458</v>
      </c>
      <c r="R87" s="1142" t="s">
        <v>454</v>
      </c>
    </row>
    <row r="88" spans="6:18" ht="14.5" hidden="1" thickTop="1" x14ac:dyDescent="0.25">
      <c r="I88" s="1059" t="s">
        <v>461</v>
      </c>
      <c r="R88" s="1142" t="s">
        <v>524</v>
      </c>
    </row>
    <row r="89" spans="6:18" ht="14.5" hidden="1" thickTop="1" x14ac:dyDescent="0.25">
      <c r="I89" s="1059" t="s">
        <v>469</v>
      </c>
      <c r="R89" s="1142" t="s">
        <v>455</v>
      </c>
    </row>
    <row r="90" spans="6:18" ht="14.5" hidden="1" thickTop="1" x14ac:dyDescent="0.25">
      <c r="I90" s="1059" t="s">
        <v>523</v>
      </c>
      <c r="R90" s="1142" t="s">
        <v>382</v>
      </c>
    </row>
    <row r="91" spans="6:18" ht="14.5" hidden="1" thickTop="1" x14ac:dyDescent="0.25">
      <c r="I91" s="1059" t="s">
        <v>472</v>
      </c>
      <c r="R91" s="1142" t="s">
        <v>455</v>
      </c>
    </row>
    <row r="92" spans="6:18" ht="14.5" hidden="1" thickTop="1" x14ac:dyDescent="0.25">
      <c r="I92" s="1059" t="s">
        <v>480</v>
      </c>
      <c r="R92" s="1142" t="s">
        <v>456</v>
      </c>
    </row>
    <row r="93" spans="6:18" ht="14.5" hidden="1" thickTop="1" x14ac:dyDescent="0.25">
      <c r="I93" s="1059" t="s">
        <v>481</v>
      </c>
      <c r="R93" s="1142" t="s">
        <v>457</v>
      </c>
    </row>
    <row r="94" spans="6:18" ht="14.5" hidden="1" thickTop="1" x14ac:dyDescent="0.25">
      <c r="I94" s="1059" t="s">
        <v>485</v>
      </c>
      <c r="R94" s="1142" t="s">
        <v>383</v>
      </c>
    </row>
    <row r="95" spans="6:18" ht="14.5" hidden="1" thickTop="1" x14ac:dyDescent="0.25">
      <c r="I95" s="1059" t="s">
        <v>491</v>
      </c>
      <c r="R95" s="1142" t="s">
        <v>459</v>
      </c>
    </row>
    <row r="96" spans="6:18" ht="14.5" hidden="1" thickTop="1" x14ac:dyDescent="0.25">
      <c r="I96" s="1059" t="s">
        <v>498</v>
      </c>
      <c r="R96" s="1142" t="s">
        <v>390</v>
      </c>
    </row>
    <row r="97" spans="9:18" ht="28.5" hidden="1" thickTop="1" x14ac:dyDescent="0.25">
      <c r="I97" s="1059" t="s">
        <v>501</v>
      </c>
      <c r="R97" s="1142" t="s">
        <v>460</v>
      </c>
    </row>
    <row r="98" spans="9:18" ht="14.5" hidden="1" thickTop="1" x14ac:dyDescent="0.25">
      <c r="I98" s="1059" t="s">
        <v>506</v>
      </c>
      <c r="R98" s="1142" t="s">
        <v>431</v>
      </c>
    </row>
    <row r="99" spans="9:18" ht="14.5" hidden="1" thickTop="1" x14ac:dyDescent="0.25">
      <c r="R99" s="1142" t="s">
        <v>462</v>
      </c>
    </row>
    <row r="100" spans="9:18" ht="28.5" hidden="1" thickTop="1" x14ac:dyDescent="0.25">
      <c r="I100" s="1059">
        <f>IF(OR(F87=I86,F87=I87,F87=I88,F87=I89,F87=I90,F87=I91,F87=I92,F87=I93,F87=I94,F87=I95,F87=I96,F87=I97,F87=I98),1,0)</f>
        <v>1</v>
      </c>
      <c r="R100" s="1142" t="s">
        <v>463</v>
      </c>
    </row>
    <row r="101" spans="9:18" ht="28.5" hidden="1" thickTop="1" x14ac:dyDescent="0.25">
      <c r="R101" s="1142" t="s">
        <v>464</v>
      </c>
    </row>
    <row r="102" spans="9:18" ht="14.5" hidden="1" thickTop="1" x14ac:dyDescent="0.25">
      <c r="R102" s="1142" t="s">
        <v>465</v>
      </c>
    </row>
    <row r="103" spans="9:18" ht="28.5" hidden="1" thickTop="1" x14ac:dyDescent="0.25">
      <c r="R103" s="1142" t="s">
        <v>466</v>
      </c>
    </row>
    <row r="104" spans="9:18" ht="28.5" hidden="1" thickTop="1" x14ac:dyDescent="0.25">
      <c r="R104" s="1142" t="s">
        <v>467</v>
      </c>
    </row>
    <row r="105" spans="9:18" ht="14.5" hidden="1" thickTop="1" x14ac:dyDescent="0.25">
      <c r="R105" s="1142" t="s">
        <v>468</v>
      </c>
    </row>
    <row r="106" spans="9:18" ht="28.5" hidden="1" thickTop="1" x14ac:dyDescent="0.25">
      <c r="R106" s="1142" t="s">
        <v>384</v>
      </c>
    </row>
    <row r="107" spans="9:18" ht="28.5" hidden="1" thickTop="1" x14ac:dyDescent="0.25">
      <c r="R107" s="1142" t="s">
        <v>470</v>
      </c>
    </row>
    <row r="108" spans="9:18" ht="28.5" hidden="1" thickTop="1" x14ac:dyDescent="0.25">
      <c r="R108" s="1142" t="s">
        <v>471</v>
      </c>
    </row>
    <row r="109" spans="9:18" ht="14.5" hidden="1" thickTop="1" x14ac:dyDescent="0.25">
      <c r="R109" s="1142" t="s">
        <v>416</v>
      </c>
    </row>
    <row r="110" spans="9:18" ht="28.5" hidden="1" thickTop="1" x14ac:dyDescent="0.25">
      <c r="R110" s="1142" t="s">
        <v>473</v>
      </c>
    </row>
    <row r="111" spans="9:18" ht="28.5" hidden="1" thickTop="1" x14ac:dyDescent="0.25">
      <c r="R111" s="1142" t="s">
        <v>474</v>
      </c>
    </row>
    <row r="112" spans="9:18" ht="14.5" hidden="1" thickTop="1" x14ac:dyDescent="0.25">
      <c r="R112" s="1142" t="s">
        <v>475</v>
      </c>
    </row>
    <row r="113" spans="18:18" ht="14.5" hidden="1" thickTop="1" x14ac:dyDescent="0.25">
      <c r="R113" s="1142" t="s">
        <v>476</v>
      </c>
    </row>
    <row r="114" spans="18:18" ht="14.5" hidden="1" thickTop="1" x14ac:dyDescent="0.25">
      <c r="R114" s="1142" t="s">
        <v>477</v>
      </c>
    </row>
    <row r="115" spans="18:18" ht="28.5" hidden="1" thickTop="1" x14ac:dyDescent="0.25">
      <c r="R115" s="1142" t="s">
        <v>478</v>
      </c>
    </row>
    <row r="116" spans="18:18" ht="14.5" hidden="1" thickTop="1" x14ac:dyDescent="0.25">
      <c r="R116" s="1142" t="s">
        <v>479</v>
      </c>
    </row>
    <row r="117" spans="18:18" ht="14.5" hidden="1" thickTop="1" x14ac:dyDescent="0.25">
      <c r="R117" s="1142" t="s">
        <v>391</v>
      </c>
    </row>
    <row r="118" spans="18:18" ht="14.5" hidden="1" thickTop="1" x14ac:dyDescent="0.25">
      <c r="R118" s="1142" t="s">
        <v>392</v>
      </c>
    </row>
    <row r="119" spans="18:18" ht="14.5" hidden="1" thickTop="1" x14ac:dyDescent="0.25">
      <c r="R119" s="1142" t="s">
        <v>385</v>
      </c>
    </row>
    <row r="120" spans="18:18" ht="14.5" hidden="1" thickTop="1" x14ac:dyDescent="0.25">
      <c r="R120" s="1142" t="s">
        <v>393</v>
      </c>
    </row>
    <row r="121" spans="18:18" ht="14.5" hidden="1" thickTop="1" x14ac:dyDescent="0.25">
      <c r="R121" s="1142" t="s">
        <v>386</v>
      </c>
    </row>
    <row r="122" spans="18:18" ht="14.5" hidden="1" thickTop="1" x14ac:dyDescent="0.25">
      <c r="R122" s="1142" t="s">
        <v>387</v>
      </c>
    </row>
    <row r="123" spans="18:18" ht="28.5" hidden="1" thickTop="1" x14ac:dyDescent="0.25">
      <c r="R123" s="1142" t="s">
        <v>482</v>
      </c>
    </row>
    <row r="124" spans="18:18" ht="14.5" hidden="1" thickTop="1" x14ac:dyDescent="0.25">
      <c r="R124" s="1142" t="s">
        <v>483</v>
      </c>
    </row>
    <row r="125" spans="18:18" ht="14.5" hidden="1" thickTop="1" x14ac:dyDescent="0.25">
      <c r="R125" s="1142" t="s">
        <v>484</v>
      </c>
    </row>
    <row r="126" spans="18:18" ht="14.5" hidden="1" thickTop="1" x14ac:dyDescent="0.25">
      <c r="R126" s="1142" t="s">
        <v>486</v>
      </c>
    </row>
    <row r="127" spans="18:18" ht="14.5" hidden="1" thickTop="1" x14ac:dyDescent="0.25">
      <c r="R127" s="1142" t="s">
        <v>487</v>
      </c>
    </row>
    <row r="128" spans="18:18" ht="28.5" hidden="1" thickTop="1" x14ac:dyDescent="0.25">
      <c r="R128" s="1142" t="s">
        <v>388</v>
      </c>
    </row>
    <row r="129" spans="18:18" ht="28.5" hidden="1" thickTop="1" x14ac:dyDescent="0.25">
      <c r="R129" s="1142" t="s">
        <v>423</v>
      </c>
    </row>
    <row r="130" spans="18:18" ht="28.5" hidden="1" thickTop="1" x14ac:dyDescent="0.25">
      <c r="R130" s="1142" t="s">
        <v>422</v>
      </c>
    </row>
    <row r="131" spans="18:18" ht="14.5" hidden="1" thickTop="1" x14ac:dyDescent="0.25">
      <c r="R131" s="1142" t="s">
        <v>488</v>
      </c>
    </row>
    <row r="132" spans="18:18" ht="28.5" hidden="1" thickTop="1" x14ac:dyDescent="0.25">
      <c r="R132" s="1142" t="s">
        <v>489</v>
      </c>
    </row>
    <row r="133" spans="18:18" ht="14.5" hidden="1" thickTop="1" x14ac:dyDescent="0.25">
      <c r="R133" s="1142" t="s">
        <v>490</v>
      </c>
    </row>
    <row r="134" spans="18:18" ht="28.5" hidden="1" thickTop="1" x14ac:dyDescent="0.25">
      <c r="R134" s="1142" t="s">
        <v>492</v>
      </c>
    </row>
    <row r="135" spans="18:18" ht="14.5" hidden="1" thickTop="1" x14ac:dyDescent="0.25">
      <c r="R135" s="1142" t="s">
        <v>493</v>
      </c>
    </row>
    <row r="136" spans="18:18" ht="28.5" hidden="1" thickTop="1" x14ac:dyDescent="0.25">
      <c r="R136" s="1142" t="s">
        <v>494</v>
      </c>
    </row>
    <row r="137" spans="18:18" ht="28.5" hidden="1" thickTop="1" x14ac:dyDescent="0.25">
      <c r="R137" s="1142" t="s">
        <v>495</v>
      </c>
    </row>
    <row r="138" spans="18:18" ht="14.5" hidden="1" thickTop="1" x14ac:dyDescent="0.25">
      <c r="R138" s="1142" t="s">
        <v>496</v>
      </c>
    </row>
    <row r="139" spans="18:18" ht="14.5" hidden="1" thickTop="1" x14ac:dyDescent="0.25">
      <c r="R139" s="1142" t="s">
        <v>497</v>
      </c>
    </row>
    <row r="140" spans="18:18" ht="28.5" hidden="1" thickTop="1" x14ac:dyDescent="0.25">
      <c r="R140" s="1142" t="s">
        <v>394</v>
      </c>
    </row>
    <row r="141" spans="18:18" ht="28.5" hidden="1" thickTop="1" x14ac:dyDescent="0.25">
      <c r="R141" s="1142" t="s">
        <v>499</v>
      </c>
    </row>
    <row r="142" spans="18:18" ht="28.5" hidden="1" thickTop="1" x14ac:dyDescent="0.25">
      <c r="R142" s="1142" t="s">
        <v>500</v>
      </c>
    </row>
    <row r="143" spans="18:18" ht="14.5" hidden="1" thickTop="1" x14ac:dyDescent="0.25">
      <c r="R143" s="1142" t="s">
        <v>502</v>
      </c>
    </row>
    <row r="144" spans="18:18" ht="28.5" hidden="1" thickTop="1" x14ac:dyDescent="0.25">
      <c r="R144" s="1142" t="s">
        <v>503</v>
      </c>
    </row>
    <row r="145" spans="18:18" ht="14.5" hidden="1" thickTop="1" x14ac:dyDescent="0.25">
      <c r="R145" s="1142" t="s">
        <v>504</v>
      </c>
    </row>
    <row r="146" spans="18:18" ht="14.5" hidden="1" thickTop="1" x14ac:dyDescent="0.25">
      <c r="R146" s="1142" t="s">
        <v>505</v>
      </c>
    </row>
    <row r="147" spans="18:18" ht="28.5" hidden="1" thickTop="1" x14ac:dyDescent="0.25">
      <c r="R147" s="1142" t="s">
        <v>418</v>
      </c>
    </row>
    <row r="148" spans="18:18" ht="14.5" hidden="1" thickTop="1" x14ac:dyDescent="0.25">
      <c r="R148" s="1142" t="s">
        <v>507</v>
      </c>
    </row>
    <row r="149" spans="18:18" ht="14.5" hidden="1" thickTop="1" x14ac:dyDescent="0.25">
      <c r="R149" s="1142" t="s">
        <v>508</v>
      </c>
    </row>
    <row r="150" spans="18:18" ht="14.5" hidden="1" thickTop="1" x14ac:dyDescent="0.25">
      <c r="R150" s="1142" t="s">
        <v>509</v>
      </c>
    </row>
    <row r="151" spans="18:18" ht="14.5" hidden="1" thickTop="1" x14ac:dyDescent="0.25">
      <c r="R151" s="1142" t="s">
        <v>510</v>
      </c>
    </row>
    <row r="152" spans="18:18" ht="14.5" hidden="1" thickTop="1" x14ac:dyDescent="0.25">
      <c r="R152" s="1142" t="s">
        <v>428</v>
      </c>
    </row>
    <row r="153" spans="18:18" ht="28.5" hidden="1" thickTop="1" x14ac:dyDescent="0.25">
      <c r="R153" s="1142" t="s">
        <v>511</v>
      </c>
    </row>
    <row r="154" spans="18:18" ht="28.5" hidden="1" thickTop="1" x14ac:dyDescent="0.25">
      <c r="R154" s="1142" t="s">
        <v>512</v>
      </c>
    </row>
    <row r="155" spans="18:18" ht="28.5" hidden="1" thickTop="1" x14ac:dyDescent="0.25">
      <c r="R155" s="1142" t="s">
        <v>513</v>
      </c>
    </row>
    <row r="156" spans="18:18" ht="14.5" hidden="1" thickTop="1" x14ac:dyDescent="0.25">
      <c r="R156" s="1142" t="s">
        <v>514</v>
      </c>
    </row>
    <row r="157" spans="18:18" ht="28.5" hidden="1" thickTop="1" x14ac:dyDescent="0.25">
      <c r="R157" s="1142" t="s">
        <v>515</v>
      </c>
    </row>
    <row r="158" spans="18:18" ht="28.5" hidden="1" thickTop="1" x14ac:dyDescent="0.25">
      <c r="R158" s="1142" t="s">
        <v>516</v>
      </c>
    </row>
    <row r="159" spans="18:18" ht="28.5" hidden="1" thickTop="1" x14ac:dyDescent="0.25">
      <c r="R159" s="1142" t="s">
        <v>517</v>
      </c>
    </row>
    <row r="160" spans="18:18" ht="14.5" hidden="1" thickTop="1" x14ac:dyDescent="0.25">
      <c r="R160" s="1142" t="s">
        <v>389</v>
      </c>
    </row>
    <row r="161" spans="18:18" ht="14.5" hidden="1" thickTop="1" x14ac:dyDescent="0.25">
      <c r="R161" s="1142"/>
    </row>
    <row r="162" spans="18:18" ht="14.5" hidden="1" thickTop="1" x14ac:dyDescent="0.25">
      <c r="R162" s="1142"/>
    </row>
    <row r="163" spans="18:18" ht="14.5" hidden="1" thickTop="1" x14ac:dyDescent="0.25">
      <c r="R163" s="1142"/>
    </row>
    <row r="164" spans="18:18" ht="14.5" hidden="1" thickTop="1" x14ac:dyDescent="0.25">
      <c r="R164" s="1142"/>
    </row>
    <row r="165" spans="18:18" ht="14.5" hidden="1" thickTop="1" x14ac:dyDescent="0.25">
      <c r="R165" s="1142"/>
    </row>
    <row r="166" spans="18:18" ht="14.5" hidden="1" thickTop="1" x14ac:dyDescent="0.25">
      <c r="R166" s="1142"/>
    </row>
    <row r="167" spans="18:18" ht="14.5" hidden="1" thickTop="1" x14ac:dyDescent="0.25">
      <c r="R167" s="1142"/>
    </row>
    <row r="168" spans="18:18" ht="14.5" hidden="1" thickTop="1" x14ac:dyDescent="0.25">
      <c r="R168" s="1142"/>
    </row>
    <row r="169" spans="18:18" ht="14.5" hidden="1" thickTop="1" x14ac:dyDescent="0.25">
      <c r="R169" s="1142"/>
    </row>
    <row r="170" spans="18:18" ht="14.5" hidden="1" thickTop="1" x14ac:dyDescent="0.25">
      <c r="R170" s="1142"/>
    </row>
    <row r="171" spans="18:18" ht="14.5" hidden="1" thickTop="1" x14ac:dyDescent="0.25">
      <c r="R171" s="1142"/>
    </row>
    <row r="172" spans="18:18" ht="14.5" hidden="1" thickTop="1" x14ac:dyDescent="0.25">
      <c r="R172" s="1142"/>
    </row>
    <row r="173" spans="18:18" ht="13" thickTop="1" x14ac:dyDescent="0.25"/>
  </sheetData>
  <sheetProtection password="F6CE" sheet="1" objects="1" scenarios="1"/>
  <dataConsolidate/>
  <mergeCells count="27">
    <mergeCell ref="C59:I59"/>
    <mergeCell ref="A65:S71"/>
    <mergeCell ref="C48:R48"/>
    <mergeCell ref="C49:R49"/>
    <mergeCell ref="C51:R52"/>
    <mergeCell ref="C54:M55"/>
    <mergeCell ref="N56:R56"/>
    <mergeCell ref="C58:I58"/>
    <mergeCell ref="C43:R43"/>
    <mergeCell ref="P9:R9"/>
    <mergeCell ref="P10:Q10"/>
    <mergeCell ref="C11:J11"/>
    <mergeCell ref="P11:R11"/>
    <mergeCell ref="P12:R12"/>
    <mergeCell ref="C13:J13"/>
    <mergeCell ref="P13:Q13"/>
    <mergeCell ref="Q16:R17"/>
    <mergeCell ref="C17:I18"/>
    <mergeCell ref="C20:J24"/>
    <mergeCell ref="L25:S25"/>
    <mergeCell ref="D41:E41"/>
    <mergeCell ref="M1:S1"/>
    <mergeCell ref="M2:R2"/>
    <mergeCell ref="P4:R4"/>
    <mergeCell ref="P7:S7"/>
    <mergeCell ref="C8:J8"/>
    <mergeCell ref="P8:R8"/>
  </mergeCells>
  <conditionalFormatting sqref="X32">
    <cfRule type="expression" dxfId="162" priority="15" stopIfTrue="1">
      <formula>E32&gt;9%</formula>
    </cfRule>
  </conditionalFormatting>
  <conditionalFormatting sqref="X49">
    <cfRule type="expression" dxfId="161" priority="16" stopIfTrue="1">
      <formula>T42=1</formula>
    </cfRule>
  </conditionalFormatting>
  <conditionalFormatting sqref="M34">
    <cfRule type="expression" dxfId="160" priority="17" stopIfTrue="1">
      <formula>W32=1</formula>
    </cfRule>
  </conditionalFormatting>
  <conditionalFormatting sqref="F36">
    <cfRule type="expression" dxfId="159" priority="18" stopIfTrue="1">
      <formula>W37=3</formula>
    </cfRule>
  </conditionalFormatting>
  <conditionalFormatting sqref="Q37">
    <cfRule type="expression" dxfId="158" priority="19" stopIfTrue="1">
      <formula>X42=1</formula>
    </cfRule>
  </conditionalFormatting>
  <conditionalFormatting sqref="L39">
    <cfRule type="expression" dxfId="157" priority="20" stopIfTrue="1">
      <formula>U42=1</formula>
    </cfRule>
  </conditionalFormatting>
  <conditionalFormatting sqref="C33:C34">
    <cfRule type="expression" dxfId="156" priority="21" stopIfTrue="1">
      <formula>U33="Yes"</formula>
    </cfRule>
  </conditionalFormatting>
  <conditionalFormatting sqref="X25">
    <cfRule type="expression" dxfId="155" priority="22" stopIfTrue="1">
      <formula>W38=1</formula>
    </cfRule>
  </conditionalFormatting>
  <conditionalFormatting sqref="M33">
    <cfRule type="expression" dxfId="154" priority="23" stopIfTrue="1">
      <formula>W34=1</formula>
    </cfRule>
  </conditionalFormatting>
  <conditionalFormatting sqref="L33">
    <cfRule type="expression" dxfId="153" priority="24" stopIfTrue="1">
      <formula>W34=1</formula>
    </cfRule>
  </conditionalFormatting>
  <conditionalFormatting sqref="D33:D34">
    <cfRule type="expression" dxfId="152" priority="25" stopIfTrue="1">
      <formula>U33="Yes"</formula>
    </cfRule>
  </conditionalFormatting>
  <conditionalFormatting sqref="C35">
    <cfRule type="expression" dxfId="151" priority="26" stopIfTrue="1">
      <formula>AND(U36="Yes",U34="Yes")</formula>
    </cfRule>
  </conditionalFormatting>
  <conditionalFormatting sqref="D35">
    <cfRule type="expression" dxfId="150" priority="27" stopIfTrue="1">
      <formula>AND(U36="Yes",U34="Yes")</formula>
    </cfRule>
  </conditionalFormatting>
  <conditionalFormatting sqref="L34">
    <cfRule type="expression" dxfId="149" priority="28" stopIfTrue="1">
      <formula>W32=1</formula>
    </cfRule>
  </conditionalFormatting>
  <conditionalFormatting sqref="M39">
    <cfRule type="expression" dxfId="148" priority="29" stopIfTrue="1">
      <formula>U42=1</formula>
    </cfRule>
  </conditionalFormatting>
  <conditionalFormatting sqref="L36">
    <cfRule type="expression" dxfId="147" priority="30" stopIfTrue="1">
      <formula>U41=1</formula>
    </cfRule>
  </conditionalFormatting>
  <conditionalFormatting sqref="Y23">
    <cfRule type="expression" dxfId="146" priority="31" stopIfTrue="1">
      <formula>AA37=1</formula>
    </cfRule>
  </conditionalFormatting>
  <conditionalFormatting sqref="W29">
    <cfRule type="expression" dxfId="145" priority="32" stopIfTrue="1">
      <formula>W39=1</formula>
    </cfRule>
  </conditionalFormatting>
  <conditionalFormatting sqref="E36">
    <cfRule type="expression" dxfId="144" priority="33" stopIfTrue="1">
      <formula>U37=1</formula>
    </cfRule>
  </conditionalFormatting>
  <conditionalFormatting sqref="M36">
    <cfRule type="expression" dxfId="143" priority="34" stopIfTrue="1">
      <formula>U41=1</formula>
    </cfRule>
  </conditionalFormatting>
  <conditionalFormatting sqref="D36">
    <cfRule type="expression" dxfId="142" priority="35" stopIfTrue="1">
      <formula>W41=1</formula>
    </cfRule>
  </conditionalFormatting>
  <conditionalFormatting sqref="C36">
    <cfRule type="expression" dxfId="141" priority="36" stopIfTrue="1">
      <formula>W41=1</formula>
    </cfRule>
  </conditionalFormatting>
  <conditionalFormatting sqref="C40">
    <cfRule type="expression" dxfId="140" priority="37" stopIfTrue="1">
      <formula>T40=1</formula>
    </cfRule>
  </conditionalFormatting>
  <conditionalFormatting sqref="L40">
    <cfRule type="expression" dxfId="139" priority="38" stopIfTrue="1">
      <formula>U40=1</formula>
    </cfRule>
  </conditionalFormatting>
  <conditionalFormatting sqref="D40">
    <cfRule type="expression" dxfId="138" priority="39" stopIfTrue="1">
      <formula>T40=1</formula>
    </cfRule>
  </conditionalFormatting>
  <conditionalFormatting sqref="M40">
    <cfRule type="expression" dxfId="137" priority="40" stopIfTrue="1">
      <formula>U40=1</formula>
    </cfRule>
  </conditionalFormatting>
  <conditionalFormatting sqref="I16">
    <cfRule type="expression" dxfId="136" priority="41" stopIfTrue="1">
      <formula>T18="One Year"</formula>
    </cfRule>
  </conditionalFormatting>
  <conditionalFormatting sqref="C53">
    <cfRule type="expression" dxfId="135" priority="42" stopIfTrue="1">
      <formula>V55&lt;&gt;0</formula>
    </cfRule>
  </conditionalFormatting>
  <conditionalFormatting sqref="U49">
    <cfRule type="cellIs" dxfId="134" priority="43" stopIfTrue="1" operator="equal">
      <formula>"."</formula>
    </cfRule>
  </conditionalFormatting>
  <conditionalFormatting sqref="X39:X40">
    <cfRule type="expression" dxfId="133" priority="44" stopIfTrue="1">
      <formula>#REF!&gt;1</formula>
    </cfRule>
  </conditionalFormatting>
  <conditionalFormatting sqref="D41:E41">
    <cfRule type="cellIs" dxfId="132" priority="45" stopIfTrue="1" operator="equal">
      <formula>"-"</formula>
    </cfRule>
  </conditionalFormatting>
  <conditionalFormatting sqref="G39:G40 E35 C9">
    <cfRule type="cellIs" dxfId="131" priority="46" stopIfTrue="1" operator="equal">
      <formula>0</formula>
    </cfRule>
  </conditionalFormatting>
  <conditionalFormatting sqref="H36">
    <cfRule type="expression" dxfId="130" priority="47" stopIfTrue="1">
      <formula>#REF!&gt;1000</formula>
    </cfRule>
  </conditionalFormatting>
  <conditionalFormatting sqref="I39:I40">
    <cfRule type="expression" dxfId="129" priority="48" stopIfTrue="1">
      <formula>#REF!=0</formula>
    </cfRule>
  </conditionalFormatting>
  <conditionalFormatting sqref="R5 P4">
    <cfRule type="cellIs" dxfId="128" priority="49" stopIfTrue="1" operator="equal">
      <formula>0</formula>
    </cfRule>
  </conditionalFormatting>
  <conditionalFormatting sqref="L23">
    <cfRule type="cellIs" dxfId="127" priority="50" stopIfTrue="1" operator="equal">
      <formula>"Total Contribution"</formula>
    </cfRule>
  </conditionalFormatting>
  <conditionalFormatting sqref="C8">
    <cfRule type="cellIs" dxfId="126" priority="14" stopIfTrue="1" operator="equal">
      <formula>0</formula>
    </cfRule>
  </conditionalFormatting>
  <conditionalFormatting sqref="Q38">
    <cfRule type="expression" dxfId="125" priority="13" stopIfTrue="1">
      <formula>V42=1</formula>
    </cfRule>
  </conditionalFormatting>
  <conditionalFormatting sqref="R38">
    <cfRule type="expression" dxfId="124" priority="12" stopIfTrue="1">
      <formula>AA43=1</formula>
    </cfRule>
  </conditionalFormatting>
  <conditionalFormatting sqref="G36">
    <cfRule type="expression" dxfId="123" priority="51" stopIfTrue="1">
      <formula>W35=1</formula>
    </cfRule>
  </conditionalFormatting>
  <conditionalFormatting sqref="F35">
    <cfRule type="expression" dxfId="122" priority="7" stopIfTrue="1">
      <formula>W35=3</formula>
    </cfRule>
  </conditionalFormatting>
  <conditionalFormatting sqref="G35">
    <cfRule type="expression" dxfId="121" priority="8" stopIfTrue="1">
      <formula>W35=1</formula>
    </cfRule>
  </conditionalFormatting>
  <conditionalFormatting sqref="H35">
    <cfRule type="expression" dxfId="120" priority="9" stopIfTrue="1">
      <formula>#REF!&gt;1000</formula>
    </cfRule>
  </conditionalFormatting>
  <conditionalFormatting sqref="L35">
    <cfRule type="expression" dxfId="119" priority="10" stopIfTrue="1">
      <formula>AA37=1</formula>
    </cfRule>
  </conditionalFormatting>
  <conditionalFormatting sqref="M35">
    <cfRule type="expression" dxfId="118" priority="11" stopIfTrue="1">
      <formula>AA37=1</formula>
    </cfRule>
  </conditionalFormatting>
  <conditionalFormatting sqref="G37">
    <cfRule type="expression" dxfId="117" priority="6" stopIfTrue="1">
      <formula>AND(B13=1,I13="Ijarah Leasing")</formula>
    </cfRule>
  </conditionalFormatting>
  <conditionalFormatting sqref="H37">
    <cfRule type="expression" dxfId="116" priority="5" stopIfTrue="1">
      <formula>AND(C13=1,J13="Ijarah")</formula>
    </cfRule>
  </conditionalFormatting>
  <conditionalFormatting sqref="C13">
    <cfRule type="cellIs" dxfId="115" priority="4" stopIfTrue="1" operator="equal">
      <formula>0</formula>
    </cfRule>
  </conditionalFormatting>
  <conditionalFormatting sqref="L37:L38">
    <cfRule type="expression" dxfId="114" priority="3" stopIfTrue="1">
      <formula>AND(AD35="Yes",AD33="Yes")</formula>
    </cfRule>
  </conditionalFormatting>
  <conditionalFormatting sqref="C11">
    <cfRule type="cellIs" dxfId="113" priority="2" stopIfTrue="1" operator="equal">
      <formula>0</formula>
    </cfRule>
  </conditionalFormatting>
  <conditionalFormatting sqref="I35">
    <cfRule type="expression" dxfId="112" priority="1" stopIfTrue="1">
      <formula>Y35=1</formula>
    </cfRule>
  </conditionalFormatting>
  <conditionalFormatting sqref="V41">
    <cfRule type="expression" dxfId="111" priority="52" stopIfTrue="1">
      <formula>$E$36&gt;0</formula>
    </cfRule>
  </conditionalFormatting>
  <dataValidations count="11">
    <dataValidation type="list" allowBlank="1" showInputMessage="1" showErrorMessage="1" sqref="R34" xr:uid="{00000000-0002-0000-0900-000000000000}">
      <formula1>"0,25000,50000,75000,100000,125000,150000,175000,200000,225000,250000,275000,300000"</formula1>
    </dataValidation>
    <dataValidation type="list" allowBlank="1" showInputMessage="1" showErrorMessage="1" sqref="R10" xr:uid="{00000000-0002-0000-0900-000001000000}">
      <formula1>"Above 250cc,Below 250cc"</formula1>
    </dataValidation>
    <dataValidation type="list" allowBlank="1" showInputMessage="1" showErrorMessage="1" sqref="P10:Q10" xr:uid="{00000000-0002-0000-0900-000002000000}">
      <formula1>"PETROL,ELECTRIC"</formula1>
    </dataValidation>
    <dataValidation type="list" allowBlank="1" showInputMessage="1" showErrorMessage="1" sqref="T13" xr:uid="{00000000-0002-0000-0900-000003000000}">
      <formula1>"Ijarah,Murabaha,D/Musharaka"</formula1>
    </dataValidation>
    <dataValidation type="whole" allowBlank="1" showInputMessage="1" showErrorMessage="1" sqref="R35" xr:uid="{00000000-0002-0000-0900-000004000000}">
      <formula1>0</formula1>
      <formula2>30000</formula2>
    </dataValidation>
    <dataValidation type="list" operator="notBetween" allowBlank="1" showInputMessage="1" showErrorMessage="1" sqref="R33" xr:uid="{00000000-0002-0000-0900-000005000000}">
      <formula1>"100000,300000,500000,1000000"</formula1>
    </dataValidation>
    <dataValidation type="decimal" allowBlank="1" showInputMessage="1" showErrorMessage="1" error="Maximum 65% NCB_x000a_" sqref="T34" xr:uid="{00000000-0002-0000-0900-000006000000}">
      <formula1>0</formula1>
      <formula2>65</formula2>
    </dataValidation>
    <dataValidation type="list" allowBlank="1" showInputMessage="1" showErrorMessage="1" sqref="P13:Q13" xr:uid="{00000000-0002-0000-0900-000007000000}">
      <formula1>"2001,2002,2003,2004,2005,2006,2007,2008,2009,2010,2011,2012,2013,2014,2015,2016,2017,2018,2019,2020,2021"</formula1>
    </dataValidation>
    <dataValidation type="list" allowBlank="1" showInputMessage="1" showErrorMessage="1" sqref="T20" xr:uid="{00000000-0002-0000-0900-000008000000}">
      <formula1>"Yes,No"</formula1>
    </dataValidation>
    <dataValidation type="decimal" allowBlank="1" showInputMessage="1" showErrorMessage="1" sqref="Q16" xr:uid="{00000000-0002-0000-0900-000009000000}">
      <formula1>0</formula1>
      <formula2>1100000</formula2>
    </dataValidation>
    <dataValidation type="whole" allowBlank="1" showInputMessage="1" showErrorMessage="1" sqref="E36 Q38 G35:H37 I35 C33:C36 L33:L40 C40" xr:uid="{00000000-0002-0000-0900-00000A000000}">
      <formula1>0</formula1>
      <formula2>1</formula2>
    </dataValidation>
  </dataValidations>
  <printOptions horizontalCentered="1"/>
  <pageMargins left="0.75" right="0.5" top="0.75" bottom="0" header="0" footer="0"/>
  <pageSetup paperSize="9" scale="69"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4">
    <tabColor indexed="40"/>
    <pageSetUpPr fitToPage="1"/>
  </sheetPr>
  <dimension ref="A1:AZ152"/>
  <sheetViews>
    <sheetView showGridLines="0" zoomScale="75" zoomScaleNormal="82" workbookViewId="0">
      <selection activeCell="M56" sqref="M56"/>
    </sheetView>
  </sheetViews>
  <sheetFormatPr defaultColWidth="0" defaultRowHeight="14.25" customHeight="1" zeroHeight="1" x14ac:dyDescent="0.3"/>
  <cols>
    <col min="1" max="1" width="0.81640625" style="1452" customWidth="1"/>
    <col min="2" max="2" width="0.54296875" style="1452" customWidth="1"/>
    <col min="3" max="3" width="5.26953125" style="1452" customWidth="1"/>
    <col min="4" max="4" width="3.26953125" style="1452" customWidth="1"/>
    <col min="5" max="5" width="4.26953125" style="1452" customWidth="1"/>
    <col min="6" max="6" width="33.26953125" style="1452" customWidth="1"/>
    <col min="7" max="7" width="4.7265625" style="1452" customWidth="1"/>
    <col min="8" max="8" width="18.54296875" style="1452" customWidth="1"/>
    <col min="9" max="9" width="16.453125" style="1452" customWidth="1"/>
    <col min="10" max="10" width="3.81640625" style="1452" customWidth="1"/>
    <col min="11" max="11" width="14.54296875" style="1452" customWidth="1"/>
    <col min="12" max="12" width="4" style="1452" customWidth="1"/>
    <col min="13" max="13" width="25.26953125" style="1452" customWidth="1"/>
    <col min="14" max="14" width="11.453125" style="1452" customWidth="1"/>
    <col min="15" max="15" width="9.81640625" style="1452" customWidth="1"/>
    <col min="16" max="16" width="13.54296875" style="1452" customWidth="1"/>
    <col min="17" max="17" width="5.453125" style="1453" customWidth="1"/>
    <col min="18" max="18" width="6.26953125" style="1452" hidden="1" customWidth="1"/>
    <col min="19" max="19" width="5" style="1452" hidden="1" customWidth="1"/>
    <col min="20" max="20" width="9.54296875" style="1452" hidden="1" customWidth="1"/>
    <col min="21" max="21" width="5.26953125" style="1452" hidden="1" customWidth="1"/>
    <col min="22" max="22" width="4.54296875" style="1452" hidden="1" customWidth="1"/>
    <col min="23" max="23" width="2.81640625" style="1452" hidden="1" customWidth="1"/>
    <col min="24" max="24" width="0" style="1452" hidden="1" customWidth="1"/>
    <col min="25" max="25" width="5.81640625" style="1452" hidden="1" customWidth="1"/>
    <col min="26" max="26" width="7.1796875" style="1452" hidden="1" customWidth="1"/>
    <col min="27" max="27" width="26.54296875" style="1452" hidden="1" customWidth="1"/>
    <col min="28" max="29" width="0" style="1452" hidden="1" customWidth="1"/>
    <col min="30" max="30" width="27.1796875" style="1452" hidden="1" customWidth="1"/>
    <col min="31" max="35" width="0" style="1452" hidden="1" customWidth="1"/>
    <col min="36" max="36" width="0" style="1454" hidden="1" customWidth="1"/>
    <col min="37" max="38" width="0" style="1452" hidden="1" customWidth="1"/>
    <col min="39" max="39" width="0" style="1453" hidden="1" customWidth="1"/>
    <col min="40" max="46" width="0" style="1452" hidden="1" customWidth="1"/>
    <col min="47" max="47" width="0" style="1454" hidden="1" customWidth="1"/>
    <col min="48" max="49" width="0" style="1452" hidden="1" customWidth="1"/>
    <col min="50" max="50" width="47.453125" style="1455" hidden="1" customWidth="1"/>
    <col min="51" max="16384" width="0" style="1452" hidden="1"/>
  </cols>
  <sheetData>
    <row r="1" spans="2:47" s="971" customFormat="1" ht="45" customHeight="1" thickTop="1" thickBot="1" x14ac:dyDescent="0.35">
      <c r="B1" s="1143"/>
      <c r="C1" s="1144">
        <f ca="1">IF(OR(C69=0,R15=0),0,1)</f>
        <v>0</v>
      </c>
      <c r="D1" s="1145"/>
      <c r="E1" s="1146"/>
      <c r="F1" s="1146"/>
      <c r="G1" s="1146"/>
      <c r="H1" s="1146"/>
      <c r="I1" s="1146"/>
      <c r="J1" s="1146"/>
      <c r="K1" s="1146"/>
      <c r="L1" s="1146"/>
      <c r="M1" s="1147"/>
      <c r="N1" s="1758"/>
      <c r="O1" s="1759"/>
      <c r="P1" s="972"/>
      <c r="Q1" s="972"/>
      <c r="R1" s="972"/>
      <c r="S1" s="972"/>
      <c r="T1" s="972"/>
      <c r="U1" s="971">
        <f>IF(G36="Yes",H23+H36,H23)</f>
        <v>57.6</v>
      </c>
      <c r="V1" s="972"/>
      <c r="W1" s="972"/>
      <c r="X1" s="972"/>
      <c r="Y1" s="972"/>
      <c r="Z1" s="972"/>
      <c r="AA1" s="1148" t="s">
        <v>405</v>
      </c>
      <c r="AB1" s="972"/>
      <c r="AM1" s="1149"/>
    </row>
    <row r="2" spans="2:47" s="971" customFormat="1" ht="18.5" thickBot="1" x14ac:dyDescent="0.45">
      <c r="B2" s="1150"/>
      <c r="C2" s="1151" t="s">
        <v>114</v>
      </c>
      <c r="D2" s="1152"/>
      <c r="E2" s="1153" t="s">
        <v>174</v>
      </c>
      <c r="F2" s="1154"/>
      <c r="G2" s="1155" t="s">
        <v>282</v>
      </c>
      <c r="H2" s="1760" t="s">
        <v>572</v>
      </c>
      <c r="I2" s="1761"/>
      <c r="J2" s="1156"/>
      <c r="K2" s="1762" t="s">
        <v>415</v>
      </c>
      <c r="L2" s="1762"/>
      <c r="M2" s="1763"/>
      <c r="N2" s="1158">
        <f>IF(N1="takafulshariahamana",1,0)</f>
        <v>0</v>
      </c>
      <c r="O2" s="971">
        <f>IF(AND(M8='Administration (2)'!C10,H9='Administration (2)'!C23),0,1)</f>
        <v>1</v>
      </c>
      <c r="Q2" s="971">
        <f>IF(M8='Administration (2)'!C10,0,1)</f>
        <v>1</v>
      </c>
      <c r="R2" s="971">
        <f>IF(H9='Administration (2)'!C23,1,0)</f>
        <v>0</v>
      </c>
      <c r="S2" s="971">
        <f>IF(AND('Rates (2)'!D63="Yes",H11="Chinese"),1,IF(AND('MC Working'!H11="Chinese",'MC Working'!H8&lt;&gt;'Administration (2)'!C14),0,1))</f>
        <v>1</v>
      </c>
      <c r="T2" s="971">
        <f>O2+Q2+R2</f>
        <v>2</v>
      </c>
      <c r="U2" s="1159">
        <f>IF(OR(Z15=0,T2=3,Z2=0),0,1)*Q15*V2*S2</f>
        <v>1</v>
      </c>
      <c r="V2" s="1159">
        <f>IF(H13="",0,1)</f>
        <v>1</v>
      </c>
      <c r="W2" s="971">
        <f>IF(M8="Trade Plate",X2,1)</f>
        <v>1</v>
      </c>
      <c r="X2" s="971">
        <f>IF(H9='Administration (2)'!C20,1,0)</f>
        <v>1</v>
      </c>
      <c r="Y2" s="971">
        <f>IF(M8="Trade Plate",0,1)</f>
        <v>1</v>
      </c>
      <c r="Z2" s="1160">
        <f>IF('Rates (2)'!D50="Yes",1,IF(AND(H9='Administration (2)'!C22,OR(M8='Administration (2)'!C13,M8='Administration (2)'!C14)),0,1))</f>
        <v>1</v>
      </c>
      <c r="AA2" s="971">
        <f>IF(OR(H9='Administration (2)'!C22,H9='Administration (2)'!C23),0,1)</f>
        <v>1</v>
      </c>
    </row>
    <row r="3" spans="2:47" s="971" customFormat="1" ht="18" customHeight="1" thickBot="1" x14ac:dyDescent="0.45">
      <c r="B3" s="1150"/>
      <c r="C3" s="1161"/>
      <c r="D3" s="1162">
        <f>IF(H3="One Year",1,0)</f>
        <v>1</v>
      </c>
      <c r="E3" s="1153" t="s">
        <v>301</v>
      </c>
      <c r="F3" s="1154"/>
      <c r="G3" s="1155" t="s">
        <v>282</v>
      </c>
      <c r="H3" s="1163" t="s">
        <v>303</v>
      </c>
      <c r="I3" s="1164" t="str">
        <f>IF('Calculation (2)'!S6=0,CONCATENATE("     ",'Calculation (2)'!H9," Days"),IF(OR('Calculation (2)'!O6&lt;'Calculation (2)'!O3,'Calculation (2)'!O6&gt;='Calculation (2)'!O4),"Invalid Cover  Period",CONCATENATE("     ",'Calculation (2)'!H9," Days")))</f>
        <v xml:space="preserve">     97 Days</v>
      </c>
      <c r="J3" s="1164"/>
      <c r="K3" s="983"/>
      <c r="L3" s="1764" t="str">
        <f>IF(D3=0,"Charge SRCC/TC Full?","")</f>
        <v/>
      </c>
      <c r="M3" s="1765"/>
      <c r="N3" s="1165">
        <f>IF(H3="One Year",1,IF('MC Working'!H3="Short Period",'Calculation (2)'!O12,'Calculation (2)'!O14)*'Calculation (2)'!S3*'Calculation (2)'!S4*'Calculation (2)'!S6*'Calculation (2)'!N11)</f>
        <v>1</v>
      </c>
      <c r="O3" s="1166" t="e">
        <f>IF(#REF!='Rates (2)'!J86,'Rates (2)'!K86,IF(#REF!='Rates (2)'!J87,'Rates (2)'!K87,IF(#REF!='Rates (2)'!J88,'Rates (2)'!K88,IF(#REF!='Rates (2)'!J89,'Rates (2)'!K89,IF(#REF!='Rates (2)'!J90,'Rates (2)'!K90,0)))))</f>
        <v>#REF!</v>
      </c>
      <c r="P3" s="1166"/>
      <c r="Q3" s="1166"/>
      <c r="R3" s="1166"/>
      <c r="S3" s="1059"/>
      <c r="U3" s="1159"/>
      <c r="V3" s="1159"/>
      <c r="Z3" s="1160"/>
    </row>
    <row r="4" spans="2:47" s="971" customFormat="1" ht="0.75" hidden="1" customHeight="1" thickBot="1" x14ac:dyDescent="0.35">
      <c r="B4" s="1150"/>
      <c r="C4" s="1161"/>
      <c r="D4" s="1152"/>
      <c r="E4" s="1035"/>
      <c r="F4" s="1167" t="str">
        <f>IF(D3=0,"PERIOD                                       FROM","")</f>
        <v/>
      </c>
      <c r="G4" s="1168">
        <v>24</v>
      </c>
      <c r="H4" s="1169" t="s">
        <v>351</v>
      </c>
      <c r="I4" s="1169">
        <v>2013</v>
      </c>
      <c r="J4" s="1170"/>
      <c r="K4" s="1164" t="str">
        <f>IF('Calculation (2)'!S3=0,"Date Error","")</f>
        <v/>
      </c>
      <c r="L4" s="1764"/>
      <c r="M4" s="1765"/>
      <c r="N4" s="1171">
        <f>IF(M5="No",N3,1)</f>
        <v>1</v>
      </c>
      <c r="O4" s="1166" t="s">
        <v>410</v>
      </c>
      <c r="P4" s="1166" t="s">
        <v>411</v>
      </c>
      <c r="Q4" s="1166"/>
      <c r="R4" s="1166"/>
      <c r="S4" s="1059"/>
      <c r="T4" s="1059"/>
      <c r="U4" s="1172"/>
      <c r="V4" s="1172"/>
      <c r="Z4" s="1160"/>
    </row>
    <row r="5" spans="2:47" s="971" customFormat="1" ht="24" hidden="1" customHeight="1" thickBot="1" x14ac:dyDescent="0.4">
      <c r="B5" s="1150"/>
      <c r="C5" s="1161"/>
      <c r="D5" s="1152"/>
      <c r="E5" s="1173"/>
      <c r="F5" s="1174" t="str">
        <f>IF(D3=0,"To","")</f>
        <v/>
      </c>
      <c r="G5" s="1168">
        <v>28</v>
      </c>
      <c r="H5" s="1169" t="s">
        <v>354</v>
      </c>
      <c r="I5" s="1175">
        <v>2013</v>
      </c>
      <c r="J5" s="1170"/>
      <c r="K5" s="1164" t="str">
        <f>IF('Calculation (2)'!S6=0,"Date Error","")</f>
        <v/>
      </c>
      <c r="L5" s="1123"/>
      <c r="M5" s="1176" t="s">
        <v>78</v>
      </c>
      <c r="N5" s="1171" t="str">
        <f>'Rates (2)'!D81</f>
        <v>No</v>
      </c>
      <c r="O5" s="1177">
        <f>H15*N7%</f>
        <v>22000</v>
      </c>
      <c r="P5" s="1177">
        <f>(O5-M40-M42)/P6*100</f>
        <v>19000</v>
      </c>
      <c r="Q5" s="1166"/>
      <c r="R5" s="1166"/>
      <c r="S5" s="1059"/>
      <c r="T5" s="1059"/>
      <c r="U5" s="1172"/>
      <c r="V5" s="1172"/>
      <c r="Z5" s="1160"/>
    </row>
    <row r="6" spans="2:47" s="971" customFormat="1" ht="21.75" customHeight="1" thickTop="1" thickBot="1" x14ac:dyDescent="0.45">
      <c r="B6" s="1150"/>
      <c r="C6" s="1178"/>
      <c r="D6" s="1152"/>
      <c r="E6" s="1179" t="s">
        <v>375</v>
      </c>
      <c r="F6" s="1180"/>
      <c r="G6" s="1155" t="s">
        <v>399</v>
      </c>
      <c r="H6" s="1181" t="s">
        <v>446</v>
      </c>
      <c r="I6" s="1766"/>
      <c r="J6" s="1767"/>
      <c r="K6" s="1768"/>
      <c r="L6" s="1769" t="str">
        <f>MC!C8</f>
        <v>to be advised</v>
      </c>
      <c r="M6" s="1770"/>
      <c r="N6" s="1182" t="s">
        <v>49</v>
      </c>
      <c r="O6" s="971">
        <f>IF(AND('Rates (2)'!D79="Yes",(O57+Q57=1)),0,1)</f>
        <v>1</v>
      </c>
      <c r="P6" s="1183">
        <f>IF(H9="Hiring",140,110)</f>
        <v>110</v>
      </c>
      <c r="Q6" s="1184">
        <f>IF(AND(M8='Administration (2)'!C7,H9='Administration (2)'!C20),'Rates (2)'!D6,R6)</f>
        <v>2.2000000000000002</v>
      </c>
      <c r="R6" s="971">
        <f>IF(AND(M8='Administration (2)'!C12,H9='Administration (2)'!C20),'Rates (2)'!D12,T6)</f>
        <v>2.2000000000000002</v>
      </c>
      <c r="T6" s="971">
        <f>IF(AND(M8='Administration (2)'!C8,H9='Administration (2)'!C20),'Rates (2)'!D8,U6)</f>
        <v>2.2000000000000002</v>
      </c>
      <c r="U6" s="1185">
        <f>IF(M8='Administration (2)'!C9,'Rates (2)'!D5,W6)</f>
        <v>2.2000000000000002</v>
      </c>
      <c r="V6" s="1185"/>
      <c r="W6" s="1185">
        <f>IF(M8='Administration (2)'!C10,'Rates (2)'!D11,X6)</f>
        <v>2.2000000000000002</v>
      </c>
      <c r="X6" s="1185">
        <f>IF(M8='Administration (2)'!C11,'Rates (2)'!D10,Y6)</f>
        <v>2.2000000000000002</v>
      </c>
      <c r="Y6" s="971">
        <f>IF(AND(M8='Administration (2)'!C12,H9='Administration (2)'!C21),'Rates (2)'!D13,Z6)</f>
        <v>2.2000000000000002</v>
      </c>
      <c r="Z6" s="1185">
        <f>IF(M8='Administration (2)'!C13,'Rates (2)'!D3,AA6)</f>
        <v>2.2000000000000002</v>
      </c>
      <c r="AA6" s="1185">
        <f>IF(M8='Administration (2)'!C14,'Rates (2)'!D4,AB6)</f>
        <v>2.2000000000000002</v>
      </c>
      <c r="AB6" s="971">
        <f>IF(AND(M8='Administration (2)'!C7,H9='Administration (2)'!C21),'Rates (2)'!D7,AC6)</f>
        <v>0</v>
      </c>
      <c r="AC6" s="971">
        <f>IF(AND(M8='Administration (2)'!C7,H9='Administration (2)'!C22),'Rates (2)'!D7,AD6)</f>
        <v>0</v>
      </c>
      <c r="AD6" s="971">
        <f>IF(AND(M8='Administration (2)'!C8,H9='Administration (2)'!C21),'Rates (2)'!D9,AE6)</f>
        <v>0</v>
      </c>
      <c r="AE6" s="971">
        <f>IF(AND(M8='Administration (2)'!C8,H9='Administration (2)'!C22),'Rates (2)'!D7,AF6)</f>
        <v>0</v>
      </c>
      <c r="AF6" s="971">
        <f>IF(AND(M8='Administration (2)'!C12,H9='Administration (2)'!C22),'Rates (2)'!D13,AG6)</f>
        <v>0</v>
      </c>
      <c r="AG6" s="971">
        <f>IF(M8='Administration (2)'!C15,'Rates (2)'!D14,AH6)</f>
        <v>0</v>
      </c>
      <c r="AH6" s="971">
        <f>IF(M8='Administration (2)'!C17,'Rates (2)'!D16,AI6)</f>
        <v>0</v>
      </c>
      <c r="AI6" s="971">
        <f>IF(M8='Administration (2)'!C16,'Rates (2)'!D16,0)</f>
        <v>0</v>
      </c>
      <c r="AM6" s="971" t="str">
        <f>'Administration (2)'!G7</f>
        <v>Motor Car</v>
      </c>
      <c r="AP6" s="971" t="str">
        <f>'Administration (2)'!I20</f>
        <v>Private Use Only</v>
      </c>
    </row>
    <row r="7" spans="2:47" s="971" customFormat="1" ht="21" thickBot="1" x14ac:dyDescent="0.5">
      <c r="B7" s="1150"/>
      <c r="C7" s="1178"/>
      <c r="D7" s="1152"/>
      <c r="E7" s="1179" t="s">
        <v>280</v>
      </c>
      <c r="F7" s="1180"/>
      <c r="G7" s="1155" t="s">
        <v>400</v>
      </c>
      <c r="H7" s="1775" t="str">
        <f>MC!C11</f>
        <v>to be advised</v>
      </c>
      <c r="I7" s="1776"/>
      <c r="J7" s="1776"/>
      <c r="K7" s="1777"/>
      <c r="L7" s="1778" t="str">
        <f>IF(AND(H15&gt;0,L6=""),"Enter Name","")</f>
        <v/>
      </c>
      <c r="M7" s="1779"/>
      <c r="N7" s="1186">
        <f>IF(M12="Below 250cc",5,10)</f>
        <v>5</v>
      </c>
      <c r="P7" s="1187"/>
      <c r="Q7" s="971">
        <f>Q6*U2</f>
        <v>2.2000000000000002</v>
      </c>
      <c r="T7" s="971" t="str">
        <f>'Administration (2)'!C20</f>
        <v>Private Use Only</v>
      </c>
      <c r="U7" s="1159" t="str">
        <f>'Administration (2)'!C21</f>
        <v>Hiring</v>
      </c>
      <c r="V7" s="1159"/>
      <c r="W7" s="971" t="str">
        <f>'Administration (2)'!C22</f>
        <v>Rent A Vehicle</v>
      </c>
      <c r="X7" s="971">
        <f>IF(M8='Administration (2)'!C10,'Administration (2)'!C23,0)</f>
        <v>0</v>
      </c>
      <c r="Z7" s="1188"/>
      <c r="AM7" s="971" t="str">
        <f>'Administration (2)'!G8</f>
        <v>Jeep</v>
      </c>
      <c r="AP7" s="971" t="str">
        <f>'Administration (2)'!I21</f>
        <v>Hiring</v>
      </c>
    </row>
    <row r="8" spans="2:47" s="971" customFormat="1" ht="21.75" customHeight="1" thickBot="1" x14ac:dyDescent="0.45">
      <c r="B8" s="1150"/>
      <c r="C8" s="1189"/>
      <c r="D8" s="1152"/>
      <c r="E8" s="1179" t="s">
        <v>376</v>
      </c>
      <c r="F8" s="1190"/>
      <c r="G8" s="1155" t="s">
        <v>399</v>
      </c>
      <c r="H8" s="1780" t="s">
        <v>361</v>
      </c>
      <c r="I8" s="1781"/>
      <c r="J8" s="1191"/>
      <c r="K8" s="1192">
        <v>1.2500000000000001E-2</v>
      </c>
      <c r="L8" s="1100" t="str">
        <f>'Administration (2)'!C11</f>
        <v>Motor Lorry</v>
      </c>
      <c r="M8" s="1193" t="str">
        <f>IF(AND(H8='Administration (2)'!C14,'MC Working'!H11="Chinese"),'Administration (2)'!C13,IF(AND(H8='Administration (2)'!C11,'MC Working'!H11="Chinese"),'Administration (2)'!C16,'MC Working'!H8))</f>
        <v>Motor Cycle</v>
      </c>
      <c r="N8" s="1194">
        <f>IF(AND(H12="hybrid",H14="No",'Rates (2)'!D75="Yes",B12="individual"),'Rates (2)'!F75,0)</f>
        <v>0</v>
      </c>
      <c r="O8" s="1140">
        <f>IF(H9="",0,1)</f>
        <v>1</v>
      </c>
      <c r="P8" s="1140"/>
      <c r="Q8" s="1140"/>
      <c r="R8" s="1140"/>
      <c r="S8" s="1140"/>
      <c r="T8" s="1140"/>
      <c r="U8" s="1195"/>
      <c r="V8" s="1195"/>
      <c r="W8" s="971">
        <f>IF(O11=1,U11,U8)</f>
        <v>0</v>
      </c>
      <c r="Z8" s="1188"/>
      <c r="AM8" s="971" t="str">
        <f>'Administration (2)'!G9</f>
        <v>Dual Purpose</v>
      </c>
      <c r="AP8" s="971" t="str">
        <f>'Administration (2)'!I22</f>
        <v>Rent A Vehicle</v>
      </c>
      <c r="AU8" s="971">
        <v>1970</v>
      </c>
    </row>
    <row r="9" spans="2:47" s="971" customFormat="1" ht="16.5" customHeight="1" thickBot="1" x14ac:dyDescent="0.45">
      <c r="B9" s="1150"/>
      <c r="C9" s="1189"/>
      <c r="D9" s="1152"/>
      <c r="E9" s="1179" t="s">
        <v>35</v>
      </c>
      <c r="F9" s="1190"/>
      <c r="G9" s="1155" t="s">
        <v>399</v>
      </c>
      <c r="H9" s="1782" t="s">
        <v>323</v>
      </c>
      <c r="I9" s="1783"/>
      <c r="J9" s="1196"/>
      <c r="K9" s="1784" t="str">
        <f>IF(OR(T2=3,W2=0),"ERROR",IF(O8=0,"&lt;= Select Usage of Vehicle",IF(Z2=0,"NOT ALLOWED","")))</f>
        <v/>
      </c>
      <c r="L9" s="1784"/>
      <c r="M9" s="1785"/>
      <c r="N9" s="1194"/>
      <c r="O9" s="1140"/>
      <c r="P9" s="1140"/>
      <c r="Q9" s="1140"/>
      <c r="R9" s="1140"/>
      <c r="S9" s="1140"/>
      <c r="T9" s="1140"/>
      <c r="U9" s="1195"/>
      <c r="V9" s="1195"/>
      <c r="Z9" s="1188"/>
      <c r="AM9" s="971" t="str">
        <f>'Administration (2)'!G10</f>
        <v>Motor Coach</v>
      </c>
      <c r="AP9" s="971" t="str">
        <f>'Administration (2)'!I23</f>
        <v xml:space="preserve">SLTB Route </v>
      </c>
      <c r="AU9" s="971">
        <f t="shared" ref="AU9:AU42" si="0">AU8+1</f>
        <v>1971</v>
      </c>
    </row>
    <row r="10" spans="2:47" s="971" customFormat="1" ht="18.5" thickBot="1" x14ac:dyDescent="0.45">
      <c r="B10" s="1150"/>
      <c r="C10" s="1189"/>
      <c r="D10" s="1152"/>
      <c r="E10" s="1753" t="s">
        <v>108</v>
      </c>
      <c r="F10" s="1753"/>
      <c r="G10" s="1155" t="s">
        <v>400</v>
      </c>
      <c r="H10" s="1754" t="str">
        <f>MC!P8</f>
        <v>to be advised</v>
      </c>
      <c r="I10" s="1755"/>
      <c r="J10" s="1196"/>
      <c r="K10" s="1198" t="s">
        <v>380</v>
      </c>
      <c r="L10" s="1756" t="str">
        <f>MC!P11</f>
        <v>TO BE ADVISED</v>
      </c>
      <c r="M10" s="1757"/>
      <c r="N10" s="1144"/>
      <c r="O10" s="1140"/>
      <c r="P10" s="1140"/>
      <c r="Q10" s="1140"/>
      <c r="R10" s="1140"/>
      <c r="S10" s="1140"/>
      <c r="T10" s="1140"/>
      <c r="U10" s="1199"/>
      <c r="V10" s="1199"/>
      <c r="Z10" s="1188"/>
      <c r="AM10" s="971" t="str">
        <f>'Administration (2)'!G11</f>
        <v>Motor Lorry</v>
      </c>
      <c r="AP10" s="971" t="str">
        <f>'Administration (2)'!I24</f>
        <v/>
      </c>
      <c r="AU10" s="971">
        <f t="shared" si="0"/>
        <v>1972</v>
      </c>
    </row>
    <row r="11" spans="2:47" s="971" customFormat="1" ht="20.25" customHeight="1" thickBot="1" x14ac:dyDescent="0.45">
      <c r="B11" s="1150"/>
      <c r="C11" s="1189"/>
      <c r="D11" s="1152"/>
      <c r="E11" s="1197" t="s">
        <v>377</v>
      </c>
      <c r="F11" s="1200"/>
      <c r="G11" s="1155" t="s">
        <v>399</v>
      </c>
      <c r="H11" s="1786" t="str">
        <f>MC!P9</f>
        <v>INDIA</v>
      </c>
      <c r="I11" s="1787"/>
      <c r="J11" s="1788" t="s">
        <v>451</v>
      </c>
      <c r="K11" s="1789"/>
      <c r="L11" s="1790"/>
      <c r="M11" s="1201" t="str">
        <f>IF(J11="","&lt;= Enter Field","")</f>
        <v/>
      </c>
      <c r="N11" s="1202"/>
      <c r="O11" s="1140">
        <f>IF(OR(L10="",L6="",H11="",H12="",H13="",H14="",K14="",L13="",J11="",K14=0,AND(O6=0,N16=0)),0,1)</f>
        <v>1</v>
      </c>
      <c r="P11" s="1140"/>
      <c r="Q11" s="1140"/>
      <c r="R11" s="1140"/>
      <c r="S11" s="1140"/>
      <c r="T11" s="1140"/>
      <c r="U11" s="1203"/>
      <c r="V11" s="1203"/>
      <c r="Z11" s="1188"/>
      <c r="AM11" s="971" t="str">
        <f>'Administration (2)'!G12</f>
        <v>Three Wheeler</v>
      </c>
      <c r="AU11" s="971">
        <f t="shared" si="0"/>
        <v>1973</v>
      </c>
    </row>
    <row r="12" spans="2:47" s="971" customFormat="1" ht="18.5" thickBot="1" x14ac:dyDescent="0.45">
      <c r="B12" s="1150"/>
      <c r="C12" s="1189" t="str">
        <f>IF(H12="Petrol (non hybrid)","Petrol",IF(H12="Diesel (non hybrid)","Diesel",IF(H12="Hybrid","Hybrid","Electric")))</f>
        <v>Petrol</v>
      </c>
      <c r="D12" s="1152"/>
      <c r="E12" s="1197" t="s">
        <v>357</v>
      </c>
      <c r="F12" s="1200"/>
      <c r="G12" s="1155" t="s">
        <v>399</v>
      </c>
      <c r="H12" s="1791" t="s">
        <v>452</v>
      </c>
      <c r="I12" s="1792"/>
      <c r="J12" s="1793" t="str">
        <f>IF(H8="Motor Cycle","Important --&gt;","")</f>
        <v>Important --&gt;</v>
      </c>
      <c r="K12" s="1794"/>
      <c r="L12" s="1794"/>
      <c r="M12" s="1204" t="str">
        <f>MC!R10</f>
        <v>Below 250cc</v>
      </c>
      <c r="N12" s="1194"/>
      <c r="O12" s="1140"/>
      <c r="P12" s="1140"/>
      <c r="Q12" s="971">
        <f>IF(M8='Administration (2)'!C7,'Rates (2)'!F6,IF(M8='Administration (2)'!C8,'Rates (2)'!F8,IF(M8='Administration (2)'!C9,'Rates (2)'!F5,IF(M8='Administration (2)'!C10,'Rates (2)'!F11,IF(M8='Administration (2)'!C13,'Rates (2)'!F3,IF(M8='Administration (2)'!C14,'Rates (2)'!F4,IF(M8='Administration (2)'!C11,'Rates (2)'!F10,IF(M8='Administration (2)'!C12,'Rates (2)'!F12,R12))))))))</f>
        <v>2</v>
      </c>
      <c r="R12" s="971">
        <f>IF(M8='Administration (2)'!C15,'Rates (2)'!F14,IF(M8='Administration (2)'!C17,'Rates (2)'!F17,IF(M8='Administration (2)'!C19,'Rates (2)'!F15,IF(M8='Administration (2)'!C16,'Rates (2)'!F16,0))))</f>
        <v>0</v>
      </c>
      <c r="T12" s="971">
        <f>IF(L13&gt;Q12,Q12,L13)</f>
        <v>2</v>
      </c>
      <c r="U12" s="1205"/>
      <c r="V12" s="1205"/>
      <c r="Z12" s="1188"/>
      <c r="AM12" s="971" t="str">
        <f>'Administration (2)'!G14</f>
        <v>Motor Cycle</v>
      </c>
      <c r="AU12" s="971">
        <f>AU11+1</f>
        <v>1974</v>
      </c>
    </row>
    <row r="13" spans="2:47" s="971" customFormat="1" ht="18.5" thickBot="1" x14ac:dyDescent="0.45">
      <c r="B13" s="1150"/>
      <c r="C13" s="1189"/>
      <c r="D13" s="1152"/>
      <c r="E13" s="1179" t="s">
        <v>281</v>
      </c>
      <c r="F13" s="1006"/>
      <c r="G13" s="1155" t="s">
        <v>399</v>
      </c>
      <c r="H13" s="1206">
        <f>MC!P13</f>
        <v>2020</v>
      </c>
      <c r="I13" s="1795" t="str">
        <f>IF(H13="","     Enter Year of Make",IF(Z15=0,CONCATENATE("     Vehicles Above ", 'Administration (2)'!F29," Yrs Not Covered"),""))</f>
        <v/>
      </c>
      <c r="J13" s="1796"/>
      <c r="K13" s="1796"/>
      <c r="L13" s="1207">
        <v>2</v>
      </c>
      <c r="M13" s="1208" t="str">
        <f>IF(OR(L13="",L13=0),"Enter No. of Seats",IF(L13&gt;Q12,CONCATENATE("Max.",Q12," Seats Allowed"),"No.of Seats"))</f>
        <v>No.of Seats</v>
      </c>
      <c r="N13" s="1194"/>
      <c r="O13" s="1140"/>
      <c r="P13" s="1140"/>
      <c r="U13" s="1205"/>
      <c r="V13" s="1205"/>
      <c r="Z13" s="1188"/>
      <c r="AM13" s="971" t="str">
        <f>'Administration (2)'!G15</f>
        <v>Tractor</v>
      </c>
      <c r="AU13" s="971">
        <f t="shared" si="0"/>
        <v>1975</v>
      </c>
    </row>
    <row r="14" spans="2:47" s="971" customFormat="1" ht="18.5" thickBot="1" x14ac:dyDescent="0.45">
      <c r="B14" s="1150"/>
      <c r="C14" s="1189"/>
      <c r="D14" s="1152"/>
      <c r="E14" s="1179" t="s">
        <v>374</v>
      </c>
      <c r="F14" s="1200"/>
      <c r="G14" s="1155" t="s">
        <v>399</v>
      </c>
      <c r="H14" s="1209" t="str">
        <f>IF(MC!C13="Not Applicable","No","Yes")</f>
        <v>Yes</v>
      </c>
      <c r="I14" s="1771" t="str">
        <f>IF(H14="Yes","NAME OF CO.","")</f>
        <v>NAME OF CO.</v>
      </c>
      <c r="J14" s="1772"/>
      <c r="K14" s="1773" t="str">
        <f>MC!C13</f>
        <v>COMMERCIAL CREDIT</v>
      </c>
      <c r="L14" s="1773"/>
      <c r="M14" s="1774"/>
      <c r="N14" s="1194"/>
      <c r="O14" s="1140"/>
      <c r="P14" s="1140"/>
      <c r="T14" s="1210"/>
      <c r="X14" s="1211" t="s">
        <v>222</v>
      </c>
      <c r="Z14" s="1188"/>
      <c r="AM14" s="971" t="str">
        <f>'Administration (2)'!G13</f>
        <v>Motor Cycle (Chinese)</v>
      </c>
      <c r="AU14" s="971">
        <f t="shared" si="0"/>
        <v>1976</v>
      </c>
    </row>
    <row r="15" spans="2:47" s="971" customFormat="1" ht="23.25" customHeight="1" thickBot="1" x14ac:dyDescent="0.45">
      <c r="B15" s="1150"/>
      <c r="C15" s="1189"/>
      <c r="D15" s="1152"/>
      <c r="E15" s="1801" t="str">
        <f>IF(H15&gt;'Rates (2)'!B27,"SUM COVERED - Above Retention","SUM COVERED"                                    )</f>
        <v>SUM COVERED</v>
      </c>
      <c r="F15" s="1801"/>
      <c r="G15" s="1155" t="s">
        <v>399</v>
      </c>
      <c r="H15" s="1802">
        <f>MC!Q16</f>
        <v>440000</v>
      </c>
      <c r="I15" s="1803"/>
      <c r="J15" s="1212"/>
      <c r="K15" s="1213" t="str">
        <f>IF(AND('Rates (2)'!D63="Yes",H11="Chinese"),"N.B.- Chinese Vehicle",IF(AND(H11="Chinese",H8&lt;&gt;'Administration (2)'!C14),"Chinese Vehicles NOT covered",IF(Q15=0,"EXCEED AUTHORIZED LIMIT","")))</f>
        <v/>
      </c>
      <c r="L15" s="1214"/>
      <c r="M15" s="1215" t="str">
        <f>IF(MC!B13=1,MC!T13,"")</f>
        <v/>
      </c>
      <c r="N15" s="1216"/>
      <c r="O15" s="1217">
        <f>IF(T47=0,'Rates (2)'!B25,'Rates (2)'!B24)</f>
        <v>1000000</v>
      </c>
      <c r="P15" s="1217"/>
      <c r="Q15" s="971">
        <f>IF(H15&gt;O15,0,1)</f>
        <v>1</v>
      </c>
      <c r="R15" s="971">
        <f>IF(AND(H15&gt;0,O11&gt;0,O8=1),1,0)</f>
        <v>1</v>
      </c>
      <c r="T15" s="1210"/>
      <c r="X15" s="1211">
        <f ca="1">YEAR(F69)</f>
        <v>2024</v>
      </c>
      <c r="Y15" s="971">
        <f ca="1">X15-H13</f>
        <v>4</v>
      </c>
      <c r="Z15" s="1218">
        <f>IF('Rates (2)'!D52="Yes",1,IF(Y15&gt;'Administration (2)'!F29,0,1))</f>
        <v>1</v>
      </c>
      <c r="AM15" s="971" t="str">
        <f>'Administration (2)'!G16</f>
        <v>Motor Lorry (Chinese)</v>
      </c>
      <c r="AU15" s="971">
        <f t="shared" si="0"/>
        <v>1977</v>
      </c>
    </row>
    <row r="16" spans="2:47" s="971" customFormat="1" ht="16.5" customHeight="1" thickTop="1" thickBot="1" x14ac:dyDescent="0.35">
      <c r="B16" s="1150"/>
      <c r="C16" s="1189"/>
      <c r="D16" s="1219"/>
      <c r="E16" s="1804" t="str">
        <f ca="1">IF('MC Working'!$C$69=0,"This Quotation system is not valid anymore",IF(C66-F69&lt;14,CONCATENATE("This quotation shall expire within ",C66-F69," days"),IF(AND('Rates (2)'!D79="No",O16=1,H14="No",(O57+Q57=1)),"Should Obtain 3 Tier Quotation","")))</f>
        <v>This Quotation system is not valid anymore</v>
      </c>
      <c r="F16" s="1804"/>
      <c r="G16" s="1804"/>
      <c r="H16" s="1804"/>
      <c r="I16" s="1806" t="str">
        <f>IF(N16=0,"Please Get 3 Tier Quotation",IF(H8="","Enter Vehicle Type",IF(H9="","Enter Vehicle Usage",IF(H11="","Enter Vehicle Country of Make",IF(H12="","Enter Fuel Type",IF(H13="","Enter Year of Make",IF(H14="","Enter Lease Status",IF(L6="","Enter Proposer 2nd Name",""))))))))</f>
        <v/>
      </c>
      <c r="J16" s="1806"/>
      <c r="K16" s="1806"/>
      <c r="L16" s="1806"/>
      <c r="M16" s="1807"/>
      <c r="N16" s="1220">
        <f>IF(AND(O6=0,O16=1,H14="No"),0,1)</f>
        <v>1</v>
      </c>
      <c r="O16" s="1140">
        <f>IF(H11="Chinese",0,1)</f>
        <v>1</v>
      </c>
      <c r="P16" s="1140"/>
      <c r="R16" s="1205"/>
      <c r="S16" s="1205"/>
      <c r="T16" s="1210"/>
      <c r="Z16" s="1188"/>
      <c r="AA16" s="972"/>
      <c r="AB16" s="972"/>
      <c r="AC16" s="972"/>
      <c r="AD16" s="972"/>
      <c r="AM16" s="971" t="str">
        <f>'Administration (2)'!G17</f>
        <v>Others</v>
      </c>
      <c r="AU16" s="971">
        <f t="shared" si="0"/>
        <v>1978</v>
      </c>
    </row>
    <row r="17" spans="2:50" s="971" customFormat="1" ht="15" customHeight="1" thickTop="1" thickBot="1" x14ac:dyDescent="0.35">
      <c r="B17" s="1150"/>
      <c r="C17" s="1189"/>
      <c r="D17" s="1152"/>
      <c r="E17" s="1805"/>
      <c r="F17" s="1805"/>
      <c r="G17" s="1805"/>
      <c r="H17" s="1805"/>
      <c r="I17" s="1808"/>
      <c r="J17" s="1808"/>
      <c r="K17" s="1808"/>
      <c r="L17" s="1808"/>
      <c r="M17" s="1809"/>
      <c r="N17" s="1810" t="str">
        <f>IF($Y$48="Private Car Policy",HYPERLINK("[Standard Motor Quotation 2013.xls]Private_Car!I20","Click to Print"),IF($Y$48="Motor Cycle Policy",HYPERLINK("[Standard Motor Quotation 2013.xls]Motor_Cycle!I20","Click to Print"),HYPERLINK("[Standard Motor Quotation 2013.xls]Commercial_Vehicle!I20","Click to Print")))</f>
        <v>Click to Print</v>
      </c>
      <c r="O17" s="1798"/>
      <c r="P17" s="1140"/>
      <c r="R17" s="1205"/>
      <c r="S17" s="1205"/>
      <c r="T17" s="1210"/>
      <c r="Z17" s="1188"/>
      <c r="AM17" s="971">
        <f>'Administration (2)'!G19</f>
        <v>0</v>
      </c>
      <c r="AU17" s="971">
        <f t="shared" si="0"/>
        <v>1979</v>
      </c>
    </row>
    <row r="18" spans="2:50" s="971" customFormat="1" ht="15" customHeight="1" thickBot="1" x14ac:dyDescent="0.35">
      <c r="B18" s="1150"/>
      <c r="C18" s="1189"/>
      <c r="D18" s="1152"/>
      <c r="E18" s="1221" t="s">
        <v>267</v>
      </c>
      <c r="F18" s="982"/>
      <c r="G18" s="982"/>
      <c r="H18" s="1222"/>
      <c r="I18" s="1223">
        <f>IF(K14=F112,1000,0)</f>
        <v>0</v>
      </c>
      <c r="J18" s="1222"/>
      <c r="K18" s="982"/>
      <c r="L18" s="982"/>
      <c r="M18" s="1224"/>
      <c r="N18" s="1811"/>
      <c r="O18" s="1800"/>
      <c r="P18" s="1140"/>
      <c r="R18" s="1205"/>
      <c r="S18" s="1205"/>
      <c r="T18" s="1210"/>
      <c r="Z18" s="1188"/>
      <c r="AU18" s="971">
        <f t="shared" si="0"/>
        <v>1980</v>
      </c>
    </row>
    <row r="19" spans="2:50" s="971" customFormat="1" ht="15.5" thickBot="1" x14ac:dyDescent="0.35">
      <c r="B19" s="1150"/>
      <c r="C19" s="1189"/>
      <c r="D19" s="1152"/>
      <c r="E19" s="1225" t="s">
        <v>378</v>
      </c>
      <c r="F19" s="1226"/>
      <c r="G19" s="1226"/>
      <c r="H19" s="1227"/>
      <c r="I19" s="1228"/>
      <c r="J19" s="1228"/>
      <c r="K19" s="982"/>
      <c r="L19" s="1229">
        <v>0</v>
      </c>
      <c r="M19" s="1230">
        <f ca="1">IF(AND($C$2="Yes",L19=1),N19*C69,(H15*N7%*R15*C69))*N3</f>
        <v>0</v>
      </c>
      <c r="N19" s="1231">
        <v>0</v>
      </c>
      <c r="O19" s="1140"/>
      <c r="P19" s="1140"/>
      <c r="Q19" s="1232">
        <v>0.01</v>
      </c>
      <c r="R19" s="1205"/>
      <c r="S19" s="1233"/>
      <c r="T19" s="1234"/>
      <c r="U19" s="1233"/>
      <c r="V19" s="1233"/>
      <c r="W19" s="974"/>
      <c r="X19" s="974"/>
      <c r="Y19" s="974"/>
      <c r="Z19" s="1235"/>
      <c r="AA19" s="974"/>
      <c r="AU19" s="971">
        <f t="shared" si="0"/>
        <v>1981</v>
      </c>
    </row>
    <row r="20" spans="2:50" s="971" customFormat="1" ht="16" customHeight="1" thickBot="1" x14ac:dyDescent="0.35">
      <c r="B20" s="1150"/>
      <c r="C20" s="1189"/>
      <c r="D20" s="1236" t="s">
        <v>284</v>
      </c>
      <c r="E20" s="1237" t="s">
        <v>9</v>
      </c>
      <c r="F20" s="1104" t="s">
        <v>166</v>
      </c>
      <c r="G20" s="1104"/>
      <c r="H20" s="1238"/>
      <c r="I20" s="1228"/>
      <c r="J20" s="1228"/>
      <c r="K20" s="982"/>
      <c r="L20" s="1229">
        <v>0</v>
      </c>
      <c r="M20" s="1239">
        <f ca="1">IF(AND($C$2="Yes",L20=1),N20,(M19*H20%))</f>
        <v>0</v>
      </c>
      <c r="N20" s="1231">
        <v>0</v>
      </c>
      <c r="O20" s="1140"/>
      <c r="P20" s="1140"/>
      <c r="Q20" s="1232"/>
      <c r="R20" s="1205"/>
      <c r="S20" s="1233"/>
      <c r="T20" s="1234"/>
      <c r="U20" s="1233"/>
      <c r="V20" s="1233"/>
      <c r="W20" s="974"/>
      <c r="X20" s="974"/>
      <c r="Y20" s="974"/>
      <c r="Z20" s="1235"/>
      <c r="AA20" s="974"/>
      <c r="AM20" s="1149"/>
      <c r="AU20" s="971">
        <f t="shared" si="0"/>
        <v>1982</v>
      </c>
    </row>
    <row r="21" spans="2:50" s="971" customFormat="1" ht="16" customHeight="1" thickBot="1" x14ac:dyDescent="0.45">
      <c r="B21" s="1240" t="str">
        <f>IF(C21=0,"No",IF(C21=1,"Yes","Free"))</f>
        <v>Free</v>
      </c>
      <c r="C21" s="1241">
        <f>IF(H14="Yes",2,0)</f>
        <v>2</v>
      </c>
      <c r="D21" s="1236" t="s">
        <v>284</v>
      </c>
      <c r="E21" s="1237" t="s">
        <v>9</v>
      </c>
      <c r="F21" s="1104" t="s">
        <v>11</v>
      </c>
      <c r="G21" s="1104"/>
      <c r="H21" s="1242" t="str">
        <f>IF(B21="Free","Free",IF(B21="Yes","Charged",""))</f>
        <v>Free</v>
      </c>
      <c r="I21" s="1228"/>
      <c r="J21" s="1228"/>
      <c r="K21" s="982"/>
      <c r="L21" s="1243"/>
      <c r="M21" s="1244">
        <f ca="1">M19*'Rates (2)'!K13%*Q21</f>
        <v>0</v>
      </c>
      <c r="N21" s="1231"/>
      <c r="Q21" s="971">
        <f>IF(B21="Yes",1,0)</f>
        <v>0</v>
      </c>
      <c r="R21" s="1245"/>
      <c r="S21" s="1246"/>
      <c r="T21" s="1233"/>
      <c r="U21" s="1233"/>
      <c r="V21" s="1233"/>
      <c r="W21" s="974"/>
      <c r="X21" s="974"/>
      <c r="Y21" s="974"/>
      <c r="Z21" s="974"/>
      <c r="AA21" s="974"/>
      <c r="AM21" s="1149"/>
      <c r="AU21" s="971">
        <f t="shared" si="0"/>
        <v>1983</v>
      </c>
    </row>
    <row r="22" spans="2:50" s="971" customFormat="1" ht="16" customHeight="1" thickBot="1" x14ac:dyDescent="0.35">
      <c r="B22" s="1247"/>
      <c r="C22" s="1144"/>
      <c r="D22" s="1236" t="s">
        <v>284</v>
      </c>
      <c r="E22" s="1237" t="s">
        <v>9</v>
      </c>
      <c r="F22" s="1104" t="s">
        <v>2</v>
      </c>
      <c r="G22" s="1104"/>
      <c r="H22" s="1248">
        <v>0</v>
      </c>
      <c r="I22" s="1249">
        <f>IF(AND($C$2="Yes",L22=1),K22,H22)</f>
        <v>0</v>
      </c>
      <c r="J22" s="1250"/>
      <c r="K22" s="1251">
        <v>10000</v>
      </c>
      <c r="L22" s="1229">
        <v>0</v>
      </c>
      <c r="M22" s="1252">
        <f>IF(AND($C$2="Yes",L22=1),N22,-IF(I22=2000,MIN('Rates (2)'!K38/100*M19,'Rates (2)'!J38),IF(I22=5000,MIN('Rates (2)'!J39,'Rates (2)'!K39/100*M19),IF(I22=10000,MIN('Rates (2)'!K40/100*M19,'Rates (2)'!J40)))))</f>
        <v>0</v>
      </c>
      <c r="N22" s="1231">
        <v>0</v>
      </c>
      <c r="O22" s="1253">
        <f>IF(I22&gt;0,1,0)</f>
        <v>0</v>
      </c>
      <c r="P22" s="1253"/>
      <c r="Q22" s="1254"/>
      <c r="R22" s="1205"/>
      <c r="S22" s="1233"/>
      <c r="T22" s="1233"/>
      <c r="U22" s="1233"/>
      <c r="V22" s="1233"/>
      <c r="W22" s="1255"/>
      <c r="X22" s="974"/>
      <c r="Y22" s="974"/>
      <c r="Z22" s="1256">
        <f ca="1">M35+M36</f>
        <v>0</v>
      </c>
      <c r="AA22" s="974"/>
      <c r="AM22" s="1149"/>
      <c r="AU22" s="971">
        <f t="shared" si="0"/>
        <v>1984</v>
      </c>
    </row>
    <row r="23" spans="2:50" s="971" customFormat="1" ht="16" customHeight="1" thickBot="1" x14ac:dyDescent="0.35">
      <c r="B23" s="1247"/>
      <c r="C23" s="1144"/>
      <c r="D23" s="1236" t="s">
        <v>284</v>
      </c>
      <c r="E23" s="1237" t="s">
        <v>9</v>
      </c>
      <c r="F23" s="1104" t="s">
        <v>3</v>
      </c>
      <c r="G23" s="1104"/>
      <c r="H23" s="1257">
        <f>IF(M12="Below 250cc",57.6,0)</f>
        <v>57.6</v>
      </c>
      <c r="I23" s="1812" t="str">
        <f ca="1">IF(AND(U23=0,M23&lt;0),"   (Special Rebate Allowed)",IF(U23=0,"   (Rebate Not Allowed)",IF(AND(H12="Hybrid",M23&lt;0),"N.B:- Hybrid Vehicle",IF(AND(H11="Korean",M23&lt;0),"N.B:- Korean Vehicle",""))))</f>
        <v/>
      </c>
      <c r="J23" s="1813"/>
      <c r="K23" s="1813"/>
      <c r="L23" s="1813"/>
      <c r="M23" s="1258">
        <f ca="1">IF(AND($C$2="Yes",O23=1),N23,IF(AND(U23=0,C24=1),-((M19+M21+M22)*I24%),-((M19+M21+M22)*H23%*U23)))</f>
        <v>0</v>
      </c>
      <c r="N23" s="1231">
        <v>0</v>
      </c>
      <c r="O23" s="1259">
        <v>0</v>
      </c>
      <c r="P23" s="1260">
        <f ca="1">IF(M23&lt;0,1,0)</f>
        <v>0</v>
      </c>
      <c r="Q23" s="1261">
        <f>'Rates (2)'!C29</f>
        <v>75</v>
      </c>
      <c r="R23" s="1262">
        <f>IF(AND(T47=0,'Rates (2)'!C28="No"),1,0)</f>
        <v>0</v>
      </c>
      <c r="S23" s="1263"/>
      <c r="T23" s="1263">
        <f>IF(R23=1,0,IF(AND(H11="Chinese",'Rates (2)'!D64="No"),0,IF(AND(H12="Hybrid",'Rates (2)'!D76="No"),0,IF(AND(H11="Korean",'Rates (2)'!D58="Yes"),1,IF(AND(H11="Korean",H14="No",'Rates (2)'!D58="No"),0,IF(AND(H11="Korean",H14="Yes",'Rates (2)'!D58="No",OR(J11="Reconditioned",J11="Registered")),0,Q23))))))</f>
        <v>75</v>
      </c>
      <c r="U23" s="1263">
        <f>IF(T23=0,0,1)</f>
        <v>1</v>
      </c>
      <c r="V23" s="1263"/>
      <c r="W23" s="1264"/>
      <c r="X23" s="1264"/>
      <c r="Y23" s="1264">
        <v>0</v>
      </c>
      <c r="Z23" s="1264">
        <f ca="1">Z22*-H37%</f>
        <v>0</v>
      </c>
      <c r="AA23" s="1264"/>
      <c r="AB23" s="1166"/>
      <c r="AC23" s="1166"/>
      <c r="AD23" s="1166"/>
      <c r="AE23" s="1166"/>
      <c r="AM23" s="1149"/>
      <c r="AU23" s="971">
        <f t="shared" si="0"/>
        <v>1985</v>
      </c>
    </row>
    <row r="24" spans="2:50" s="971" customFormat="1" ht="16" thickBot="1" x14ac:dyDescent="0.4">
      <c r="B24" s="1247"/>
      <c r="C24" s="1144">
        <f>IF(H24=D24,1,0)</f>
        <v>0</v>
      </c>
      <c r="D24" s="1265" t="s">
        <v>404</v>
      </c>
      <c r="E24" s="1266"/>
      <c r="F24" s="983"/>
      <c r="G24" s="1267" t="str">
        <f>IF(U23=0,"Enter Password for Special Rebate =&gt;","")</f>
        <v/>
      </c>
      <c r="H24" s="1268"/>
      <c r="I24" s="1269">
        <v>15</v>
      </c>
      <c r="J24" s="1269"/>
      <c r="K24" s="1270"/>
      <c r="L24" s="1270" t="s">
        <v>285</v>
      </c>
      <c r="M24" s="1271">
        <f ca="1">SUM(M19:M23)</f>
        <v>0</v>
      </c>
      <c r="N24" s="1272"/>
      <c r="O24" s="1253">
        <f ca="1">O23+M24</f>
        <v>0</v>
      </c>
      <c r="P24" s="1253"/>
      <c r="Q24" s="1273"/>
      <c r="R24" s="1273"/>
      <c r="S24" s="1274"/>
      <c r="T24" s="1274"/>
      <c r="U24" s="1274"/>
      <c r="V24" s="1274"/>
      <c r="W24" s="974"/>
      <c r="X24" s="974"/>
      <c r="Y24" s="974"/>
      <c r="Z24" s="1275" t="s">
        <v>158</v>
      </c>
      <c r="AA24" s="974"/>
      <c r="AD24" s="1276" t="s">
        <v>157</v>
      </c>
      <c r="AJ24" s="971">
        <v>0</v>
      </c>
      <c r="AM24" s="1149"/>
      <c r="AU24" s="971">
        <f t="shared" si="0"/>
        <v>1986</v>
      </c>
    </row>
    <row r="25" spans="2:50" s="971" customFormat="1" ht="18" customHeight="1" thickBot="1" x14ac:dyDescent="0.4">
      <c r="B25" s="1247"/>
      <c r="C25" s="1144"/>
      <c r="D25" s="1236" t="s">
        <v>284</v>
      </c>
      <c r="E25" s="1237" t="s">
        <v>9</v>
      </c>
      <c r="F25" s="1104" t="s">
        <v>326</v>
      </c>
      <c r="G25" s="1089" t="s">
        <v>26</v>
      </c>
      <c r="H25" s="1277">
        <f>IF(MC!R34&lt;&gt;"",MC!R34,50000)</f>
        <v>0</v>
      </c>
      <c r="I25" s="1815" t="s">
        <v>447</v>
      </c>
      <c r="J25" s="1816"/>
      <c r="K25" s="1817"/>
      <c r="L25" s="1278">
        <f>IF(H15&gt;0,AD25,0)</f>
        <v>1</v>
      </c>
      <c r="M25" s="1279">
        <f>(H25/25000)*200</f>
        <v>0</v>
      </c>
      <c r="N25" s="1231">
        <v>0</v>
      </c>
      <c r="O25" s="1161">
        <v>0</v>
      </c>
      <c r="P25" s="1140">
        <f>IF(H25&gt;0,1,0)</f>
        <v>0</v>
      </c>
      <c r="Q25" s="1140">
        <f>IF(L27&gt;0,1,0)</f>
        <v>1</v>
      </c>
      <c r="R25" s="1161">
        <f>P25+Q25</f>
        <v>1</v>
      </c>
      <c r="S25" s="1280"/>
      <c r="T25" s="1280"/>
      <c r="U25" s="1280">
        <f>IF(T47=0,'Rates (2)'!K10,IF(U57=1,'Rates (2)'!K8,'Rates (2)'!K9))</f>
        <v>25</v>
      </c>
      <c r="V25" s="1280"/>
      <c r="W25" s="974">
        <f>IF(OR(U62=1,'Rates (2)'!D41="Yes"),MIN(H25/25000*MIN(L25,AC25)*U25,X25),0)</f>
        <v>0</v>
      </c>
      <c r="X25" s="974">
        <f>MIN(H25/25000*MIN(L25,AC25)*U25*Y25,'Rates (2)'!C40/25000*MIN(L25,AC25)*U25*Y25)</f>
        <v>0</v>
      </c>
      <c r="Y25" s="974">
        <f>IF('Rates (2)'!D39="Yes",1,0)</f>
        <v>1</v>
      </c>
      <c r="Z25" s="1281">
        <f>IF(AND(AA25=1,R25=2),MAX(H25,'Rates (2)'!C40),IF(AND(AA25=1,R25&lt;2),'Rates (2)'!C40,IF(AND(AA25=0,R25=2),H25,0)))</f>
        <v>0</v>
      </c>
      <c r="AA25" s="974">
        <f>IF(OR(AND(U62=1,'Rates (2)'!D39="Yes",'Rates (2)'!C40&gt;0),AND(U62=0,'Rates (2)'!D39="Yes",'Rates (2)'!C40&gt;0,'Rates (2)'!D41="Yes")),1,0)</f>
        <v>0</v>
      </c>
      <c r="AB25" s="971">
        <f>IF(AND(AA25=1,H25&lt;'Rates (2)'!C40),AC25,L27)</f>
        <v>1</v>
      </c>
      <c r="AC25" s="971">
        <f>IF(OR(O57+Q57=1,W57=1),MIN(L13,Q12,'Rates (2)'!D42),0)</f>
        <v>0</v>
      </c>
      <c r="AD25" s="971">
        <f>IF(AND(AA25=1,L27&lt;=AC25,H25&lt;='Rates (2)'!C40),AC25,IF(AND(AA25=1,L27=0,H25&gt;'Rates (2)'!C40),AC25,AE25))</f>
        <v>1</v>
      </c>
      <c r="AE25" s="971">
        <f>IF(AND(L27&gt;Q12,Q12&gt;L13),L13,IF(AND(L27&gt;Q12,Q12&lt;=L13),Q12,IF(AND(L27&lt;Q12,L27&gt;L13),L13,L27)))</f>
        <v>1</v>
      </c>
      <c r="AJ25" s="971">
        <f>IF(AND(H9='Administration (2)'!C20,OR(M8='Administration (2)'!C7,M8='Administration (2)'!C8,M8='Administration (2)'!C9)),50000,25000)</f>
        <v>25000</v>
      </c>
      <c r="AM25" s="1149"/>
      <c r="AU25" s="971">
        <f t="shared" si="0"/>
        <v>1987</v>
      </c>
    </row>
    <row r="26" spans="2:50" s="971" customFormat="1" ht="1.5" customHeight="1" thickBot="1" x14ac:dyDescent="0.35">
      <c r="B26" s="1247"/>
      <c r="C26" s="1144"/>
      <c r="D26" s="1282"/>
      <c r="E26" s="1283">
        <f>IF(I25="Full Seating Capacity",1,0)</f>
        <v>0</v>
      </c>
      <c r="F26" s="1025" t="str">
        <f>IF(H25&gt;0,"Full Seating Capacity","")</f>
        <v/>
      </c>
      <c r="G26" s="1283">
        <f>IF(OR(I25="Participant Only",I25="Participant &amp; Driver Only"),1,0)</f>
        <v>0</v>
      </c>
      <c r="H26" s="1104" t="str">
        <f>IF(H25&gt;0,"for Participant","")</f>
        <v/>
      </c>
      <c r="I26" s="1284">
        <f>IF(H15&gt;0,Z25,0)</f>
        <v>0</v>
      </c>
      <c r="J26" s="1284"/>
      <c r="K26" s="1029" t="str">
        <f>IF(H25&gt;0,"for Driver","")</f>
        <v/>
      </c>
      <c r="L26" s="1283">
        <f>IF(OR(I25="Driver Only",I25="Participant &amp; Driver Only"),1,0)</f>
        <v>1</v>
      </c>
      <c r="M26" s="1285"/>
      <c r="N26" s="1216"/>
      <c r="O26" s="1140" t="str">
        <f>IF(AND(E26=0,L25&gt;0),CONCATENATE(MIN(L25,L13)," Persons"),IF(E26=1,"Full Seating Capacity",IF(AND(G26=1,L26=1),"Participant &amp; Driver",IF(G26=1,"Participant only",IF(L26=1,"Driver only","")))))</f>
        <v>1 Persons</v>
      </c>
      <c r="P26" s="1140"/>
      <c r="Q26" s="1140"/>
      <c r="R26" s="1161"/>
      <c r="S26" s="1280"/>
      <c r="T26" s="1280"/>
      <c r="U26" s="1280"/>
      <c r="V26" s="1280"/>
      <c r="W26" s="974"/>
      <c r="X26" s="974"/>
      <c r="Y26" s="974"/>
      <c r="Z26" s="1281"/>
      <c r="AA26" s="974"/>
      <c r="AJ26" s="971">
        <f>AJ25+25000</f>
        <v>50000</v>
      </c>
      <c r="AM26" s="1149"/>
      <c r="AU26" s="971">
        <f t="shared" si="0"/>
        <v>1988</v>
      </c>
      <c r="AX26" s="1286"/>
    </row>
    <row r="27" spans="2:50" s="971" customFormat="1" ht="26.25" hidden="1" customHeight="1" thickBot="1" x14ac:dyDescent="0.35">
      <c r="B27" s="1247"/>
      <c r="C27" s="1144"/>
      <c r="D27" s="1282"/>
      <c r="E27" s="983"/>
      <c r="F27" s="1818" t="str">
        <f>IF(OR($R$25&gt;1,AA25=1),"If PAB for Terrorism is Required for paid Driver or workers, state their number","")</f>
        <v/>
      </c>
      <c r="G27" s="1818"/>
      <c r="H27" s="1818"/>
      <c r="I27" s="1287">
        <v>0</v>
      </c>
      <c r="J27" s="1288"/>
      <c r="K27" s="1289"/>
      <c r="L27" s="1287">
        <f>IF(E26=1,L13,IF(AND(G26=1,L26=1),2,IF(OR(G26=1,L26=1),1,0)))</f>
        <v>1</v>
      </c>
      <c r="M27" s="1290"/>
      <c r="O27" s="1140"/>
      <c r="P27" s="1140"/>
      <c r="Q27" s="1291"/>
      <c r="R27" s="1292"/>
      <c r="S27" s="1293"/>
      <c r="T27" s="1293"/>
      <c r="U27" s="1293"/>
      <c r="V27" s="1293"/>
      <c r="W27" s="1294"/>
      <c r="X27" s="1294"/>
      <c r="Y27" s="974"/>
      <c r="Z27" s="1281"/>
      <c r="AA27" s="974"/>
      <c r="AJ27" s="971">
        <f t="shared" ref="AJ27:AJ43" si="1">AJ26+25000</f>
        <v>75000</v>
      </c>
      <c r="AM27" s="1149"/>
      <c r="AU27" s="971">
        <f t="shared" si="0"/>
        <v>1989</v>
      </c>
      <c r="AX27" s="1286"/>
    </row>
    <row r="28" spans="2:50" s="971" customFormat="1" ht="20.25" hidden="1" customHeight="1" thickBot="1" x14ac:dyDescent="0.35">
      <c r="B28" s="1247"/>
      <c r="C28" s="1144"/>
      <c r="D28" s="1282"/>
      <c r="E28" s="1295"/>
      <c r="F28" s="1818"/>
      <c r="G28" s="1818"/>
      <c r="H28" s="1818"/>
      <c r="I28" s="1819" t="str">
        <f>IF(AND(H25=0,L25=0),"",IF(I27&gt;L25,"Invalid Entry",""))</f>
        <v/>
      </c>
      <c r="J28" s="1819"/>
      <c r="K28" s="1819"/>
      <c r="L28" s="983"/>
      <c r="M28" s="1279"/>
      <c r="N28" s="1296"/>
      <c r="O28" s="1253"/>
      <c r="P28" s="1253"/>
      <c r="Q28" s="1292"/>
      <c r="R28" s="1161"/>
      <c r="S28" s="1280"/>
      <c r="T28" s="1280"/>
      <c r="U28" s="1280"/>
      <c r="V28" s="1280"/>
      <c r="W28" s="974"/>
      <c r="X28" s="974"/>
      <c r="Y28" s="974"/>
      <c r="Z28" s="974">
        <f>IF(I27&gt;L25,L25,I27)</f>
        <v>0</v>
      </c>
      <c r="AA28" s="974"/>
      <c r="AJ28" s="971">
        <f t="shared" si="1"/>
        <v>100000</v>
      </c>
      <c r="AM28" s="1149"/>
      <c r="AU28" s="971">
        <f t="shared" si="0"/>
        <v>1990</v>
      </c>
      <c r="AX28" s="1286"/>
    </row>
    <row r="29" spans="2:50" s="971" customFormat="1" ht="20.25" customHeight="1" thickBot="1" x14ac:dyDescent="0.4">
      <c r="B29" s="1247"/>
      <c r="C29" s="1144"/>
      <c r="D29" s="1236" t="s">
        <v>284</v>
      </c>
      <c r="E29" s="1237" t="s">
        <v>9</v>
      </c>
      <c r="F29" s="1039" t="s">
        <v>47</v>
      </c>
      <c r="G29" s="1039"/>
      <c r="H29" s="1297">
        <v>0</v>
      </c>
      <c r="I29" s="1298" t="str">
        <f>IF(L13&gt;Q12,CONCATENATE(Q12-1," Passengers"),CONCATENATE(L13-1," passengers"))</f>
        <v>1 passengers</v>
      </c>
      <c r="J29" s="1157"/>
      <c r="K29" s="1299">
        <f>IF(AND(H8="Three Wheeler",K14=F112,H29&lt;20000),20000,H29)</f>
        <v>0</v>
      </c>
      <c r="L29" s="1300"/>
      <c r="M29" s="1301">
        <f>IF(AND($C$2="Yes",O29=1),N29,IF(K29=2000,'Rates (2)'!K27,IF(K29=10000,'Rates (2)'!M27,IF(K29=20000,'Rates (2)'!K28,IF(K29=50000,'Rates (2)'!M28,IF(K29=100000,'Rates (2)'!K29,IF(K29=200000,'Rates (2)'!M29,IF(K29=500000,'Rates (2)'!K30,))))))))*T29*U2*R15*Y2*Z49*Y49*Q65*N3</f>
        <v>0</v>
      </c>
      <c r="N29" s="1231">
        <v>0</v>
      </c>
      <c r="O29" s="1259">
        <v>0</v>
      </c>
      <c r="P29" s="1140">
        <f>IF(K29&gt;0,1,0)</f>
        <v>0</v>
      </c>
      <c r="Q29" s="1140">
        <f>IF(I29&gt;0,1,0)</f>
        <v>1</v>
      </c>
      <c r="R29" s="1161">
        <f>P29+Q29</f>
        <v>1</v>
      </c>
      <c r="S29" s="1280"/>
      <c r="T29" s="1233">
        <f>IF(I29&gt;L13-1,L13-1,I29)</f>
        <v>1</v>
      </c>
      <c r="U29" s="1233"/>
      <c r="V29" s="1233">
        <f>IF(AND(H9='Administration (2)'!C21,OR('MC Working'!M8='Administration (2)'!C7,M8='Administration (2)'!C8,M8='Administration (2)'!C9,M8='Administration (2)'!C10,M8='Administration (2)'!C12)),2000,0)</f>
        <v>0</v>
      </c>
      <c r="W29" s="974"/>
      <c r="X29" s="974"/>
      <c r="Y29" s="974"/>
      <c r="Z29" s="974"/>
      <c r="AA29" s="974"/>
      <c r="AJ29" s="971">
        <f t="shared" si="1"/>
        <v>125000</v>
      </c>
      <c r="AM29" s="1149"/>
      <c r="AU29" s="971">
        <f t="shared" si="0"/>
        <v>1991</v>
      </c>
      <c r="AX29" s="1302"/>
    </row>
    <row r="30" spans="2:50" s="971" customFormat="1" ht="21" customHeight="1" thickBot="1" x14ac:dyDescent="0.35">
      <c r="B30" s="1247"/>
      <c r="C30" s="1303" t="s">
        <v>78</v>
      </c>
      <c r="D30" s="1236" t="s">
        <v>284</v>
      </c>
      <c r="E30" s="1237" t="s">
        <v>9</v>
      </c>
      <c r="F30" s="1304" t="str">
        <f>IF(O31=0,"Goods Cover               (Not Provided)",IF(AND(C30="Yes",H30=0),"Goods Cover    - Enter Goods Value","Goods Cover              Goods Value-&gt;"))</f>
        <v>Goods Cover               (Not Provided)</v>
      </c>
      <c r="G30" s="983"/>
      <c r="H30" s="1305">
        <v>0</v>
      </c>
      <c r="I30" s="1820" t="s">
        <v>39</v>
      </c>
      <c r="J30" s="1821"/>
      <c r="K30" s="1306" t="s">
        <v>403</v>
      </c>
      <c r="L30" s="1229">
        <v>0</v>
      </c>
      <c r="M30" s="1244"/>
      <c r="N30" s="1231">
        <v>0</v>
      </c>
      <c r="O30" s="1140">
        <f>IF(AND(C30="Yes",H30&gt;0),1,0)</f>
        <v>0</v>
      </c>
      <c r="P30" s="1140"/>
      <c r="Q30" s="1149"/>
      <c r="S30" s="974"/>
      <c r="T30" s="974">
        <f>IF(C30="Yes",'Rates (2)'!B33,0)</f>
        <v>5000</v>
      </c>
      <c r="U30" s="1256">
        <f>IF(AND(O31=1,C30="Yes"),'Rates (2)'!B31,0)</f>
        <v>0</v>
      </c>
      <c r="V30" s="1256"/>
      <c r="W30" s="974"/>
      <c r="X30" s="974"/>
      <c r="Y30" s="974"/>
      <c r="Z30" s="974"/>
      <c r="AA30" s="974"/>
      <c r="AJ30" s="971">
        <f t="shared" si="1"/>
        <v>150000</v>
      </c>
      <c r="AM30" s="1149"/>
      <c r="AU30" s="971">
        <f t="shared" si="0"/>
        <v>1992</v>
      </c>
    </row>
    <row r="31" spans="2:50" s="971" customFormat="1" ht="0.75" customHeight="1" thickBot="1" x14ac:dyDescent="0.35">
      <c r="B31" s="1307">
        <v>1</v>
      </c>
      <c r="C31" s="1151">
        <v>1</v>
      </c>
      <c r="D31" s="1308"/>
      <c r="E31" s="1309" t="str">
        <f>IF(AND(H30&gt;0,O31&gt;0),"Select Nature of Goods","")</f>
        <v/>
      </c>
      <c r="F31" s="983"/>
      <c r="G31" s="1310" t="s">
        <v>9</v>
      </c>
      <c r="H31" s="731" t="str">
        <f>IF(AND(H30&gt;0,O31=1),"Non Hazardous","")</f>
        <v/>
      </c>
      <c r="I31" s="1311">
        <f>H30*'Rates (2)'!K53%*T31*O30*O31</f>
        <v>0</v>
      </c>
      <c r="J31" s="1312"/>
      <c r="K31" s="1312"/>
      <c r="L31" s="1312"/>
      <c r="M31" s="1313"/>
      <c r="N31" s="1314"/>
      <c r="O31" s="971">
        <f>IF(OR(H8='Administration (2)'!C9,H8='Administration (2)'!C11,H8='Administration (2)'!C12,H8='Administration (2)'!CY1548),1,IF('Rates (2)'!D47="Yes",1,0))</f>
        <v>0</v>
      </c>
      <c r="Q31" s="971">
        <f>B31</f>
        <v>1</v>
      </c>
      <c r="R31" s="971">
        <f>IF(Q31+Q32=3,0,1)</f>
        <v>1</v>
      </c>
      <c r="S31" s="974"/>
      <c r="T31" s="974">
        <f>IF((E32+E33)=0,1,0)</f>
        <v>0</v>
      </c>
      <c r="U31" s="974">
        <f>IF(T31=1,1,0)</f>
        <v>0</v>
      </c>
      <c r="V31" s="974"/>
      <c r="W31" s="974"/>
      <c r="X31" s="974"/>
      <c r="Y31" s="974"/>
      <c r="Z31" s="974"/>
      <c r="AA31" s="974"/>
      <c r="AJ31" s="971">
        <f t="shared" si="1"/>
        <v>175000</v>
      </c>
      <c r="AM31" s="1149"/>
      <c r="AU31" s="971">
        <f t="shared" si="0"/>
        <v>1993</v>
      </c>
      <c r="AX31" s="1302" t="s">
        <v>392</v>
      </c>
    </row>
    <row r="32" spans="2:50" s="971" customFormat="1" ht="23.25" hidden="1" customHeight="1" thickBot="1" x14ac:dyDescent="0.35">
      <c r="B32" s="1247"/>
      <c r="D32" s="1308"/>
      <c r="E32" s="1229">
        <f>IF(I30="Hazardous",1,0)</f>
        <v>0</v>
      </c>
      <c r="F32" s="983"/>
      <c r="G32" s="1310" t="s">
        <v>9</v>
      </c>
      <c r="H32" s="731" t="str">
        <f>IF(AND(H30&gt;0,O31=1),"Hazardous","")</f>
        <v/>
      </c>
      <c r="I32" s="1311">
        <f>H30*'Rates (2)'!K54%*Q32*O30*O31</f>
        <v>0</v>
      </c>
      <c r="J32" s="1312"/>
      <c r="K32" s="1312"/>
      <c r="L32" s="1312"/>
      <c r="M32" s="1313"/>
      <c r="N32" s="1314"/>
      <c r="Q32" s="971">
        <f>IF(Q33=1,0,E32)</f>
        <v>0</v>
      </c>
      <c r="S32" s="974"/>
      <c r="T32" s="974" t="str">
        <f>IF(AND(E33=1,H30&gt;0,C30="Yes"),"Extra Hazardous",U32)</f>
        <v>-</v>
      </c>
      <c r="U32" s="974" t="str">
        <f>IF(AND(H30&gt;0,E32=1,C30="Yes"),"Hazardous",W32)</f>
        <v>-</v>
      </c>
      <c r="V32" s="974"/>
      <c r="W32" s="974" t="str">
        <f>IF(AND(H30&gt;0,C30="Yes"),"Non Hazardous","-")</f>
        <v>-</v>
      </c>
      <c r="X32" s="974"/>
      <c r="Y32" s="974"/>
      <c r="Z32" s="974"/>
      <c r="AA32" s="974"/>
      <c r="AJ32" s="971">
        <f t="shared" si="1"/>
        <v>200000</v>
      </c>
      <c r="AM32" s="1149"/>
      <c r="AU32" s="971">
        <f t="shared" si="0"/>
        <v>1994</v>
      </c>
      <c r="AX32" s="1302" t="s">
        <v>385</v>
      </c>
    </row>
    <row r="33" spans="2:50" s="971" customFormat="1" ht="18" hidden="1" customHeight="1" thickTop="1" thickBot="1" x14ac:dyDescent="0.35">
      <c r="B33" s="1247"/>
      <c r="D33" s="1308"/>
      <c r="E33" s="1229">
        <f>IF(I30="Extra Hazardous",1,0)</f>
        <v>1</v>
      </c>
      <c r="F33" s="983"/>
      <c r="G33" s="1310" t="s">
        <v>9</v>
      </c>
      <c r="H33" s="731" t="str">
        <f>IF(AND(H30&gt;0,O31=1),"Extra Hazardous","")</f>
        <v/>
      </c>
      <c r="I33" s="1311">
        <f>H30*'Rates (2)'!K55%*E33*O30*O31</f>
        <v>0</v>
      </c>
      <c r="J33" s="1312"/>
      <c r="K33" s="1312"/>
      <c r="L33" s="1312"/>
      <c r="M33" s="1313"/>
      <c r="N33" s="1797" t="str">
        <f>IF($Y$48="Private Car Policy",HYPERLINK("[Special Motor Quotation 2012.xls]Private_Car!I20","Click to Print"),IF($Y$48="Motor Cycle Policy",HYPERLINK("[Special Motor Quotation 2012.xls]Motor_Cycle!I20","Click to Print"),HYPERLINK("[Special Motor Quotation 2012.xls]Commercial_Vehicle!I20","Click to Print")))</f>
        <v>Click to Print</v>
      </c>
      <c r="O33" s="1798"/>
      <c r="Q33" s="971">
        <f>E33</f>
        <v>1</v>
      </c>
      <c r="S33" s="974"/>
      <c r="T33" s="974"/>
      <c r="U33" s="974"/>
      <c r="V33" s="974"/>
      <c r="W33" s="974"/>
      <c r="X33" s="974"/>
      <c r="Y33" s="974"/>
      <c r="Z33" s="974"/>
      <c r="AA33" s="974"/>
      <c r="AJ33" s="971">
        <f t="shared" si="1"/>
        <v>225000</v>
      </c>
      <c r="AM33" s="1149"/>
      <c r="AU33" s="971">
        <f t="shared" si="0"/>
        <v>1995</v>
      </c>
      <c r="AX33" s="1302" t="s">
        <v>393</v>
      </c>
    </row>
    <row r="34" spans="2:50" s="971" customFormat="1" ht="18" customHeight="1" thickBot="1" x14ac:dyDescent="0.35">
      <c r="B34" s="1247"/>
      <c r="D34" s="1308"/>
      <c r="E34" s="1229">
        <f>IF(K30="With Fire",1,0)</f>
        <v>1</v>
      </c>
      <c r="F34" s="1120" t="str">
        <f>IF(AND(H30&gt;0,O31=1),"Select to include Damage by Fire","")</f>
        <v/>
      </c>
      <c r="G34" s="1310" t="s">
        <v>9</v>
      </c>
      <c r="H34" s="731" t="str">
        <f>IF(AND(H30&gt;0,O31=1),"Fire","")</f>
        <v/>
      </c>
      <c r="I34" s="1311">
        <f>H30*E34*'Rates (2)'!K56%*O30*O31</f>
        <v>0</v>
      </c>
      <c r="J34" s="1312"/>
      <c r="K34" s="1312"/>
      <c r="L34" s="1312"/>
      <c r="M34" s="1313"/>
      <c r="N34" s="1799"/>
      <c r="O34" s="1800"/>
      <c r="S34" s="974"/>
      <c r="T34" s="974"/>
      <c r="U34" s="974"/>
      <c r="V34" s="974"/>
      <c r="W34" s="974"/>
      <c r="X34" s="974"/>
      <c r="Y34" s="974"/>
      <c r="Z34" s="974"/>
      <c r="AA34" s="974"/>
      <c r="AJ34" s="971">
        <f t="shared" si="1"/>
        <v>250000</v>
      </c>
      <c r="AM34" s="1149"/>
      <c r="AU34" s="1315">
        <f t="shared" si="0"/>
        <v>1996</v>
      </c>
    </row>
    <row r="35" spans="2:50" s="971" customFormat="1" ht="16.5" thickTop="1" thickBot="1" x14ac:dyDescent="0.4">
      <c r="B35" s="1247"/>
      <c r="C35" s="1189"/>
      <c r="D35" s="1316"/>
      <c r="E35" s="1317"/>
      <c r="F35" s="1318"/>
      <c r="G35" s="1319"/>
      <c r="H35" s="1320">
        <f>IF(H36=0,H37,H36)</f>
        <v>25</v>
      </c>
      <c r="I35" s="1321"/>
      <c r="J35" s="1321"/>
      <c r="K35" s="1322"/>
      <c r="L35" s="1322" t="s">
        <v>286</v>
      </c>
      <c r="M35" s="1323">
        <f ca="1">M24+M25+M30</f>
        <v>0</v>
      </c>
      <c r="N35" s="1272"/>
      <c r="O35" s="1140"/>
      <c r="P35" s="1140"/>
      <c r="Q35" s="1205"/>
      <c r="AJ35" s="971">
        <f t="shared" si="1"/>
        <v>275000</v>
      </c>
      <c r="AM35" s="1149"/>
      <c r="AU35" s="1315">
        <f t="shared" si="0"/>
        <v>1997</v>
      </c>
    </row>
    <row r="36" spans="2:50" s="971" customFormat="1" ht="16" customHeight="1" thickBot="1" x14ac:dyDescent="0.4">
      <c r="B36" s="1247"/>
      <c r="C36" s="1144" t="str">
        <f>IF(H38="Upfront NCB","NCB (No Claim Bonus)","No Claim Bonus (NCB)")</f>
        <v>No Claim Bonus (NCB)</v>
      </c>
      <c r="D36" s="1236" t="s">
        <v>284</v>
      </c>
      <c r="E36" s="1237" t="s">
        <v>9</v>
      </c>
      <c r="F36" s="1104" t="s">
        <v>320</v>
      </c>
      <c r="G36" s="1324">
        <f>H36+H37</f>
        <v>25</v>
      </c>
      <c r="H36" s="1325">
        <f>MC!T34</f>
        <v>0</v>
      </c>
      <c r="I36" s="1795" t="str">
        <f>IF(H36&gt;R36,CONCATENATE("NCB ALLOWED - ",R36),IF(H36&gt;0,"Earned NCB - NOT Upfront NCB",IF(AND(M8='Administration (2)'!C19,H9='Administration (2)'!C20),"NCB Not Allowed","")))</f>
        <v/>
      </c>
      <c r="J36" s="1796"/>
      <c r="K36" s="1796"/>
      <c r="L36" s="1229">
        <v>0</v>
      </c>
      <c r="M36" s="1258">
        <f ca="1">IF(AND($C$2="Yes",L36=1),N36,(-M35/1*MIN(H36%,R36%)*Y2))</f>
        <v>0</v>
      </c>
      <c r="N36" s="1326">
        <v>0</v>
      </c>
      <c r="O36" s="1140">
        <f ca="1">IF(OR(AND(H36&gt;0%,M36&lt;0),M37&lt;0),1,0)</f>
        <v>0</v>
      </c>
      <c r="P36" s="1140"/>
      <c r="Q36" s="1327"/>
      <c r="R36" s="1328">
        <f>IF(T47=0,35,IF(U57=1,75,65))</f>
        <v>35</v>
      </c>
      <c r="S36" s="1328"/>
      <c r="T36" s="1205"/>
      <c r="U36" s="1205"/>
      <c r="V36" s="1205"/>
      <c r="AJ36" s="971">
        <f t="shared" si="1"/>
        <v>300000</v>
      </c>
      <c r="AU36" s="1315">
        <f t="shared" si="0"/>
        <v>1998</v>
      </c>
      <c r="AX36" s="1329"/>
    </row>
    <row r="37" spans="2:50" s="971" customFormat="1" ht="16" customHeight="1" thickBot="1" x14ac:dyDescent="0.4">
      <c r="B37" s="1247"/>
      <c r="C37" s="1144"/>
      <c r="D37" s="1236"/>
      <c r="E37" s="1330" t="s">
        <v>9</v>
      </c>
      <c r="F37" s="1104" t="s">
        <v>321</v>
      </c>
      <c r="G37" s="1331">
        <f>IF(H36+H37&gt;35,35-H36,H37)</f>
        <v>25</v>
      </c>
      <c r="H37" s="1332">
        <f>IF(M12="Below 250cc",25,0)</f>
        <v>25</v>
      </c>
      <c r="I37" s="1823" t="str">
        <f>IF(G37&lt;&gt;H37,CONCATENATE(G37,"% NCB Allowed (Max - 35%)"),"")</f>
        <v/>
      </c>
      <c r="J37" s="1824"/>
      <c r="K37" s="1824"/>
      <c r="L37" s="1229">
        <v>0</v>
      </c>
      <c r="M37" s="1333">
        <f ca="1">IF(AND($C$2="Yes",L37=1),Q37,(-M35/1*G37%))</f>
        <v>0</v>
      </c>
      <c r="N37" s="1326">
        <v>-121</v>
      </c>
      <c r="O37" s="1140"/>
      <c r="P37" s="1140"/>
      <c r="Q37" s="1327"/>
      <c r="R37" s="1328">
        <f>IF(H36+H37&gt;R36,0,1)</f>
        <v>1</v>
      </c>
      <c r="S37" s="1328"/>
      <c r="T37" s="1205"/>
      <c r="U37" s="1205"/>
      <c r="V37" s="1205"/>
      <c r="AU37" s="1315">
        <f t="shared" si="0"/>
        <v>1999</v>
      </c>
      <c r="AX37" s="1329"/>
    </row>
    <row r="38" spans="2:50" s="971" customFormat="1" ht="15" customHeight="1" thickBot="1" x14ac:dyDescent="0.35">
      <c r="B38" s="1247"/>
      <c r="C38" s="1189"/>
      <c r="D38" s="1334"/>
      <c r="E38" s="1335"/>
      <c r="F38" s="1318"/>
      <c r="G38" s="1336"/>
      <c r="H38" s="1337" t="s">
        <v>320</v>
      </c>
      <c r="I38" s="1338" t="s">
        <v>398</v>
      </c>
      <c r="J38" s="1339"/>
      <c r="K38" s="1340"/>
      <c r="L38" s="1322" t="s">
        <v>287</v>
      </c>
      <c r="M38" s="1323">
        <f ca="1">(M35+M36+M37)*C69</f>
        <v>0</v>
      </c>
      <c r="N38" s="1272"/>
      <c r="O38" s="1341">
        <f ca="1">M35+M36</f>
        <v>0</v>
      </c>
      <c r="P38" s="971">
        <f>IF(O44=1,'Rates (2)'!K4,'Rates (2)'!K3)</f>
        <v>0.2</v>
      </c>
      <c r="Q38" s="971">
        <f>IF(B40="Yes",1,0)</f>
        <v>1</v>
      </c>
      <c r="R38" s="1342"/>
      <c r="S38" s="1342"/>
      <c r="T38" s="1342"/>
      <c r="U38" s="1342"/>
      <c r="V38" s="1342"/>
      <c r="AA38" s="974"/>
      <c r="AB38" s="974"/>
      <c r="AC38" s="974"/>
      <c r="AD38" s="974"/>
      <c r="AE38" s="974"/>
      <c r="AF38" s="974"/>
      <c r="AG38" s="974"/>
      <c r="AH38" s="974"/>
      <c r="AJ38" s="971">
        <f>AJ36+25000</f>
        <v>325000</v>
      </c>
      <c r="AU38" s="1315">
        <f t="shared" si="0"/>
        <v>2000</v>
      </c>
      <c r="AX38" s="1329"/>
    </row>
    <row r="39" spans="2:50" s="971" customFormat="1" ht="15" customHeight="1" thickBot="1" x14ac:dyDescent="0.45">
      <c r="B39" s="1240" t="str">
        <f>IF(C39=1,"Yes","No")</f>
        <v>Yes</v>
      </c>
      <c r="C39" s="1343">
        <v>1</v>
      </c>
      <c r="D39" s="1236" t="s">
        <v>284</v>
      </c>
      <c r="E39" s="1237" t="s">
        <v>9</v>
      </c>
      <c r="F39" s="1104" t="s">
        <v>288</v>
      </c>
      <c r="G39" s="1104"/>
      <c r="H39" s="1344"/>
      <c r="I39" s="1228"/>
      <c r="J39" s="1228"/>
      <c r="K39" s="982"/>
      <c r="L39" s="1229">
        <v>0</v>
      </c>
      <c r="M39" s="1244">
        <f ca="1">IF(AND($C$2="Yes",L39=1),N39,IF(B39="Yes",M19*'Rates (2)'!K11%,0))</f>
        <v>0</v>
      </c>
      <c r="N39" s="1231">
        <v>0</v>
      </c>
      <c r="O39" s="971">
        <f>IF(B40="Yes",1,0)</f>
        <v>1</v>
      </c>
      <c r="P39" s="971">
        <f>IF(O44=1,'Rates (2)'!K6,'Rates (2)'!K5)</f>
        <v>0.05</v>
      </c>
      <c r="Q39" s="971">
        <f>IF(B41="Yes",1,0)</f>
        <v>1</v>
      </c>
      <c r="R39" s="1342"/>
      <c r="S39" s="1342"/>
      <c r="T39" s="1342"/>
      <c r="U39" s="1342"/>
      <c r="V39" s="1342"/>
      <c r="AA39" s="974"/>
      <c r="AB39" s="974"/>
      <c r="AC39" s="974"/>
      <c r="AD39" s="974"/>
      <c r="AE39" s="974"/>
      <c r="AF39" s="974"/>
      <c r="AG39" s="974"/>
      <c r="AH39" s="974"/>
      <c r="AJ39" s="971">
        <f t="shared" si="1"/>
        <v>350000</v>
      </c>
      <c r="AU39" s="1315">
        <f t="shared" si="0"/>
        <v>2001</v>
      </c>
      <c r="AX39" s="1329"/>
    </row>
    <row r="40" spans="2:50" s="971" customFormat="1" ht="16" customHeight="1" thickBot="1" x14ac:dyDescent="0.35">
      <c r="B40" s="1240" t="str">
        <f>IF(C40=1,"Yes","No")</f>
        <v>Yes</v>
      </c>
      <c r="C40" s="1343">
        <v>1</v>
      </c>
      <c r="D40" s="1236" t="s">
        <v>284</v>
      </c>
      <c r="E40" s="1237" t="s">
        <v>9</v>
      </c>
      <c r="F40" s="1104" t="s">
        <v>14</v>
      </c>
      <c r="G40" s="1104"/>
      <c r="H40" s="1228"/>
      <c r="I40" s="1228"/>
      <c r="J40" s="1228"/>
      <c r="K40" s="982"/>
      <c r="L40" s="1229">
        <v>0</v>
      </c>
      <c r="M40" s="1244">
        <f>IF(AND($C$2="Yes",L40=1),N40,(Q38*P38%*H15*U2*Z2*N4))</f>
        <v>880</v>
      </c>
      <c r="N40" s="1231">
        <v>0</v>
      </c>
      <c r="O40" s="1825"/>
      <c r="P40" s="1825"/>
      <c r="Q40" s="1825"/>
      <c r="R40" s="1825"/>
      <c r="S40" s="1825"/>
      <c r="T40" s="1825"/>
      <c r="U40" s="1825"/>
      <c r="V40" s="1825"/>
      <c r="AA40" s="974"/>
      <c r="AB40" s="974"/>
      <c r="AC40" s="974"/>
      <c r="AD40" s="974"/>
      <c r="AE40" s="974"/>
      <c r="AF40" s="974"/>
      <c r="AG40" s="974"/>
      <c r="AH40" s="974"/>
      <c r="AJ40" s="971">
        <f t="shared" si="1"/>
        <v>375000</v>
      </c>
      <c r="AU40" s="1315">
        <f t="shared" si="0"/>
        <v>2002</v>
      </c>
      <c r="AX40" s="1329"/>
    </row>
    <row r="41" spans="2:50" s="971" customFormat="1" ht="16" customHeight="1" thickBot="1" x14ac:dyDescent="0.35">
      <c r="B41" s="1240" t="str">
        <f>IF(C42=1,"Yes","No")</f>
        <v>Yes</v>
      </c>
      <c r="C41" s="1189"/>
      <c r="D41" s="1345">
        <f>IF(OR($R$25&gt;1,AA25=1),1,0)</f>
        <v>0</v>
      </c>
      <c r="E41" s="1229">
        <v>1</v>
      </c>
      <c r="F41" s="1104" t="str">
        <f>IF(AND($C$40=1,D41=1),CONCATENATE("     PAB by SRCC (Rs.",Y42,")"),"")</f>
        <v/>
      </c>
      <c r="G41" s="1229">
        <v>1</v>
      </c>
      <c r="H41" s="1346" t="str">
        <f>IF(AND($C$40=1,M30&gt;0),"   Goods Cover by SRCC","")</f>
        <v/>
      </c>
      <c r="I41" s="1347"/>
      <c r="J41" s="1229">
        <v>1</v>
      </c>
      <c r="K41" s="1348" t="str">
        <f>IF(AND($C$40=1,OR(H50&gt;0,H51&gt;0)),"WCT by SRCC","")</f>
        <v/>
      </c>
      <c r="L41" s="1229">
        <v>1</v>
      </c>
      <c r="M41" s="1244">
        <v>0</v>
      </c>
      <c r="N41" s="1231">
        <v>0</v>
      </c>
      <c r="O41" s="1825"/>
      <c r="P41" s="1825"/>
      <c r="Q41" s="1825"/>
      <c r="R41" s="1825"/>
      <c r="S41" s="1825"/>
      <c r="T41" s="1825"/>
      <c r="U41" s="1825"/>
      <c r="V41" s="1825"/>
      <c r="X41" s="1342" t="s">
        <v>19</v>
      </c>
      <c r="Y41" s="1342" t="s">
        <v>17</v>
      </c>
      <c r="Z41" s="1342" t="s">
        <v>18</v>
      </c>
      <c r="AA41" s="1349"/>
      <c r="AB41" s="1350" t="s">
        <v>147</v>
      </c>
      <c r="AC41" s="1351" t="s">
        <v>150</v>
      </c>
      <c r="AD41" s="1352" t="s">
        <v>151</v>
      </c>
      <c r="AE41" s="1351" t="s">
        <v>150</v>
      </c>
      <c r="AF41" s="974"/>
      <c r="AG41" s="974" t="s">
        <v>153</v>
      </c>
      <c r="AH41" s="974" t="s">
        <v>152</v>
      </c>
      <c r="AJ41" s="971">
        <f t="shared" si="1"/>
        <v>400000</v>
      </c>
      <c r="AU41" s="1315">
        <f t="shared" si="0"/>
        <v>2003</v>
      </c>
    </row>
    <row r="42" spans="2:50" s="971" customFormat="1" ht="18.75" customHeight="1" thickBot="1" x14ac:dyDescent="0.35">
      <c r="B42" s="1353"/>
      <c r="C42" s="1354">
        <f>IF(MC!T20="No",0,1)</f>
        <v>1</v>
      </c>
      <c r="D42" s="1236" t="s">
        <v>284</v>
      </c>
      <c r="E42" s="1237" t="s">
        <v>9</v>
      </c>
      <c r="F42" s="1104" t="s">
        <v>379</v>
      </c>
      <c r="G42" s="1104"/>
      <c r="H42" s="1355" t="str">
        <f>IF(X42&gt;0,CONCATENATE("    (Rs.",X42,")"),"")</f>
        <v/>
      </c>
      <c r="I42" s="1228"/>
      <c r="J42" s="1228"/>
      <c r="K42" s="1355" t="str">
        <f>IF(Z42&gt;0,CONCATENATE("  (Rs.",FIXED(Z42),")"),"")</f>
        <v/>
      </c>
      <c r="L42" s="1229">
        <v>0</v>
      </c>
      <c r="M42" s="1244">
        <f>IF(AND($C$2="Yes",L42=1),N41,(H15*P39%*Q39*U2*Q38*Z2*N4))</f>
        <v>220</v>
      </c>
      <c r="N42" s="1356">
        <v>0</v>
      </c>
      <c r="O42" s="1161"/>
      <c r="Q42" s="1357" t="str">
        <f>IF(G41=1,"Yes","No")</f>
        <v>Yes</v>
      </c>
      <c r="R42" s="1184"/>
      <c r="T42" s="1161" t="str">
        <f>IF(E41=1,"Yes","No")</f>
        <v>Yes</v>
      </c>
      <c r="U42" s="1184"/>
      <c r="W42" s="1161" t="str">
        <f>IF(J41=1,"Yes","No")</f>
        <v>Yes</v>
      </c>
      <c r="X42" s="1358">
        <f>IF(AND(B40="Yes",Q42="Yes",C30="Yes"),H30*'Rates (2)'!Q8%,0)*Z49*O31</f>
        <v>0</v>
      </c>
      <c r="Y42" s="1358">
        <f>IF(AND(B40="Yes",T42="Yes"),AE42,0)</f>
        <v>0</v>
      </c>
      <c r="Z42" s="1358">
        <f>IF(AND(B40="Yes",W42="Yes"),(M50+M51)*'Rates (2)'!Q9%,0)</f>
        <v>0</v>
      </c>
      <c r="AA42" s="1359"/>
      <c r="AB42" s="1360">
        <f>IF(Y48="Commercial Vehicle Policy",1,0)</f>
        <v>0</v>
      </c>
      <c r="AC42" s="1360">
        <f>IF(OR(Y48="Private car policy",Y48="Motor Cycle Policy"),1,0)</f>
        <v>1</v>
      </c>
      <c r="AD42" s="974">
        <f>IF(AND(M8='Administration (2)'!C10,H9='Administration (2)'!C23),1,0)</f>
        <v>0</v>
      </c>
      <c r="AE42" s="974">
        <f>IF(AC42=1,I26*L25*'Rates (2)'!Q6%,AF42)</f>
        <v>0</v>
      </c>
      <c r="AF42" s="974">
        <f>AG42+AH42</f>
        <v>0</v>
      </c>
      <c r="AG42" s="974">
        <f>Z28*I26*'Rates (2)'!Q6%</f>
        <v>0</v>
      </c>
      <c r="AH42" s="974">
        <f>IF(AD42=1,(L25-Z28)*Z25*'Rates (2)'!Q7%,(L25-Z28)*Z25*'Rates (2)'!Q6%)</f>
        <v>0</v>
      </c>
      <c r="AJ42" s="971">
        <f>AJ41+25000</f>
        <v>425000</v>
      </c>
      <c r="AU42" s="1315">
        <f t="shared" si="0"/>
        <v>2004</v>
      </c>
      <c r="AX42" s="1329"/>
    </row>
    <row r="43" spans="2:50" s="971" customFormat="1" ht="16" customHeight="1" x14ac:dyDescent="0.3">
      <c r="B43" s="1353"/>
      <c r="C43" s="1189"/>
      <c r="D43" s="1361"/>
      <c r="E43" s="1229">
        <v>0</v>
      </c>
      <c r="F43" s="1104" t="str">
        <f>IF(AND($C$40=1,C42=1,D41=1),CONCATENATE("     PAB by TC (Rs.",Y43,")"),"")</f>
        <v/>
      </c>
      <c r="G43" s="1229">
        <v>1</v>
      </c>
      <c r="H43" s="1346" t="str">
        <f>IF(AND($C$40=1,C42=1,M30&gt;0),"   Goods Cover by TC","")</f>
        <v/>
      </c>
      <c r="I43" s="1347"/>
      <c r="J43" s="1229">
        <v>1</v>
      </c>
      <c r="K43" s="1348" t="str">
        <f>IF(AND($C$40=1,C42=1,OR(H50&gt;0,H51&gt;0)),"WCT by TC","")</f>
        <v/>
      </c>
      <c r="L43" s="1229">
        <v>0</v>
      </c>
      <c r="M43" s="1244">
        <f>IF(AND($C$2="Yes",L43=1),N43,(SUM(X43:Z43)*U2*R15*Y2))</f>
        <v>0</v>
      </c>
      <c r="N43" s="1231">
        <v>0</v>
      </c>
      <c r="O43" s="1161"/>
      <c r="Q43" s="1357" t="str">
        <f>IF(G43=1,"Yes","No")</f>
        <v>Yes</v>
      </c>
      <c r="R43" s="1362"/>
      <c r="T43" s="1161" t="str">
        <f>IF(E43=1,"Yes","No")</f>
        <v>No</v>
      </c>
      <c r="U43" s="1362"/>
      <c r="W43" s="1161" t="str">
        <f>IF(J43=1,"Yes","No")</f>
        <v>Yes</v>
      </c>
      <c r="X43" s="1358">
        <f>IF(AND(B40="Yes",B41="Yes",Q42="Yes",Q43="Yes",C30="Yes"),H30*'Rates (2)'!R8%,0)*Z49*O31</f>
        <v>0</v>
      </c>
      <c r="Y43" s="1358">
        <f>IF(AND(B40="Yes",B41="Yes",T42="Yes",T43="Yes"),AE43,0)</f>
        <v>0</v>
      </c>
      <c r="Z43" s="1358">
        <f>IF(AND(B40="Yes",B41="Yes",W42="Yes",W43="Yes"),(M50+M51)*'Rates (2)'!R9%,0)</f>
        <v>0</v>
      </c>
      <c r="AA43" s="1359"/>
      <c r="AB43" s="1360"/>
      <c r="AC43" s="1360"/>
      <c r="AD43" s="974"/>
      <c r="AE43" s="974">
        <f>IF(AC42=1,I26*L25*'Rates (2)'!R6%,AF43)</f>
        <v>0</v>
      </c>
      <c r="AF43" s="974">
        <f>AG43+AH43</f>
        <v>0</v>
      </c>
      <c r="AG43" s="974">
        <f>Z28*I26*'Rates (2)'!R4%</f>
        <v>0</v>
      </c>
      <c r="AH43" s="974">
        <f>IF(AD42=1,'Rates (2)'!R7,(L25-Z28)*Z25*'Rates (2)'!R5%)</f>
        <v>0</v>
      </c>
      <c r="AJ43" s="971">
        <f t="shared" si="1"/>
        <v>450000</v>
      </c>
      <c r="AU43" s="1315">
        <f t="shared" ref="AU43:AU84" ca="1" si="2">IF(AU42&gt;=$AW$46,"",AU42+1)</f>
        <v>2005</v>
      </c>
      <c r="AX43" s="1329"/>
    </row>
    <row r="44" spans="2:50" s="971" customFormat="1" ht="16" customHeight="1" x14ac:dyDescent="0.3">
      <c r="B44" s="1353"/>
      <c r="C44" s="1189"/>
      <c r="D44" s="1236" t="s">
        <v>284</v>
      </c>
      <c r="E44" s="1237" t="s">
        <v>9</v>
      </c>
      <c r="F44" s="1104" t="s">
        <v>125</v>
      </c>
      <c r="G44" s="1104"/>
      <c r="H44" s="1355" t="str">
        <f>IF(X43&gt;0,CONCATENATE("    (Rs.",X43,")"),"")</f>
        <v/>
      </c>
      <c r="I44" s="1228"/>
      <c r="J44" s="1228"/>
      <c r="K44" s="1355" t="str">
        <f>IF(Z43&gt;0,CONCATENATE("  (Rs.",FIXED(Z43),")"),"")</f>
        <v/>
      </c>
      <c r="L44" s="1229">
        <v>0</v>
      </c>
      <c r="M44" s="1244">
        <f ca="1">IF(AND($C$2="Yes",L44=1),M19*N44%,(M19*'Rates (2)'!K14%*O44*R44))</f>
        <v>0</v>
      </c>
      <c r="N44" s="1363">
        <v>0</v>
      </c>
      <c r="O44" s="1161">
        <f>IF(OR(H9='Administration (2)'!C21,H9='Administration (2)'!C22),1,Q44)</f>
        <v>0</v>
      </c>
      <c r="P44" s="1161"/>
      <c r="Q44" s="1161">
        <f>IF(AND(M8='Administration (2)'!C10,H9='Administration (2)'!C23),1,0)</f>
        <v>0</v>
      </c>
      <c r="R44" s="1205">
        <f>IF('Rates (2)'!M14="Free",0,1)</f>
        <v>1</v>
      </c>
      <c r="S44" s="1205"/>
      <c r="T44" s="1205"/>
      <c r="U44" s="1205"/>
      <c r="V44" s="1205"/>
      <c r="X44" s="1211"/>
      <c r="Y44" s="1211"/>
      <c r="Z44" s="1211"/>
      <c r="AA44" s="974"/>
      <c r="AB44" s="974"/>
      <c r="AC44" s="974"/>
      <c r="AD44" s="974"/>
      <c r="AE44" s="974"/>
      <c r="AF44" s="974"/>
      <c r="AG44" s="974"/>
      <c r="AH44" s="974"/>
      <c r="AJ44" s="971">
        <f>AJ43+25000</f>
        <v>475000</v>
      </c>
      <c r="AU44" s="1315">
        <f t="shared" ca="1" si="2"/>
        <v>2006</v>
      </c>
      <c r="AX44" s="1329"/>
    </row>
    <row r="45" spans="2:50" s="971" customFormat="1" ht="15" customHeight="1" thickBot="1" x14ac:dyDescent="0.35">
      <c r="B45" s="1353" t="str">
        <f>IF(C47=1,"Yes","No")</f>
        <v>No</v>
      </c>
      <c r="C45" s="1364">
        <v>0</v>
      </c>
      <c r="D45" s="1236" t="s">
        <v>284</v>
      </c>
      <c r="E45" s="1237" t="s">
        <v>9</v>
      </c>
      <c r="F45" s="1104" t="s">
        <v>450</v>
      </c>
      <c r="G45" s="1104"/>
      <c r="H45" s="1228"/>
      <c r="I45" s="1228"/>
      <c r="J45" s="1228"/>
      <c r="K45" s="982"/>
      <c r="L45" s="1229">
        <v>0</v>
      </c>
      <c r="M45" s="1244"/>
      <c r="N45" s="1365">
        <v>0</v>
      </c>
      <c r="O45" s="1280">
        <f>C45</f>
        <v>0</v>
      </c>
      <c r="P45" s="1280"/>
      <c r="Q45" s="1280"/>
      <c r="R45" s="1233">
        <f>IF('Rates (2)'!M15="Free",0,1)</f>
        <v>1</v>
      </c>
      <c r="S45" s="1233"/>
      <c r="T45" s="1233"/>
      <c r="U45" s="1233"/>
      <c r="V45" s="1205"/>
      <c r="AA45" s="974"/>
      <c r="AB45" s="974"/>
      <c r="AC45" s="974"/>
      <c r="AD45" s="974"/>
      <c r="AE45" s="974"/>
      <c r="AF45" s="974"/>
      <c r="AG45" s="974"/>
      <c r="AH45" s="974"/>
      <c r="AJ45" s="971">
        <f>IF(AJ44=500000,"",AJ44+25000)</f>
        <v>500000</v>
      </c>
      <c r="AU45" s="1315">
        <f t="shared" ca="1" si="2"/>
        <v>2007</v>
      </c>
      <c r="AX45" s="1329"/>
    </row>
    <row r="46" spans="2:50" s="971" customFormat="1" ht="15.75" customHeight="1" thickBot="1" x14ac:dyDescent="0.35">
      <c r="B46" s="1240" t="str">
        <f>IF(C46=1,"Yes","No")</f>
        <v>No</v>
      </c>
      <c r="C46" s="1366">
        <v>0</v>
      </c>
      <c r="D46" s="1236" t="s">
        <v>284</v>
      </c>
      <c r="E46" s="1237" t="s">
        <v>9</v>
      </c>
      <c r="F46" s="1104" t="s">
        <v>279</v>
      </c>
      <c r="G46" s="1104"/>
      <c r="H46" s="1796" t="str">
        <f>IF(U57=1,"Free Cover",IF(AND(B46="Yes",Q48=1,Q46=0,U46=0),"Only for Private Dual Purpose Vehicles",""))</f>
        <v/>
      </c>
      <c r="I46" s="1796"/>
      <c r="J46" s="1796"/>
      <c r="K46" s="1796"/>
      <c r="L46" s="1229">
        <v>0</v>
      </c>
      <c r="M46" s="1244">
        <f ca="1">IF(AND($C$2="Yes",L46=1),N46,(M19*'Rates (2)'!K19%*T46))</f>
        <v>0</v>
      </c>
      <c r="N46" s="1367">
        <v>0</v>
      </c>
      <c r="O46" s="974">
        <f>IF(B46="Yes",1,0)</f>
        <v>0</v>
      </c>
      <c r="P46" s="974"/>
      <c r="Q46" s="974">
        <f>IF(AND(M8='Administration (2)'!C9,H9='Administration (2)'!C20),1,U46)</f>
        <v>0</v>
      </c>
      <c r="R46" s="1233">
        <f>O46+Q46</f>
        <v>0</v>
      </c>
      <c r="S46" s="1233"/>
      <c r="T46" s="1233">
        <f>IF(R46=2,1,0)</f>
        <v>0</v>
      </c>
      <c r="U46" s="1233">
        <f>IF(AND('Rates (2)'!O19="Yes",Q48=1),1,0)</f>
        <v>0</v>
      </c>
      <c r="V46" s="1205"/>
      <c r="AA46" s="974"/>
      <c r="AB46" s="974"/>
      <c r="AC46" s="974"/>
      <c r="AD46" s="974"/>
      <c r="AE46" s="974"/>
      <c r="AF46" s="974"/>
      <c r="AG46" s="974"/>
      <c r="AH46" s="974"/>
      <c r="AU46" s="1315">
        <f t="shared" ca="1" si="2"/>
        <v>2008</v>
      </c>
      <c r="AW46" s="971">
        <f ca="1">YEAR(F69)</f>
        <v>2024</v>
      </c>
      <c r="AX46" s="1329"/>
    </row>
    <row r="47" spans="2:50" s="971" customFormat="1" ht="15.75" customHeight="1" thickBot="1" x14ac:dyDescent="0.35">
      <c r="B47" s="1353"/>
      <c r="C47" s="1189"/>
      <c r="D47" s="1236" t="s">
        <v>284</v>
      </c>
      <c r="E47" s="1237" t="s">
        <v>9</v>
      </c>
      <c r="F47" s="1104" t="s">
        <v>448</v>
      </c>
      <c r="G47" s="1104"/>
      <c r="H47" s="1368">
        <v>300000</v>
      </c>
      <c r="I47" s="1228" t="s">
        <v>110</v>
      </c>
      <c r="J47" s="1228"/>
      <c r="K47" s="1369" t="str">
        <f>IF(AND(H47&gt;0,T47=0),"Not Applicable",0)</f>
        <v>Not Applicable</v>
      </c>
      <c r="L47" s="1229">
        <v>1</v>
      </c>
      <c r="M47" s="1301">
        <v>0</v>
      </c>
      <c r="N47" s="1367">
        <v>0</v>
      </c>
      <c r="O47" s="1370">
        <f>IF(H47&gt;0,1,0)</f>
        <v>1</v>
      </c>
      <c r="P47" s="1370"/>
      <c r="Q47" s="1280"/>
      <c r="R47" s="1233"/>
      <c r="S47" s="1233"/>
      <c r="T47" s="974">
        <f>IF(OR(M8='Administration (2)'!C13,M8='Administration (2)'!C14,),0,1)</f>
        <v>0</v>
      </c>
      <c r="U47" s="1233"/>
      <c r="V47" s="1205"/>
      <c r="AA47" s="974"/>
      <c r="AB47" s="974"/>
      <c r="AC47" s="974"/>
      <c r="AD47" s="974"/>
      <c r="AE47" s="974"/>
      <c r="AF47" s="974"/>
      <c r="AG47" s="974"/>
      <c r="AH47" s="974"/>
      <c r="AU47" s="1315">
        <f t="shared" ca="1" si="2"/>
        <v>2009</v>
      </c>
      <c r="AX47" s="1329"/>
    </row>
    <row r="48" spans="2:50" s="971" customFormat="1" ht="16" customHeight="1" thickBot="1" x14ac:dyDescent="0.35">
      <c r="B48" s="1353"/>
      <c r="C48" s="1189"/>
      <c r="D48" s="1236" t="s">
        <v>284</v>
      </c>
      <c r="E48" s="1237" t="s">
        <v>9</v>
      </c>
      <c r="F48" s="1104" t="s">
        <v>6</v>
      </c>
      <c r="G48" s="1104"/>
      <c r="H48" s="1371">
        <f>IF(MC!R33&lt;&gt;"",MC!R33,100000)</f>
        <v>100000</v>
      </c>
      <c r="I48" s="1228" t="s">
        <v>109</v>
      </c>
      <c r="J48" s="1228"/>
      <c r="K48" s="1372">
        <f>IF(AND(Q48=0,H48&gt;0),"Free Unlimited Cover",0)</f>
        <v>0</v>
      </c>
      <c r="L48" s="1229">
        <v>0</v>
      </c>
      <c r="M48" s="1301">
        <f>IF(AND($C$2="Yes",L48=1),N48,IF(H48&lt;100000,0,IF(H48=100000,'Rates (2)'!K17*R48,IF(H48&lt;=300000,'Rates (2)'!K18*R48,IF(H48&lt;=500000,'Rates (2)'!M17*R48,IF(H48&lt;=1000000,'Rates (2)'!M18*R48,IF(H48&lt;=2000000,1200*R48,H48*0.1%)))))))*U2*Q48*R15*Z2*Q65*N3</f>
        <v>100</v>
      </c>
      <c r="N48" s="1367">
        <v>0</v>
      </c>
      <c r="O48" s="1370">
        <f>IF(H48&gt;1,1,0)</f>
        <v>1</v>
      </c>
      <c r="P48" s="1370"/>
      <c r="Q48" s="1373">
        <f>IF(O57+Q57=1,0,1)</f>
        <v>1</v>
      </c>
      <c r="R48" s="1233">
        <f>IF(AND(H48&gt;=100000,Q48=1),1,0)</f>
        <v>1</v>
      </c>
      <c r="S48" s="1233"/>
      <c r="T48" s="974">
        <f>IF(OR(Q48=0,H48&gt;0),1,0)</f>
        <v>1</v>
      </c>
      <c r="U48" s="1233"/>
      <c r="V48" s="1205"/>
      <c r="X48" s="971">
        <f>IF(O57+Q57=1,0,1)</f>
        <v>1</v>
      </c>
      <c r="Y48" s="971" t="str">
        <f>IF(X48=0,"Private Car Policy",Z48)</f>
        <v>Motor Cycle Policy</v>
      </c>
      <c r="Z48" s="971" t="str">
        <f>IF(T47=0,"Motor Cycle Policy",AA48)</f>
        <v>Motor Cycle Policy</v>
      </c>
      <c r="AA48" s="974" t="str">
        <f>IF(M8='Administration (2)'!C19,"Trade Plate Policy","Commercial Vehicle Policy")</f>
        <v>Commercial Vehicle Policy</v>
      </c>
      <c r="AB48" s="974"/>
      <c r="AC48" s="974"/>
      <c r="AD48" s="974"/>
      <c r="AE48" s="974"/>
      <c r="AF48" s="974"/>
      <c r="AG48" s="974"/>
      <c r="AH48" s="974"/>
      <c r="AU48" s="1315">
        <f t="shared" ca="1" si="2"/>
        <v>2010</v>
      </c>
      <c r="AX48" s="1329"/>
    </row>
    <row r="49" spans="2:50" s="971" customFormat="1" ht="15" customHeight="1" thickBot="1" x14ac:dyDescent="0.35">
      <c r="B49" s="1353"/>
      <c r="C49" s="1189"/>
      <c r="D49" s="1236" t="s">
        <v>284</v>
      </c>
      <c r="E49" s="1237" t="s">
        <v>9</v>
      </c>
      <c r="F49" s="1104" t="s">
        <v>12</v>
      </c>
      <c r="G49" s="1104"/>
      <c r="H49" s="1371">
        <f>MC!R35</f>
        <v>0</v>
      </c>
      <c r="I49" s="1826" t="str">
        <f>IF(Q49&gt;0,CONCATENATE("Free Cover of Rs.",Q49,"/-"),"")</f>
        <v/>
      </c>
      <c r="J49" s="1827"/>
      <c r="K49" s="1827"/>
      <c r="L49" s="1229">
        <v>0</v>
      </c>
      <c r="M49" s="1301">
        <f>IF(AND($C$2="Yes",L49=1),N49,((H49*'Rates (2)'!K32%-R49)*U2*R15*Y2*Z2))*N3</f>
        <v>0</v>
      </c>
      <c r="N49" s="1367">
        <v>0</v>
      </c>
      <c r="O49" s="1374">
        <f>IF(H49&gt;='Rates (2)'!B36,1,0)</f>
        <v>0</v>
      </c>
      <c r="P49" s="1374"/>
      <c r="Q49" s="1233">
        <f>IF(T47=0,'Rates (2)'!C38,'Rates (2)'!B36)</f>
        <v>0</v>
      </c>
      <c r="R49" s="1233">
        <f>IF(H49&lt;=Q49,H49*'Rates (2)'!K32%,Q49*'Rates (2)'!K32%)</f>
        <v>0</v>
      </c>
      <c r="S49" s="1233"/>
      <c r="T49" s="1233"/>
      <c r="U49" s="974"/>
      <c r="Y49" s="971">
        <f>IF(Y48="Private Car Policy",0,1)</f>
        <v>1</v>
      </c>
      <c r="Z49" s="971">
        <f>IF(Y48="Motor Cycle Policy",0,1)</f>
        <v>0</v>
      </c>
      <c r="AU49" s="1315">
        <f t="shared" ca="1" si="2"/>
        <v>2011</v>
      </c>
      <c r="AX49" s="1329"/>
    </row>
    <row r="50" spans="2:50" s="971" customFormat="1" ht="15.75" customHeight="1" thickBot="1" x14ac:dyDescent="0.35">
      <c r="B50" s="1353"/>
      <c r="C50" s="1189"/>
      <c r="D50" s="1236" t="s">
        <v>284</v>
      </c>
      <c r="E50" s="1237" t="s">
        <v>9</v>
      </c>
      <c r="F50" s="1375" t="s">
        <v>112</v>
      </c>
      <c r="G50" s="1375"/>
      <c r="H50" s="1376">
        <v>0</v>
      </c>
      <c r="I50" s="1228" t="s">
        <v>21</v>
      </c>
      <c r="J50" s="1228"/>
      <c r="K50" s="1377"/>
      <c r="L50" s="1229">
        <v>0</v>
      </c>
      <c r="M50" s="1301">
        <f>IF(AND($C$2="Yes",L50=1),N50,(H50*R50*U2*R15*Y2))*N3</f>
        <v>0</v>
      </c>
      <c r="N50" s="1231">
        <v>0</v>
      </c>
      <c r="O50" s="1140">
        <f>IF(H50&gt;0,1,0)</f>
        <v>0</v>
      </c>
      <c r="P50" s="1140"/>
      <c r="Q50" s="971">
        <f>IF((O50+O51)&gt;0,1,0)</f>
        <v>0</v>
      </c>
      <c r="R50" s="1205">
        <f>IF(O57+Q57=1,'Rates (2)'!K23,'Rates (2)'!K24)</f>
        <v>600</v>
      </c>
      <c r="S50" s="1205"/>
      <c r="T50" s="1205"/>
      <c r="AU50" s="1315">
        <f t="shared" ca="1" si="2"/>
        <v>2012</v>
      </c>
      <c r="AX50" s="1329"/>
    </row>
    <row r="51" spans="2:50" s="971" customFormat="1" ht="1.5" customHeight="1" thickBot="1" x14ac:dyDescent="0.35">
      <c r="B51" s="1353"/>
      <c r="C51" s="1189"/>
      <c r="D51" s="1236" t="s">
        <v>284</v>
      </c>
      <c r="E51" s="1237" t="s">
        <v>9</v>
      </c>
      <c r="F51" s="1104" t="s">
        <v>20</v>
      </c>
      <c r="G51" s="1104"/>
      <c r="H51" s="1378">
        <v>0</v>
      </c>
      <c r="I51" s="1228" t="s">
        <v>22</v>
      </c>
      <c r="J51" s="1228"/>
      <c r="K51" s="1379"/>
      <c r="L51" s="1229">
        <v>0</v>
      </c>
      <c r="M51" s="1301">
        <f>IF(AND($C$2="Yes",L51=1),N51,(H51*'Rates (2)'!K25*U2*R15*Y2*Z49*Y49))*N3</f>
        <v>0</v>
      </c>
      <c r="N51" s="1231">
        <v>0</v>
      </c>
      <c r="O51" s="1140">
        <f>IF(H51&gt;0,1,0)</f>
        <v>0</v>
      </c>
      <c r="P51" s="1140"/>
      <c r="Q51" s="1161">
        <f>IF(OR(H50&gt;0,H51&gt;0),1,0)</f>
        <v>0</v>
      </c>
      <c r="R51" s="1205"/>
      <c r="S51" s="1205"/>
      <c r="T51" s="1205"/>
      <c r="U51" s="1205"/>
      <c r="V51" s="1205"/>
      <c r="AU51" s="1315">
        <f t="shared" ca="1" si="2"/>
        <v>2013</v>
      </c>
      <c r="AX51" s="1329"/>
    </row>
    <row r="52" spans="2:50" s="971" customFormat="1" ht="20.25" customHeight="1" thickBot="1" x14ac:dyDescent="0.35">
      <c r="B52" s="1380" t="str">
        <f>'Rates (2)'!M21</f>
        <v>Charge</v>
      </c>
      <c r="C52" s="1189"/>
      <c r="D52" s="1236" t="s">
        <v>284</v>
      </c>
      <c r="E52" s="1237" t="s">
        <v>9</v>
      </c>
      <c r="F52" s="1104" t="s">
        <v>449</v>
      </c>
      <c r="G52" s="1381">
        <v>1</v>
      </c>
      <c r="H52" s="1382">
        <v>7500</v>
      </c>
      <c r="I52" s="1828" t="str">
        <f>IF(AND(G52=0,K50&gt;0),"Enter Number of Air Bags",IF(AND(K50&gt;0,T47=0),"Not Applicable",IF(AND(Q52=0,T47=1,K50&gt;0),"Free Cover",IF(R52=0,"Free Cover - Front Seat Bags","Value of 2 Front Dashboard Airbgs"))))</f>
        <v>Value of 2 Front Dashboard Airbgs</v>
      </c>
      <c r="J52" s="1828"/>
      <c r="K52" s="1828"/>
      <c r="L52" s="1229">
        <v>1</v>
      </c>
      <c r="M52" s="1301">
        <v>0</v>
      </c>
      <c r="N52" s="1231">
        <v>0</v>
      </c>
      <c r="O52" s="1140">
        <f>IF(OR(O53=1,M53&gt;0),1,0)</f>
        <v>0</v>
      </c>
      <c r="P52" s="1140">
        <f>IF(G52&gt;0,1,0)</f>
        <v>1</v>
      </c>
      <c r="Q52" s="1161">
        <f>IF('Rates (2)'!M21="Free",0,1)</f>
        <v>1</v>
      </c>
      <c r="R52" s="1205">
        <f>IF(AND(H9='Administration (2)'!C20,S52=0),0,1)</f>
        <v>1</v>
      </c>
      <c r="S52" s="1205">
        <f>IF(OR(M8="Motor Car",M8="Jeep",M8="Dual Purpose"),0,1)</f>
        <v>1</v>
      </c>
      <c r="T52" s="1205"/>
      <c r="U52" s="1205"/>
      <c r="V52" s="1205"/>
      <c r="AU52" s="1315">
        <f t="shared" ca="1" si="2"/>
        <v>2014</v>
      </c>
      <c r="AW52" s="1149"/>
      <c r="AX52" s="1329"/>
    </row>
    <row r="53" spans="2:50" s="971" customFormat="1" ht="18" customHeight="1" thickBot="1" x14ac:dyDescent="0.35">
      <c r="B53" s="1383"/>
      <c r="C53" s="1189"/>
      <c r="D53" s="1236"/>
      <c r="E53" s="1384"/>
      <c r="F53" s="1104"/>
      <c r="G53" s="1385">
        <v>0</v>
      </c>
      <c r="H53" s="1386">
        <v>0</v>
      </c>
      <c r="I53" s="1387" t="str">
        <f>IF(AND(G53=0,H53&gt;0),"Enter Number of Air Bags",IF(AND(H53&gt;0,T47=0),"Not Applicable",IF(AND(Q52=0,T47=1,H53&gt;0),"Free Cover","Value of Rear Seat Airbags")))</f>
        <v>Value of Rear Seat Airbags</v>
      </c>
      <c r="J53" s="1388"/>
      <c r="K53" s="1388"/>
      <c r="L53" s="1229">
        <v>0</v>
      </c>
      <c r="M53" s="1301">
        <f>IF(AND($C$2="Yes",L53=1),N53*P53,(H53*'Rates (2)'!K21%*U2*T47/2*Q52*R15*Y2*P53))*N3</f>
        <v>0</v>
      </c>
      <c r="N53" s="1231">
        <v>0</v>
      </c>
      <c r="O53" s="1140">
        <f>IF(AND(G52&gt;0,K50&gt;1),1,0)</f>
        <v>0</v>
      </c>
      <c r="P53" s="1140">
        <f>IF(G53&gt;0,1,0)</f>
        <v>0</v>
      </c>
      <c r="Q53" s="1161">
        <f>IF(M53&gt;0,1,0)</f>
        <v>0</v>
      </c>
      <c r="R53" s="1205">
        <f>IF(AND(O53=1,Q53=1),G52+G53,IF(AND(O53=1,Q53=0),G52,IF(AND(O53=0,Q53=1),G53,0)))</f>
        <v>0</v>
      </c>
      <c r="S53" s="1205"/>
      <c r="T53" s="1205"/>
      <c r="U53" s="1205"/>
      <c r="V53" s="1205"/>
      <c r="AU53" s="1315">
        <f t="shared" ca="1" si="2"/>
        <v>2015</v>
      </c>
      <c r="AX53" s="974"/>
    </row>
    <row r="54" spans="2:50" s="971" customFormat="1" ht="16" customHeight="1" thickBot="1" x14ac:dyDescent="0.35">
      <c r="B54" s="1353"/>
      <c r="C54" s="1189"/>
      <c r="D54" s="1236" t="s">
        <v>284</v>
      </c>
      <c r="E54" s="1237" t="s">
        <v>9</v>
      </c>
      <c r="F54" s="1104" t="s">
        <v>8</v>
      </c>
      <c r="G54" s="1104"/>
      <c r="H54" s="1389">
        <v>0</v>
      </c>
      <c r="I54" s="1228" t="s">
        <v>111</v>
      </c>
      <c r="J54" s="1228"/>
      <c r="K54" s="982"/>
      <c r="L54" s="1229">
        <v>0</v>
      </c>
      <c r="M54" s="1301">
        <f>IF(AND($C$2="Yes",L54=1),N54,(H54*Q54*U2*R15*Y2))*N3</f>
        <v>0</v>
      </c>
      <c r="N54" s="1231">
        <v>0</v>
      </c>
      <c r="O54" s="1140">
        <f>IF(H54&gt;0,1,0)</f>
        <v>0</v>
      </c>
      <c r="P54" s="1140"/>
      <c r="Q54" s="1161">
        <f>IF(O57+Q57=1,'Rates (2)'!K34,IF(T47=0,'Rates (2)'!K35,'Rates (2)'!K36))</f>
        <v>200</v>
      </c>
      <c r="R54" s="1205"/>
      <c r="S54" s="1205"/>
      <c r="T54" s="1205"/>
      <c r="U54" s="1205"/>
      <c r="V54" s="1205"/>
      <c r="AU54" s="1315">
        <f t="shared" ca="1" si="2"/>
        <v>2016</v>
      </c>
      <c r="AX54" s="1329"/>
    </row>
    <row r="55" spans="2:50" s="971" customFormat="1" ht="15" customHeight="1" thickBot="1" x14ac:dyDescent="0.35">
      <c r="B55" s="1240" t="str">
        <f>IF(C55=1,"Yes","No")</f>
        <v>No</v>
      </c>
      <c r="C55" s="1366">
        <v>0</v>
      </c>
      <c r="D55" s="1236" t="s">
        <v>284</v>
      </c>
      <c r="E55" s="1237" t="s">
        <v>9</v>
      </c>
      <c r="F55" s="1390" t="s">
        <v>535</v>
      </c>
      <c r="G55" s="1104"/>
      <c r="H55" s="1228"/>
      <c r="I55" s="1228"/>
      <c r="J55" s="1228"/>
      <c r="K55" s="982"/>
      <c r="L55" s="1229">
        <v>0</v>
      </c>
      <c r="M55" s="1301">
        <v>3490</v>
      </c>
      <c r="N55" s="1391">
        <v>0</v>
      </c>
      <c r="O55" s="1166"/>
      <c r="P55" s="1166"/>
      <c r="Q55" s="1166">
        <f>IF(B55="Yes",1,0)</f>
        <v>0</v>
      </c>
      <c r="R55" s="1262"/>
      <c r="S55" s="1262"/>
      <c r="T55" s="1262"/>
      <c r="U55" s="1262"/>
      <c r="V55" s="1262"/>
      <c r="W55" s="1166"/>
      <c r="X55" s="1166"/>
      <c r="Y55" s="1166"/>
      <c r="Z55" s="1166"/>
      <c r="AA55" s="1166"/>
      <c r="AB55" s="1166"/>
      <c r="AC55" s="1166"/>
      <c r="AD55" s="1166"/>
      <c r="AE55" s="1166"/>
      <c r="AF55" s="1166"/>
      <c r="AG55" s="1166"/>
      <c r="AH55" s="1166"/>
      <c r="AI55" s="1166"/>
      <c r="AU55" s="1315">
        <f t="shared" ca="1" si="2"/>
        <v>2017</v>
      </c>
      <c r="AX55" s="1329"/>
    </row>
    <row r="56" spans="2:50" s="971" customFormat="1" ht="21.75" customHeight="1" thickBot="1" x14ac:dyDescent="0.35">
      <c r="B56" s="1240" t="str">
        <f>IF(C56=1,"Yes","No")</f>
        <v>No</v>
      </c>
      <c r="C56" s="1366">
        <v>0</v>
      </c>
      <c r="D56" s="1236" t="s">
        <v>284</v>
      </c>
      <c r="E56" s="1237" t="s">
        <v>9</v>
      </c>
      <c r="F56" s="1104" t="s">
        <v>133</v>
      </c>
      <c r="G56" s="1104"/>
      <c r="H56" s="1228"/>
      <c r="I56" s="1198" t="str">
        <f>IF(AND('Rates (2)'!D43="No",B56="Yes"),"Provided only for Private Cars","")</f>
        <v/>
      </c>
      <c r="J56" s="1198"/>
      <c r="K56" s="982"/>
      <c r="L56" s="1229">
        <v>0</v>
      </c>
      <c r="M56" s="1244">
        <f ca="1">IF(AND($C$2="Yes",L56=1),N56,(M19*O56*R56%*Q61))</f>
        <v>0</v>
      </c>
      <c r="N56" s="1391">
        <v>0</v>
      </c>
      <c r="O56" s="1166">
        <f>IF(OR(R57=2,R61=1),1,0)</f>
        <v>0</v>
      </c>
      <c r="P56" s="1166"/>
      <c r="Q56" s="1166">
        <f>IF(B56="Yes",1,0)</f>
        <v>0</v>
      </c>
      <c r="R56" s="1262">
        <f>IF(H35&lt;25,'Rates (2)'!K42,T56)</f>
        <v>5.25</v>
      </c>
      <c r="S56" s="1262"/>
      <c r="T56" s="1262">
        <f>IF(AND(H35&gt;=25,H35&lt;30),'Rates (2)'!K43,U56)</f>
        <v>5.25</v>
      </c>
      <c r="U56" s="1262">
        <f>IF(AND(H35&lt;38.33,H35&gt;=30),'Rates (2)'!K44,W56)</f>
        <v>4.5</v>
      </c>
      <c r="V56" s="1262"/>
      <c r="W56" s="1262">
        <f>IF(AND(H35&gt;=38.33,H35&lt;45),'Rates (2)'!K45,X56)</f>
        <v>4.5</v>
      </c>
      <c r="X56" s="1262">
        <f>IF(AND(H35&gt;=45,H35&lt;55),'Rates (2)'!K46,Y56)</f>
        <v>4.5</v>
      </c>
      <c r="Y56" s="1262">
        <f>IF(AND(H35&gt;=55,H35&lt;60),'Rates (2)'!K47,Z56)</f>
        <v>4.5</v>
      </c>
      <c r="Z56" s="1262">
        <f>IF(AND(H35&gt;=60,H35&lt;65),'Rates (2)'!K48,AA56)</f>
        <v>4.5</v>
      </c>
      <c r="AA56" s="1262">
        <f>IF(AND(H35&gt;=65,H35&lt;70),'Rates (2)'!K49,AB56)</f>
        <v>4.5</v>
      </c>
      <c r="AB56" s="1262">
        <f>IF(AND(H35&gt;=70,H35&lt;75),'Rates (2)'!K50,AC56)</f>
        <v>4.5</v>
      </c>
      <c r="AC56" s="1262">
        <f>IF(H35&gt;=75,'Rates (2)'!K51,AD56)</f>
        <v>4.5</v>
      </c>
      <c r="AD56" s="1166">
        <v>4.5</v>
      </c>
      <c r="AE56" s="1166"/>
      <c r="AF56" s="1166"/>
      <c r="AG56" s="1166"/>
      <c r="AH56" s="1166"/>
      <c r="AI56" s="1166"/>
      <c r="AU56" s="1315">
        <f t="shared" ca="1" si="2"/>
        <v>2018</v>
      </c>
      <c r="AX56" s="1329"/>
    </row>
    <row r="57" spans="2:50" s="971" customFormat="1" ht="18.75" hidden="1" customHeight="1" x14ac:dyDescent="0.3">
      <c r="B57" s="1353"/>
      <c r="C57" s="1189"/>
      <c r="D57" s="1152"/>
      <c r="E57" s="1392" t="s">
        <v>9</v>
      </c>
      <c r="F57" s="1049" t="str">
        <f>IF(AND(M8='Administration (2)'!C10,H9='Administration (2)'!C23,R15=1),"Unlimited Third Party Property Damage &amp; Passenger Liability Cover",".")</f>
        <v>.</v>
      </c>
      <c r="G57" s="1049"/>
      <c r="H57" s="1036"/>
      <c r="I57" s="1228"/>
      <c r="J57" s="1228"/>
      <c r="K57" s="982"/>
      <c r="L57" s="1229">
        <v>0</v>
      </c>
      <c r="M57" s="1301">
        <f>IF(AND($C$2="Yes",L57=1),N57,IF(AND(M8='Administration (2)'!C10,H9='Administration (2)'!C23),2000,0)*U2*R15)*N3</f>
        <v>0</v>
      </c>
      <c r="N57" s="1391">
        <v>0</v>
      </c>
      <c r="O57" s="1393">
        <f>IF(AND(M8='Administration (2)'!C7,H9='Administration (2)'!C20),1,0)</f>
        <v>0</v>
      </c>
      <c r="P57" s="1393"/>
      <c r="Q57" s="1393">
        <f>IF(AND(M8='Administration (2)'!C8,H9='Administration (2)'!C20),1,0)</f>
        <v>0</v>
      </c>
      <c r="R57" s="1394">
        <f>Q56+Q57+O57</f>
        <v>0</v>
      </c>
      <c r="S57" s="1394"/>
      <c r="T57" s="1393">
        <f>IF(AND(M8='Administration (2)'!C12,H9='Administration (2)'!C20),1,0)</f>
        <v>0</v>
      </c>
      <c r="U57" s="1262">
        <f>IF(O57+Q57=1,1,0)</f>
        <v>0</v>
      </c>
      <c r="V57" s="1262"/>
      <c r="W57" s="1166">
        <f>IF(AND(M8='Administration (2)'!C9,H9='Administration (2)'!C20),1,0)</f>
        <v>0</v>
      </c>
      <c r="X57" s="1059"/>
      <c r="Y57" s="1059"/>
      <c r="Z57" s="1059"/>
      <c r="AA57" s="1059"/>
      <c r="AB57" s="1166"/>
      <c r="AC57" s="1166"/>
      <c r="AD57" s="1166"/>
      <c r="AE57" s="1166"/>
      <c r="AF57" s="1166"/>
      <c r="AG57" s="1166"/>
      <c r="AH57" s="1166"/>
      <c r="AI57" s="1166"/>
      <c r="AU57" s="1315">
        <f t="shared" ca="1" si="2"/>
        <v>2019</v>
      </c>
      <c r="AX57" s="1329"/>
    </row>
    <row r="58" spans="2:50" s="971" customFormat="1" ht="20.25" hidden="1" customHeight="1" thickBot="1" x14ac:dyDescent="0.35">
      <c r="B58" s="1353"/>
      <c r="C58" s="1343">
        <v>0</v>
      </c>
      <c r="D58" s="1152"/>
      <c r="E58" s="1392" t="s">
        <v>9</v>
      </c>
      <c r="F58" s="1814"/>
      <c r="G58" s="1814"/>
      <c r="H58" s="1395" t="str">
        <f>IF(AND(C58=1,F58=""),"Enter Name of Cover","Additional Cover 1")</f>
        <v>Additional Cover 1</v>
      </c>
      <c r="I58" s="1228"/>
      <c r="J58" s="1228"/>
      <c r="K58" s="982"/>
      <c r="L58" s="1229">
        <v>0</v>
      </c>
      <c r="M58" s="1396">
        <f>IF(AND(C58=1,F58&lt;&gt;""),N58,0)</f>
        <v>0</v>
      </c>
      <c r="N58" s="1397">
        <v>0</v>
      </c>
      <c r="O58" s="1398">
        <f>IF(AND(C58=1,N58&lt;&gt;0,F58&lt;&gt;""),1,0)</f>
        <v>0</v>
      </c>
      <c r="P58" s="1398"/>
      <c r="Q58" s="1398"/>
      <c r="R58" s="1399"/>
      <c r="S58" s="1400"/>
      <c r="T58" s="1401"/>
      <c r="U58" s="1402"/>
      <c r="V58" s="1402"/>
      <c r="W58" s="972"/>
      <c r="X58" s="972"/>
      <c r="Y58" s="972"/>
      <c r="Z58" s="972"/>
      <c r="AA58" s="972"/>
      <c r="AB58" s="972"/>
      <c r="AC58" s="972"/>
      <c r="AD58" s="972"/>
      <c r="AE58" s="972"/>
      <c r="AF58" s="972"/>
      <c r="AG58" s="972"/>
      <c r="AH58" s="972"/>
      <c r="AI58" s="972"/>
      <c r="AJ58" s="972"/>
      <c r="AK58" s="972"/>
      <c r="AL58" s="972"/>
      <c r="AM58" s="972"/>
      <c r="AN58" s="972"/>
      <c r="AO58" s="972"/>
      <c r="AU58" s="1315">
        <f t="shared" ca="1" si="2"/>
        <v>2020</v>
      </c>
      <c r="AX58" s="1329"/>
    </row>
    <row r="59" spans="2:50" s="971" customFormat="1" ht="17.25" hidden="1" customHeight="1" thickBot="1" x14ac:dyDescent="0.35">
      <c r="B59" s="1353"/>
      <c r="C59" s="1343">
        <v>0</v>
      </c>
      <c r="D59" s="1152"/>
      <c r="E59" s="1392" t="s">
        <v>9</v>
      </c>
      <c r="F59" s="1814"/>
      <c r="G59" s="1814"/>
      <c r="H59" s="1395" t="str">
        <f>IF(AND(C59=1,F59=""),"Enter Name of Cover","Additional Cover 2")</f>
        <v>Additional Cover 2</v>
      </c>
      <c r="I59" s="1228"/>
      <c r="J59" s="1228"/>
      <c r="K59" s="982"/>
      <c r="L59" s="1229">
        <v>0</v>
      </c>
      <c r="M59" s="1396">
        <f>IF(AND(C59=1,F59&lt;&gt;""),N59,0)</f>
        <v>0</v>
      </c>
      <c r="N59" s="1397">
        <v>0</v>
      </c>
      <c r="O59" s="1398">
        <f>IF(AND(C59=1,N59&lt;&gt;0,F59&lt;&gt;""),1,0)</f>
        <v>0</v>
      </c>
      <c r="P59" s="1398"/>
      <c r="Q59" s="1398"/>
      <c r="R59" s="1399"/>
      <c r="S59" s="1400"/>
      <c r="T59" s="1401"/>
      <c r="U59" s="1402"/>
      <c r="V59" s="1402"/>
      <c r="W59" s="972"/>
      <c r="X59" s="972"/>
      <c r="Y59" s="972"/>
      <c r="Z59" s="972"/>
      <c r="AA59" s="972"/>
      <c r="AB59" s="972"/>
      <c r="AC59" s="972"/>
      <c r="AD59" s="972"/>
      <c r="AE59" s="972"/>
      <c r="AF59" s="972"/>
      <c r="AG59" s="972"/>
      <c r="AH59" s="972"/>
      <c r="AI59" s="972"/>
      <c r="AJ59" s="972"/>
      <c r="AK59" s="972"/>
      <c r="AL59" s="972"/>
      <c r="AM59" s="972"/>
      <c r="AN59" s="972"/>
      <c r="AO59" s="972"/>
      <c r="AU59" s="1315">
        <f t="shared" ca="1" si="2"/>
        <v>2021</v>
      </c>
      <c r="AX59" s="1329"/>
    </row>
    <row r="60" spans="2:50" s="971" customFormat="1" ht="18" hidden="1" customHeight="1" thickBot="1" x14ac:dyDescent="0.35">
      <c r="B60" s="1353"/>
      <c r="C60" s="1343">
        <v>0</v>
      </c>
      <c r="D60" s="1403"/>
      <c r="E60" s="1404" t="s">
        <v>9</v>
      </c>
      <c r="F60" s="1405" t="s">
        <v>169</v>
      </c>
      <c r="G60" s="1405"/>
      <c r="H60" s="1406"/>
      <c r="I60" s="1407"/>
      <c r="J60" s="1407"/>
      <c r="K60" s="1408"/>
      <c r="L60" s="1409"/>
      <c r="M60" s="1396">
        <f>IF(AND('MC Working'!H8="Three Wheeler",'MC Working'!B12="Above 5 yrs",'Rates (2)'!D81="Yes",C60=1,N60&gt;'Rates (2)'!F81,H13&lt;2009),N60,IF(AND('MC Working'!H8="Three Wheeler",'MC Working'!B12="Above 5 yrs",'Rates (2)'!D81="Yes",H13&lt;2009),'Rates (2)'!F81,IF(C60=1,N60,0)))</f>
        <v>0</v>
      </c>
      <c r="N60" s="1397">
        <v>0</v>
      </c>
      <c r="P60" s="1398"/>
      <c r="Q60" s="1398"/>
      <c r="R60" s="1399"/>
      <c r="S60" s="1400"/>
      <c r="T60" s="1401"/>
      <c r="U60" s="1402"/>
      <c r="V60" s="1402"/>
      <c r="W60" s="972"/>
      <c r="X60" s="972"/>
      <c r="Y60" s="972"/>
      <c r="Z60" s="972"/>
      <c r="AA60" s="972"/>
      <c r="AB60" s="972"/>
      <c r="AC60" s="972"/>
      <c r="AD60" s="972"/>
      <c r="AE60" s="972"/>
      <c r="AF60" s="972"/>
      <c r="AG60" s="972"/>
      <c r="AH60" s="972"/>
      <c r="AI60" s="972"/>
      <c r="AJ60" s="972"/>
      <c r="AK60" s="972"/>
      <c r="AL60" s="972"/>
      <c r="AM60" s="972"/>
      <c r="AN60" s="972"/>
      <c r="AO60" s="972"/>
      <c r="AU60" s="1315">
        <f t="shared" ca="1" si="2"/>
        <v>2022</v>
      </c>
      <c r="AX60" s="1329"/>
    </row>
    <row r="61" spans="2:50" s="971" customFormat="1" ht="19.5" customHeight="1" x14ac:dyDescent="0.3">
      <c r="B61" s="1353"/>
      <c r="C61" s="1189"/>
      <c r="D61" s="1152"/>
      <c r="E61" s="1829"/>
      <c r="F61" s="1830"/>
      <c r="G61" s="982"/>
      <c r="H61" s="1410" t="s">
        <v>10</v>
      </c>
      <c r="I61" s="983"/>
      <c r="J61" s="1410"/>
      <c r="K61" s="1411"/>
      <c r="L61" s="1412"/>
      <c r="M61" s="1413">
        <f ca="1">SUM(M38:M60)*C69*U2</f>
        <v>0</v>
      </c>
      <c r="N61" s="1414"/>
      <c r="O61" s="1415">
        <f ca="1">M61-M40-M42-M41-M43</f>
        <v>-1100</v>
      </c>
      <c r="P61" s="1415"/>
      <c r="Q61" s="1161">
        <f>IF('Rates (2)'!D45="Yes",0,1)</f>
        <v>1</v>
      </c>
      <c r="R61" s="1205">
        <f>IF(AND('Rates (2)'!D43="Yes",B56="Yes"),1,0)</f>
        <v>0</v>
      </c>
      <c r="S61" s="1402"/>
      <c r="T61" s="1402"/>
      <c r="U61" s="1402"/>
      <c r="V61" s="1402"/>
      <c r="W61" s="972"/>
      <c r="X61" s="972"/>
      <c r="Y61" s="972"/>
      <c r="Z61" s="972"/>
      <c r="AA61" s="972"/>
      <c r="AB61" s="972"/>
      <c r="AC61" s="972"/>
      <c r="AD61" s="972"/>
      <c r="AE61" s="972"/>
      <c r="AF61" s="972"/>
      <c r="AG61" s="972"/>
      <c r="AH61" s="972"/>
      <c r="AI61" s="972"/>
      <c r="AJ61" s="972"/>
      <c r="AK61" s="972"/>
      <c r="AL61" s="972"/>
      <c r="AM61" s="972"/>
      <c r="AN61" s="972"/>
      <c r="AO61" s="972"/>
      <c r="AU61" s="1315">
        <f t="shared" ca="1" si="2"/>
        <v>2023</v>
      </c>
      <c r="AX61" s="1329"/>
    </row>
    <row r="62" spans="2:50" s="971" customFormat="1" ht="15.75" customHeight="1" x14ac:dyDescent="0.3">
      <c r="B62" s="1353"/>
      <c r="C62" s="1189"/>
      <c r="D62" s="1152"/>
      <c r="E62" s="1829"/>
      <c r="F62" s="1830"/>
      <c r="G62" s="982"/>
      <c r="H62" s="1098" t="s">
        <v>134</v>
      </c>
      <c r="I62" s="983"/>
      <c r="J62" s="1098"/>
      <c r="K62" s="1416">
        <f>'Rates (2)'!D19</f>
        <v>2.5</v>
      </c>
      <c r="L62" s="1417" t="s">
        <v>56</v>
      </c>
      <c r="M62" s="1418">
        <f ca="1">M61*'Rates (2)'!D19%</f>
        <v>0</v>
      </c>
      <c r="N62" s="1419"/>
      <c r="Q62" s="1161"/>
      <c r="R62" s="1205"/>
      <c r="S62" s="1205"/>
      <c r="T62" s="1205"/>
      <c r="U62" s="1328">
        <f>O57+Q57+W57</f>
        <v>0</v>
      </c>
      <c r="V62" s="1328"/>
      <c r="AM62" s="1149"/>
      <c r="AU62" s="1315">
        <f t="shared" ca="1" si="2"/>
        <v>2024</v>
      </c>
      <c r="AX62" s="1329"/>
    </row>
    <row r="63" spans="2:50" s="971" customFormat="1" ht="15.75" hidden="1" customHeight="1" x14ac:dyDescent="0.35">
      <c r="B63" s="1353"/>
      <c r="C63" s="1189"/>
      <c r="D63" s="1152"/>
      <c r="E63" s="1829"/>
      <c r="F63" s="1830"/>
      <c r="G63" s="982"/>
      <c r="H63" s="985"/>
      <c r="I63" s="983"/>
      <c r="J63" s="985"/>
      <c r="K63" s="982"/>
      <c r="L63" s="1412"/>
      <c r="M63" s="1301"/>
      <c r="N63" s="1419"/>
      <c r="O63" s="1140"/>
      <c r="P63" s="1140"/>
      <c r="Q63" s="1161"/>
      <c r="R63" s="1205"/>
      <c r="S63" s="1205"/>
      <c r="T63" s="1205"/>
      <c r="U63" s="1205"/>
      <c r="V63" s="1205"/>
      <c r="AM63" s="1149"/>
      <c r="AU63" s="1315" t="str">
        <f t="shared" ca="1" si="2"/>
        <v/>
      </c>
      <c r="AX63" s="1329"/>
    </row>
    <row r="64" spans="2:50" s="971" customFormat="1" ht="15.75" customHeight="1" x14ac:dyDescent="0.3">
      <c r="B64" s="1353"/>
      <c r="C64" s="1189"/>
      <c r="D64" s="1152"/>
      <c r="E64" s="1829"/>
      <c r="F64" s="1830"/>
      <c r="G64" s="982"/>
      <c r="H64" s="1098" t="s">
        <v>173</v>
      </c>
      <c r="I64" s="983"/>
      <c r="J64" s="1098"/>
      <c r="K64" s="1416">
        <f>'Rates (2)'!G20</f>
        <v>0</v>
      </c>
      <c r="L64" s="1417" t="s">
        <v>56</v>
      </c>
      <c r="M64" s="1301">
        <f ca="1">M61*'Rates (2)'!G20%</f>
        <v>0</v>
      </c>
      <c r="N64" s="1419"/>
      <c r="O64" s="1140"/>
      <c r="P64" s="1140"/>
      <c r="Q64" s="1161"/>
      <c r="R64" s="1420">
        <v>1</v>
      </c>
      <c r="S64" s="1205"/>
      <c r="T64" s="1205"/>
      <c r="U64" s="1205"/>
      <c r="V64" s="1205"/>
      <c r="AM64" s="1149"/>
      <c r="AU64" s="1315" t="str">
        <f t="shared" ca="1" si="2"/>
        <v/>
      </c>
      <c r="AX64" s="1329"/>
    </row>
    <row r="65" spans="1:52" s="971" customFormat="1" ht="15.5" thickBot="1" x14ac:dyDescent="0.35">
      <c r="B65" s="1353"/>
      <c r="C65" s="1189"/>
      <c r="D65" s="1152"/>
      <c r="E65" s="1829"/>
      <c r="F65" s="1830"/>
      <c r="G65" s="982"/>
      <c r="H65" s="1098" t="s">
        <v>1</v>
      </c>
      <c r="I65" s="983"/>
      <c r="J65" s="1098"/>
      <c r="K65" s="1416">
        <f>'Rates (2)'!D21</f>
        <v>8</v>
      </c>
      <c r="L65" s="1417" t="s">
        <v>56</v>
      </c>
      <c r="M65" s="1301">
        <f ca="1">SUM(M61:M64)*'Rates (2)'!D21%</f>
        <v>0</v>
      </c>
      <c r="N65" s="1419"/>
      <c r="O65" s="1140"/>
      <c r="P65" s="1140"/>
      <c r="Q65" s="971">
        <f>IF(AND(M8='Administration (2)'!C10,H9='Administration (2)'!C23),0,1)</f>
        <v>1</v>
      </c>
      <c r="R65" s="1399"/>
      <c r="S65" s="1399"/>
      <c r="W65" s="1421"/>
      <c r="AM65" s="1149"/>
      <c r="AU65" s="1315" t="str">
        <f t="shared" ca="1" si="2"/>
        <v/>
      </c>
      <c r="AX65" s="1329"/>
    </row>
    <row r="66" spans="1:52" s="971" customFormat="1" ht="25.5" customHeight="1" thickTop="1" thickBot="1" x14ac:dyDescent="0.35">
      <c r="B66" s="1353"/>
      <c r="C66" s="1422">
        <f>'Administration (2)'!I3</f>
        <v>45046</v>
      </c>
      <c r="D66" s="1152"/>
      <c r="E66" s="1831"/>
      <c r="F66" s="1832"/>
      <c r="G66" s="982"/>
      <c r="H66" s="1410" t="s">
        <v>381</v>
      </c>
      <c r="I66" s="983"/>
      <c r="J66" s="1410"/>
      <c r="K66" s="982"/>
      <c r="L66" s="1412"/>
      <c r="M66" s="1423">
        <f ca="1">SUM(M61:M65)*C69*U2</f>
        <v>0</v>
      </c>
      <c r="N66" s="1587" t="str">
        <f>IF($Y$48="Private Car Policy",HYPERLINK("[Standard Motor Quotation 2013.xls]Private_Car!I20","Click to Print"),IF($Y$48="Motor Cycle Policy",HYPERLINK("[Standard Motor Quotation 2013.xls]Motor_Cycle!I20","Click to Print"),HYPERLINK("[Standard Motor Quotation 2013.xls]Commercial_Vehicle!I20","Click to Print")))</f>
        <v>Click to Print</v>
      </c>
      <c r="O66" s="1588"/>
      <c r="P66" s="1424"/>
      <c r="Q66" s="1144"/>
      <c r="AM66" s="1149"/>
      <c r="AU66" s="1315" t="str">
        <f t="shared" ca="1" si="2"/>
        <v/>
      </c>
      <c r="AX66" s="1329"/>
    </row>
    <row r="67" spans="1:52" s="971" customFormat="1" ht="12.75" hidden="1" customHeight="1" x14ac:dyDescent="0.25">
      <c r="B67" s="1353"/>
      <c r="C67" s="1144"/>
      <c r="D67" s="1152"/>
      <c r="E67" s="1425"/>
      <c r="F67" s="1425"/>
      <c r="G67" s="1425"/>
      <c r="H67" s="1425"/>
      <c r="I67" s="1425"/>
      <c r="J67" s="1425"/>
      <c r="K67" s="1425"/>
      <c r="L67" s="1425"/>
      <c r="M67" s="1426"/>
      <c r="N67" s="210"/>
      <c r="O67" s="211"/>
      <c r="P67" s="226"/>
      <c r="AM67" s="1149"/>
      <c r="AU67" s="1315" t="str">
        <f t="shared" ca="1" si="2"/>
        <v/>
      </c>
      <c r="AX67" s="1329"/>
    </row>
    <row r="68" spans="1:52" s="971" customFormat="1" ht="12.75" hidden="1" customHeight="1" x14ac:dyDescent="0.3">
      <c r="B68" s="1353"/>
      <c r="C68" s="1144"/>
      <c r="D68" s="1152"/>
      <c r="E68" s="1425"/>
      <c r="F68" s="1425"/>
      <c r="G68" s="1425"/>
      <c r="H68" s="1425"/>
      <c r="I68" s="1425"/>
      <c r="J68" s="1425"/>
      <c r="K68" s="1425"/>
      <c r="L68" s="1425"/>
      <c r="M68" s="1426"/>
      <c r="N68" s="1427"/>
      <c r="O68" s="1428"/>
      <c r="P68" s="1429"/>
      <c r="AM68" s="1149"/>
      <c r="AU68" s="1315" t="str">
        <f t="shared" ca="1" si="2"/>
        <v/>
      </c>
      <c r="AX68" s="1329"/>
    </row>
    <row r="69" spans="1:52" s="971" customFormat="1" ht="15.75" customHeight="1" thickTop="1" x14ac:dyDescent="0.45">
      <c r="B69" s="1353"/>
      <c r="C69" s="1144">
        <f ca="1">IF(C66&gt;F69,1,0)</f>
        <v>0</v>
      </c>
      <c r="D69" s="1152"/>
      <c r="E69" s="1425"/>
      <c r="F69" s="1430">
        <f ca="1">TODAY()</f>
        <v>45346</v>
      </c>
      <c r="G69" s="1430"/>
      <c r="H69" s="1425"/>
      <c r="I69" s="1425"/>
      <c r="J69" s="1425"/>
      <c r="K69" s="1425"/>
      <c r="L69" s="1425"/>
      <c r="M69" s="1583"/>
      <c r="N69" s="690"/>
      <c r="O69" s="1431"/>
      <c r="P69" s="1432"/>
      <c r="Q69" s="1144"/>
      <c r="AM69" s="1149"/>
      <c r="AU69" s="1315" t="str">
        <f t="shared" ca="1" si="2"/>
        <v/>
      </c>
      <c r="AX69" s="1329"/>
    </row>
    <row r="70" spans="1:52" s="971" customFormat="1" ht="6.75" customHeight="1" x14ac:dyDescent="0.45">
      <c r="B70" s="1353"/>
      <c r="C70" s="1189"/>
      <c r="D70" s="1152"/>
      <c r="E70" s="1136"/>
      <c r="F70" s="1833" t="str">
        <f>IF(O70=1,"Hiring",IF(O70=3,"Rent A Vehicle",IF(O70=0,"Private")))</f>
        <v>Private</v>
      </c>
      <c r="G70" s="1833"/>
      <c r="H70" s="1833"/>
      <c r="I70" s="1136"/>
      <c r="J70" s="1136"/>
      <c r="K70" s="1136"/>
      <c r="L70" s="1136"/>
      <c r="M70" s="1583"/>
      <c r="N70" s="690"/>
      <c r="O70" s="1140">
        <f>Q45+Q44</f>
        <v>0</v>
      </c>
      <c r="P70" s="1140"/>
      <c r="Q70" s="971" t="s">
        <v>41</v>
      </c>
      <c r="R70" s="971" t="s">
        <v>7</v>
      </c>
      <c r="T70" s="971" t="s">
        <v>45</v>
      </c>
      <c r="AM70" s="1149"/>
      <c r="AU70" s="1315" t="str">
        <f t="shared" ca="1" si="2"/>
        <v/>
      </c>
      <c r="AX70" s="1329"/>
    </row>
    <row r="71" spans="1:52" s="971" customFormat="1" ht="13.5" customHeight="1" thickBot="1" x14ac:dyDescent="0.35">
      <c r="B71" s="1353"/>
      <c r="C71" s="1189"/>
      <c r="D71" s="1433"/>
      <c r="E71" s="1434"/>
      <c r="F71" s="1834"/>
      <c r="G71" s="1834"/>
      <c r="H71" s="1834"/>
      <c r="I71" s="1434"/>
      <c r="J71" s="1434"/>
      <c r="K71" s="1434"/>
      <c r="L71" s="1434"/>
      <c r="M71" s="1435"/>
      <c r="N71" s="1436"/>
      <c r="O71" s="1437"/>
      <c r="P71" s="1429"/>
      <c r="AM71" s="1149"/>
      <c r="AU71" s="1315" t="str">
        <f t="shared" ca="1" si="2"/>
        <v/>
      </c>
      <c r="AX71" s="1329"/>
    </row>
    <row r="72" spans="1:52" s="1440" customFormat="1" ht="14.5" hidden="1" thickTop="1" x14ac:dyDescent="0.3">
      <c r="A72" s="1149"/>
      <c r="B72" s="1438"/>
      <c r="C72" s="1149"/>
      <c r="D72" s="1439" t="s">
        <v>15</v>
      </c>
      <c r="E72" s="1149"/>
      <c r="F72" s="1291"/>
      <c r="G72" s="1291"/>
      <c r="H72" s="1291"/>
      <c r="I72" s="1291"/>
      <c r="J72" s="1291"/>
      <c r="K72" s="1291"/>
      <c r="L72" s="1149"/>
      <c r="M72" s="1149"/>
      <c r="N72" s="972"/>
      <c r="O72" s="1437"/>
      <c r="P72" s="1429"/>
      <c r="Q72" s="971"/>
      <c r="R72" s="971"/>
      <c r="S72" s="971"/>
      <c r="T72" s="971"/>
      <c r="U72" s="971"/>
      <c r="V72" s="971"/>
      <c r="W72" s="971"/>
      <c r="X72" s="971"/>
      <c r="Y72" s="971"/>
      <c r="Z72" s="971"/>
      <c r="AA72" s="971"/>
      <c r="AB72" s="971"/>
      <c r="AC72" s="971"/>
      <c r="AD72" s="971"/>
      <c r="AE72" s="971"/>
      <c r="AF72" s="971"/>
      <c r="AG72" s="971"/>
      <c r="AH72" s="971"/>
      <c r="AI72" s="971"/>
      <c r="AJ72" s="971"/>
      <c r="AK72" s="971"/>
      <c r="AL72" s="971"/>
      <c r="AM72" s="1149"/>
      <c r="AN72" s="971"/>
      <c r="AO72" s="971"/>
      <c r="AP72" s="971"/>
      <c r="AQ72" s="971"/>
      <c r="AR72" s="971"/>
      <c r="AS72" s="971"/>
      <c r="AT72" s="971"/>
      <c r="AU72" s="1315" t="str">
        <f t="shared" ca="1" si="2"/>
        <v/>
      </c>
      <c r="AV72" s="971"/>
      <c r="AW72" s="971"/>
      <c r="AX72" s="1329"/>
      <c r="AY72" s="971"/>
      <c r="AZ72" s="971"/>
    </row>
    <row r="73" spans="1:52" s="1440" customFormat="1" ht="22.5" hidden="1" customHeight="1" x14ac:dyDescent="0.25">
      <c r="A73" s="1149"/>
      <c r="B73" s="1441"/>
      <c r="C73" s="1149"/>
      <c r="D73" s="971"/>
      <c r="E73" s="971"/>
      <c r="F73" s="971"/>
      <c r="G73" s="971"/>
      <c r="H73" s="971"/>
      <c r="I73" s="971"/>
      <c r="J73" s="971"/>
      <c r="K73" s="971"/>
      <c r="L73" s="971"/>
      <c r="M73" s="1315"/>
      <c r="N73" s="1315"/>
      <c r="O73" s="1315"/>
      <c r="P73" s="1315"/>
      <c r="Q73" s="1315"/>
      <c r="R73" s="1315"/>
      <c r="S73" s="1315"/>
      <c r="T73" s="1315"/>
      <c r="U73" s="971"/>
      <c r="V73" s="971"/>
      <c r="W73" s="971"/>
      <c r="X73" s="971"/>
      <c r="Y73" s="971"/>
      <c r="Z73" s="971"/>
      <c r="AA73" s="971"/>
      <c r="AB73" s="971"/>
      <c r="AC73" s="971"/>
      <c r="AD73" s="971"/>
      <c r="AE73" s="971"/>
      <c r="AF73" s="971"/>
      <c r="AG73" s="971"/>
      <c r="AH73" s="971"/>
      <c r="AI73" s="971"/>
      <c r="AJ73" s="971"/>
      <c r="AK73" s="971"/>
      <c r="AL73" s="971"/>
      <c r="AM73" s="1149"/>
      <c r="AN73" s="971"/>
      <c r="AO73" s="971"/>
      <c r="AP73" s="971"/>
      <c r="AQ73" s="971"/>
      <c r="AR73" s="971"/>
      <c r="AS73" s="971"/>
      <c r="AT73" s="971"/>
      <c r="AU73" s="1315" t="str">
        <f t="shared" ca="1" si="2"/>
        <v/>
      </c>
      <c r="AV73" s="971"/>
      <c r="AW73" s="971"/>
      <c r="AY73" s="971"/>
      <c r="AZ73" s="971"/>
    </row>
    <row r="74" spans="1:52" s="1440" customFormat="1" ht="14.5" hidden="1" thickTop="1" x14ac:dyDescent="0.3">
      <c r="A74" s="1149"/>
      <c r="B74" s="1441"/>
      <c r="C74" s="1149"/>
      <c r="D74" s="971" t="s">
        <v>78</v>
      </c>
      <c r="E74" s="971" t="s">
        <v>78</v>
      </c>
      <c r="F74" s="971"/>
      <c r="G74" s="971"/>
      <c r="H74" s="971"/>
      <c r="I74" s="971"/>
      <c r="J74" s="971"/>
      <c r="K74" s="971"/>
      <c r="L74" s="971"/>
      <c r="M74" s="1315"/>
      <c r="N74" s="1315"/>
      <c r="O74" s="1315"/>
      <c r="P74" s="1315"/>
      <c r="Q74" s="1315"/>
      <c r="R74" s="1315"/>
      <c r="S74" s="1315"/>
      <c r="T74" s="1315"/>
      <c r="U74" s="971"/>
      <c r="V74" s="971"/>
      <c r="W74" s="971"/>
      <c r="X74" s="971"/>
      <c r="Y74" s="971"/>
      <c r="Z74" s="971"/>
      <c r="AA74" s="971"/>
      <c r="AB74" s="971"/>
      <c r="AC74" s="971"/>
      <c r="AD74" s="971"/>
      <c r="AE74" s="971"/>
      <c r="AF74" s="971"/>
      <c r="AG74" s="971"/>
      <c r="AH74" s="971"/>
      <c r="AI74" s="971"/>
      <c r="AJ74" s="971"/>
      <c r="AK74" s="971"/>
      <c r="AL74" s="971"/>
      <c r="AM74" s="1149"/>
      <c r="AN74" s="971"/>
      <c r="AO74" s="971"/>
      <c r="AP74" s="971"/>
      <c r="AQ74" s="971"/>
      <c r="AR74" s="971"/>
      <c r="AS74" s="971"/>
      <c r="AT74" s="971"/>
      <c r="AU74" s="1315" t="str">
        <f t="shared" ca="1" si="2"/>
        <v/>
      </c>
      <c r="AV74" s="971"/>
      <c r="AW74" s="971"/>
      <c r="AX74" s="1442"/>
      <c r="AY74" s="971"/>
      <c r="AZ74" s="971"/>
    </row>
    <row r="75" spans="1:52" s="1440" customFormat="1" ht="14.5" hidden="1" thickTop="1" x14ac:dyDescent="0.3">
      <c r="A75" s="1149"/>
      <c r="B75" s="1441"/>
      <c r="C75" s="1149"/>
      <c r="D75" s="971" t="s">
        <v>114</v>
      </c>
      <c r="E75" s="971" t="s">
        <v>114</v>
      </c>
      <c r="F75" s="971"/>
      <c r="G75" s="971"/>
      <c r="H75" s="971"/>
      <c r="I75" s="971"/>
      <c r="J75" s="971"/>
      <c r="K75" s="971"/>
      <c r="L75" s="971"/>
      <c r="M75" s="1315"/>
      <c r="N75" s="1166"/>
      <c r="O75" s="1166"/>
      <c r="P75" s="1166"/>
      <c r="Q75" s="1166"/>
      <c r="R75" s="1166"/>
      <c r="S75" s="1166"/>
      <c r="T75" s="1166"/>
      <c r="U75" s="971"/>
      <c r="V75" s="971"/>
      <c r="W75" s="971"/>
      <c r="X75" s="971"/>
      <c r="Y75" s="971"/>
      <c r="Z75" s="971"/>
      <c r="AA75" s="971"/>
      <c r="AB75" s="971"/>
      <c r="AC75" s="971"/>
      <c r="AD75" s="971"/>
      <c r="AE75" s="971"/>
      <c r="AF75" s="971"/>
      <c r="AG75" s="971"/>
      <c r="AH75" s="971"/>
      <c r="AI75" s="971"/>
      <c r="AJ75" s="971"/>
      <c r="AK75" s="971"/>
      <c r="AL75" s="971"/>
      <c r="AM75" s="1149"/>
      <c r="AN75" s="971"/>
      <c r="AO75" s="971"/>
      <c r="AP75" s="971"/>
      <c r="AQ75" s="971"/>
      <c r="AR75" s="971"/>
      <c r="AS75" s="971"/>
      <c r="AT75" s="971"/>
      <c r="AU75" s="1315" t="str">
        <f t="shared" ca="1" si="2"/>
        <v/>
      </c>
      <c r="AV75" s="971"/>
      <c r="AW75" s="971"/>
      <c r="AX75" s="1442"/>
      <c r="AY75" s="971"/>
      <c r="AZ75" s="971"/>
    </row>
    <row r="76" spans="1:52" s="1440" customFormat="1" ht="14.5" hidden="1" thickTop="1" x14ac:dyDescent="0.3">
      <c r="A76" s="1149"/>
      <c r="B76" s="1441"/>
      <c r="C76" s="1149"/>
      <c r="D76" s="971">
        <v>1</v>
      </c>
      <c r="E76" s="971"/>
      <c r="F76" s="971"/>
      <c r="G76" s="971"/>
      <c r="H76" s="971"/>
      <c r="I76" s="971"/>
      <c r="J76" s="971"/>
      <c r="K76" s="971"/>
      <c r="L76" s="971"/>
      <c r="M76" s="1315"/>
      <c r="N76" s="1166"/>
      <c r="O76" s="1443" t="s">
        <v>223</v>
      </c>
      <c r="P76" s="1166"/>
      <c r="Q76" s="1166"/>
      <c r="R76" s="1166"/>
      <c r="S76" s="1166"/>
      <c r="T76" s="1166"/>
      <c r="U76" s="971"/>
      <c r="V76" s="971"/>
      <c r="W76" s="971"/>
      <c r="X76" s="971"/>
      <c r="Y76" s="971"/>
      <c r="Z76" s="971"/>
      <c r="AA76" s="971"/>
      <c r="AB76" s="971"/>
      <c r="AC76" s="971"/>
      <c r="AD76" s="971"/>
      <c r="AE76" s="971"/>
      <c r="AF76" s="971"/>
      <c r="AG76" s="971"/>
      <c r="AH76" s="971"/>
      <c r="AI76" s="971"/>
      <c r="AJ76" s="971"/>
      <c r="AK76" s="971"/>
      <c r="AL76" s="971"/>
      <c r="AM76" s="1149"/>
      <c r="AN76" s="971"/>
      <c r="AO76" s="971"/>
      <c r="AP76" s="971"/>
      <c r="AQ76" s="971"/>
      <c r="AR76" s="971"/>
      <c r="AS76" s="971"/>
      <c r="AT76" s="971"/>
      <c r="AU76" s="1315" t="str">
        <f t="shared" ca="1" si="2"/>
        <v/>
      </c>
      <c r="AV76" s="971"/>
      <c r="AW76" s="971"/>
      <c r="AX76" s="1442"/>
      <c r="AY76" s="971"/>
      <c r="AZ76" s="971"/>
    </row>
    <row r="77" spans="1:52" s="1440" customFormat="1" ht="25.5" hidden="1" customHeight="1" x14ac:dyDescent="0.3">
      <c r="A77" s="1149"/>
      <c r="B77" s="1441"/>
      <c r="C77" s="1149"/>
      <c r="D77" s="971" t="s">
        <v>78</v>
      </c>
      <c r="E77" s="971" t="s">
        <v>78</v>
      </c>
      <c r="F77" s="971"/>
      <c r="G77" s="971"/>
      <c r="H77" s="971"/>
      <c r="I77" s="971"/>
      <c r="J77" s="971"/>
      <c r="K77" s="971"/>
      <c r="L77" s="971"/>
      <c r="M77" s="1315"/>
      <c r="N77" s="1166"/>
      <c r="O77" s="1166" t="s">
        <v>224</v>
      </c>
      <c r="P77" s="1166"/>
      <c r="Q77" s="1166"/>
      <c r="R77" s="1166">
        <f ca="1">IF(AND(Y15&gt;10,Y15&lt;15),'Rates (2)'!K59,IF(AND(Y15&gt;=15,Y15&lt;20),'Rates (2)'!K60,IF(Y15&lt;11,0,'MC Working'!I20)))</f>
        <v>0</v>
      </c>
      <c r="S77" s="1166"/>
      <c r="T77" s="1166"/>
      <c r="U77" s="971"/>
      <c r="V77" s="971"/>
      <c r="W77" s="971"/>
      <c r="X77" s="971"/>
      <c r="Y77" s="971"/>
      <c r="Z77" s="971"/>
      <c r="AA77" s="971"/>
      <c r="AB77" s="971"/>
      <c r="AC77" s="971"/>
      <c r="AD77" s="971"/>
      <c r="AE77" s="971"/>
      <c r="AF77" s="971"/>
      <c r="AG77" s="971"/>
      <c r="AH77" s="971"/>
      <c r="AI77" s="971"/>
      <c r="AJ77" s="971"/>
      <c r="AK77" s="971"/>
      <c r="AL77" s="971"/>
      <c r="AM77" s="1149"/>
      <c r="AN77" s="971"/>
      <c r="AO77" s="971"/>
      <c r="AP77" s="971"/>
      <c r="AQ77" s="971"/>
      <c r="AR77" s="971"/>
      <c r="AS77" s="971"/>
      <c r="AT77" s="971"/>
      <c r="AU77" s="1315" t="str">
        <f t="shared" ca="1" si="2"/>
        <v/>
      </c>
      <c r="AV77" s="971"/>
      <c r="AW77" s="971"/>
      <c r="AX77" s="1442"/>
      <c r="AY77" s="971"/>
      <c r="AZ77" s="971"/>
    </row>
    <row r="78" spans="1:52" s="1440" customFormat="1" ht="14.5" hidden="1" thickTop="1" x14ac:dyDescent="0.3">
      <c r="A78" s="1149"/>
      <c r="B78" s="1441"/>
      <c r="C78" s="1149"/>
      <c r="D78" s="971" t="s">
        <v>114</v>
      </c>
      <c r="E78" s="971" t="s">
        <v>114</v>
      </c>
      <c r="F78" s="971"/>
      <c r="G78" s="971"/>
      <c r="H78" s="971"/>
      <c r="I78" s="971"/>
      <c r="J78" s="971"/>
      <c r="K78" s="971"/>
      <c r="L78" s="971"/>
      <c r="M78" s="1315"/>
      <c r="N78" s="1166"/>
      <c r="O78" s="1166" t="s">
        <v>41</v>
      </c>
      <c r="P78" s="1166"/>
      <c r="Q78" s="1166"/>
      <c r="R78" s="1166">
        <f>IF(OR(H9='Administration (2)'!C21,'MC Working'!H9='Administration (2)'!C22),'Rates (2)'!K61,0)</f>
        <v>0</v>
      </c>
      <c r="S78" s="1166"/>
      <c r="T78" s="1166"/>
      <c r="U78" s="971"/>
      <c r="V78" s="971"/>
      <c r="W78" s="971"/>
      <c r="X78" s="971"/>
      <c r="Y78" s="971"/>
      <c r="Z78" s="971"/>
      <c r="AA78" s="971"/>
      <c r="AB78" s="971"/>
      <c r="AC78" s="971"/>
      <c r="AD78" s="971"/>
      <c r="AE78" s="971"/>
      <c r="AF78" s="971"/>
      <c r="AG78" s="971"/>
      <c r="AH78" s="971"/>
      <c r="AI78" s="971"/>
      <c r="AJ78" s="971"/>
      <c r="AK78" s="971"/>
      <c r="AL78" s="971"/>
      <c r="AM78" s="1149"/>
      <c r="AN78" s="971"/>
      <c r="AO78" s="971"/>
      <c r="AP78" s="971"/>
      <c r="AQ78" s="971"/>
      <c r="AR78" s="971"/>
      <c r="AS78" s="971"/>
      <c r="AT78" s="971"/>
      <c r="AU78" s="1315" t="str">
        <f t="shared" ca="1" si="2"/>
        <v/>
      </c>
      <c r="AV78" s="971"/>
      <c r="AW78" s="971"/>
      <c r="AX78" s="1442"/>
      <c r="AY78" s="971"/>
      <c r="AZ78" s="971"/>
    </row>
    <row r="79" spans="1:52" s="1440" customFormat="1" ht="14.5" hidden="1" thickTop="1" x14ac:dyDescent="0.3">
      <c r="A79" s="1149"/>
      <c r="B79" s="1441"/>
      <c r="C79" s="1149"/>
      <c r="D79" s="971"/>
      <c r="E79" s="971"/>
      <c r="F79" s="971"/>
      <c r="G79" s="971"/>
      <c r="H79" s="971"/>
      <c r="I79" s="971"/>
      <c r="J79" s="971"/>
      <c r="K79" s="971"/>
      <c r="L79" s="971"/>
      <c r="M79" s="1315"/>
      <c r="N79" s="1166"/>
      <c r="O79" s="1166" t="s">
        <v>42</v>
      </c>
      <c r="P79" s="1166"/>
      <c r="Q79" s="1166"/>
      <c r="R79" s="1166">
        <f>IF(H9="Rent A vehicle",'Rates (2)'!K62,0)</f>
        <v>0</v>
      </c>
      <c r="S79" s="1166"/>
      <c r="T79" s="1166"/>
      <c r="U79" s="971"/>
      <c r="V79" s="971"/>
      <c r="W79" s="971"/>
      <c r="X79" s="971"/>
      <c r="Y79" s="971"/>
      <c r="Z79" s="971"/>
      <c r="AA79" s="971"/>
      <c r="AB79" s="971"/>
      <c r="AC79" s="971"/>
      <c r="AD79" s="971"/>
      <c r="AE79" s="971"/>
      <c r="AF79" s="971"/>
      <c r="AG79" s="971"/>
      <c r="AH79" s="971"/>
      <c r="AI79" s="971"/>
      <c r="AJ79" s="971"/>
      <c r="AK79" s="971"/>
      <c r="AL79" s="971"/>
      <c r="AM79" s="1149"/>
      <c r="AN79" s="971"/>
      <c r="AO79" s="971"/>
      <c r="AP79" s="971"/>
      <c r="AQ79" s="971"/>
      <c r="AR79" s="971"/>
      <c r="AS79" s="971"/>
      <c r="AT79" s="971"/>
      <c r="AU79" s="1315" t="str">
        <f t="shared" ca="1" si="2"/>
        <v/>
      </c>
      <c r="AV79" s="971"/>
      <c r="AW79" s="971"/>
      <c r="AX79" s="1442"/>
      <c r="AY79" s="971"/>
      <c r="AZ79" s="971"/>
    </row>
    <row r="80" spans="1:52" s="1440" customFormat="1" ht="14.5" hidden="1" thickTop="1" x14ac:dyDescent="0.3">
      <c r="A80" s="1149"/>
      <c r="B80" s="1441"/>
      <c r="C80" s="1149"/>
      <c r="D80" s="971" t="s">
        <v>78</v>
      </c>
      <c r="E80" s="971" t="s">
        <v>78</v>
      </c>
      <c r="F80" s="971"/>
      <c r="G80" s="971"/>
      <c r="H80" s="971"/>
      <c r="I80" s="971"/>
      <c r="J80" s="971"/>
      <c r="K80" s="971"/>
      <c r="L80" s="971"/>
      <c r="M80" s="1315"/>
      <c r="N80" s="1166"/>
      <c r="O80" s="1262" t="s">
        <v>277</v>
      </c>
      <c r="P80" s="1166"/>
      <c r="Q80" s="1166"/>
      <c r="R80" s="1444">
        <f ca="1">SUM(R77:R79)</f>
        <v>0</v>
      </c>
      <c r="S80" s="1166"/>
      <c r="T80" s="1166"/>
      <c r="U80" s="971"/>
      <c r="V80" s="971"/>
      <c r="W80" s="971"/>
      <c r="X80" s="971"/>
      <c r="Y80" s="971"/>
      <c r="Z80" s="971"/>
      <c r="AA80" s="971"/>
      <c r="AB80" s="971"/>
      <c r="AC80" s="971"/>
      <c r="AD80" s="971"/>
      <c r="AE80" s="971"/>
      <c r="AF80" s="971"/>
      <c r="AG80" s="971"/>
      <c r="AH80" s="971"/>
      <c r="AI80" s="971"/>
      <c r="AJ80" s="971"/>
      <c r="AK80" s="971"/>
      <c r="AL80" s="971"/>
      <c r="AM80" s="1149"/>
      <c r="AN80" s="971"/>
      <c r="AO80" s="971"/>
      <c r="AP80" s="971"/>
      <c r="AQ80" s="971"/>
      <c r="AR80" s="971"/>
      <c r="AS80" s="971"/>
      <c r="AT80" s="971"/>
      <c r="AU80" s="1315" t="str">
        <f t="shared" ca="1" si="2"/>
        <v/>
      </c>
      <c r="AV80" s="971"/>
      <c r="AW80" s="971"/>
      <c r="AX80" s="1442"/>
      <c r="AY80" s="971"/>
      <c r="AZ80" s="971"/>
    </row>
    <row r="81" spans="1:52" s="1440" customFormat="1" ht="14.5" hidden="1" thickTop="1" x14ac:dyDescent="0.3">
      <c r="A81" s="1149"/>
      <c r="B81" s="1441"/>
      <c r="C81" s="1149"/>
      <c r="D81" s="971" t="s">
        <v>114</v>
      </c>
      <c r="E81" s="971" t="s">
        <v>114</v>
      </c>
      <c r="F81" s="971"/>
      <c r="G81" s="971"/>
      <c r="H81" s="971"/>
      <c r="I81" s="971"/>
      <c r="J81" s="971"/>
      <c r="K81" s="971"/>
      <c r="L81" s="971"/>
      <c r="M81" s="1315"/>
      <c r="N81" s="1166"/>
      <c r="O81" s="1166"/>
      <c r="P81" s="1166"/>
      <c r="Q81" s="1166"/>
      <c r="R81" s="1166"/>
      <c r="S81" s="1166"/>
      <c r="T81" s="1166"/>
      <c r="U81" s="971"/>
      <c r="V81" s="971"/>
      <c r="W81" s="971"/>
      <c r="X81" s="971"/>
      <c r="Y81" s="971"/>
      <c r="Z81" s="971"/>
      <c r="AA81" s="971"/>
      <c r="AB81" s="971"/>
      <c r="AC81" s="971"/>
      <c r="AD81" s="971"/>
      <c r="AE81" s="971"/>
      <c r="AF81" s="971"/>
      <c r="AG81" s="971"/>
      <c r="AH81" s="971"/>
      <c r="AI81" s="971"/>
      <c r="AJ81" s="971"/>
      <c r="AK81" s="971"/>
      <c r="AL81" s="971"/>
      <c r="AM81" s="1149"/>
      <c r="AN81" s="971"/>
      <c r="AO81" s="971"/>
      <c r="AP81" s="971"/>
      <c r="AQ81" s="971"/>
      <c r="AR81" s="971"/>
      <c r="AS81" s="971"/>
      <c r="AT81" s="971"/>
      <c r="AU81" s="1315" t="str">
        <f t="shared" ca="1" si="2"/>
        <v/>
      </c>
      <c r="AV81" s="971"/>
      <c r="AW81" s="971"/>
      <c r="AX81" s="1442"/>
      <c r="AY81" s="971"/>
      <c r="AZ81" s="971"/>
    </row>
    <row r="82" spans="1:52" s="1440" customFormat="1" ht="14.5" hidden="1" thickTop="1" x14ac:dyDescent="0.3">
      <c r="A82" s="1149"/>
      <c r="B82" s="1441"/>
      <c r="C82" s="1149"/>
      <c r="D82" s="971"/>
      <c r="E82" s="971"/>
      <c r="F82" s="971"/>
      <c r="G82" s="971"/>
      <c r="H82" s="971"/>
      <c r="I82" s="971"/>
      <c r="J82" s="971"/>
      <c r="K82" s="971"/>
      <c r="L82" s="971"/>
      <c r="M82" s="1315"/>
      <c r="N82" s="1166"/>
      <c r="O82" s="1166" t="s">
        <v>60</v>
      </c>
      <c r="P82" s="1166"/>
      <c r="Q82" s="1166"/>
      <c r="R82" s="1166">
        <f>IF(M8='Administration (2)'!C13,'Rates (2)'!K66,IF('MC Working'!M8='Administration (2)'!C14,'Rates (2)'!K67,0))</f>
        <v>2500</v>
      </c>
      <c r="S82" s="1166"/>
      <c r="T82" s="1166"/>
      <c r="U82" s="971"/>
      <c r="V82" s="971"/>
      <c r="W82" s="971"/>
      <c r="X82" s="971"/>
      <c r="Y82" s="971"/>
      <c r="Z82" s="971"/>
      <c r="AA82" s="971"/>
      <c r="AB82" s="971"/>
      <c r="AC82" s="971"/>
      <c r="AD82" s="971"/>
      <c r="AE82" s="971"/>
      <c r="AF82" s="971"/>
      <c r="AG82" s="971"/>
      <c r="AH82" s="971"/>
      <c r="AI82" s="971"/>
      <c r="AJ82" s="971"/>
      <c r="AK82" s="971"/>
      <c r="AL82" s="971"/>
      <c r="AM82" s="1149"/>
      <c r="AN82" s="971"/>
      <c r="AO82" s="971"/>
      <c r="AP82" s="971"/>
      <c r="AQ82" s="971"/>
      <c r="AR82" s="971"/>
      <c r="AS82" s="971"/>
      <c r="AT82" s="971"/>
      <c r="AU82" s="1315" t="str">
        <f t="shared" ca="1" si="2"/>
        <v/>
      </c>
      <c r="AV82" s="971"/>
      <c r="AW82" s="971"/>
      <c r="AX82" s="1442"/>
      <c r="AY82" s="971"/>
      <c r="AZ82" s="971"/>
    </row>
    <row r="83" spans="1:52" s="1440" customFormat="1" ht="14.5" hidden="1" thickTop="1" x14ac:dyDescent="0.3">
      <c r="A83" s="1149"/>
      <c r="B83" s="1441"/>
      <c r="C83" s="1149"/>
      <c r="D83" s="971"/>
      <c r="E83" s="971"/>
      <c r="F83" s="971"/>
      <c r="G83" s="971"/>
      <c r="H83" s="971"/>
      <c r="I83" s="971"/>
      <c r="J83" s="971"/>
      <c r="K83" s="971"/>
      <c r="L83" s="971"/>
      <c r="M83" s="1315"/>
      <c r="N83" s="1166"/>
      <c r="O83" s="1166" t="s">
        <v>210</v>
      </c>
      <c r="P83" s="1166"/>
      <c r="Q83" s="1166"/>
      <c r="R83" s="1166">
        <f>IF(M8='Administration (2)'!C9,'Rates (2)'!K69,0)</f>
        <v>0</v>
      </c>
      <c r="S83" s="1166"/>
      <c r="T83" s="1166"/>
      <c r="U83" s="971"/>
      <c r="V83" s="971"/>
      <c r="W83" s="971"/>
      <c r="X83" s="971"/>
      <c r="Y83" s="971"/>
      <c r="Z83" s="971"/>
      <c r="AA83" s="971"/>
      <c r="AB83" s="971"/>
      <c r="AC83" s="971"/>
      <c r="AD83" s="971"/>
      <c r="AE83" s="971"/>
      <c r="AF83" s="971"/>
      <c r="AG83" s="971"/>
      <c r="AH83" s="971"/>
      <c r="AI83" s="971"/>
      <c r="AJ83" s="971"/>
      <c r="AK83" s="971"/>
      <c r="AL83" s="971"/>
      <c r="AM83" s="1149"/>
      <c r="AN83" s="971"/>
      <c r="AO83" s="971"/>
      <c r="AP83" s="971"/>
      <c r="AQ83" s="971"/>
      <c r="AR83" s="971"/>
      <c r="AS83" s="971"/>
      <c r="AT83" s="971"/>
      <c r="AU83" s="1315" t="str">
        <f t="shared" ca="1" si="2"/>
        <v/>
      </c>
      <c r="AV83" s="971"/>
      <c r="AW83" s="971"/>
      <c r="AX83" s="1442"/>
      <c r="AY83" s="971"/>
      <c r="AZ83" s="971"/>
    </row>
    <row r="84" spans="1:52" s="1440" customFormat="1" ht="14.5" hidden="1" thickTop="1" x14ac:dyDescent="0.3">
      <c r="A84" s="1149"/>
      <c r="B84" s="1441"/>
      <c r="C84" s="1149"/>
      <c r="D84" s="971"/>
      <c r="E84" s="971"/>
      <c r="F84" s="971"/>
      <c r="G84" s="971"/>
      <c r="H84" s="971"/>
      <c r="I84" s="971"/>
      <c r="J84" s="971"/>
      <c r="K84" s="971"/>
      <c r="L84" s="971"/>
      <c r="M84" s="1315"/>
      <c r="N84" s="1166"/>
      <c r="O84" s="1166" t="s">
        <v>272</v>
      </c>
      <c r="P84" s="1166"/>
      <c r="Q84" s="1166"/>
      <c r="R84" s="1166">
        <f>IF(M8='Administration (2)'!C7,'Rates (2)'!K70,0)</f>
        <v>0</v>
      </c>
      <c r="S84" s="1166"/>
      <c r="T84" s="1166"/>
      <c r="U84" s="971"/>
      <c r="V84" s="971"/>
      <c r="W84" s="971"/>
      <c r="X84" s="971"/>
      <c r="Y84" s="971"/>
      <c r="Z84" s="971"/>
      <c r="AA84" s="971"/>
      <c r="AB84" s="971"/>
      <c r="AC84" s="971"/>
      <c r="AD84" s="971"/>
      <c r="AE84" s="971"/>
      <c r="AF84" s="971"/>
      <c r="AG84" s="971"/>
      <c r="AH84" s="971"/>
      <c r="AI84" s="971"/>
      <c r="AJ84" s="971"/>
      <c r="AK84" s="971"/>
      <c r="AL84" s="971"/>
      <c r="AM84" s="1149"/>
      <c r="AN84" s="971"/>
      <c r="AO84" s="971"/>
      <c r="AP84" s="971"/>
      <c r="AQ84" s="971"/>
      <c r="AR84" s="971"/>
      <c r="AS84" s="971"/>
      <c r="AT84" s="971"/>
      <c r="AU84" s="1315" t="str">
        <f t="shared" ca="1" si="2"/>
        <v/>
      </c>
      <c r="AV84" s="971"/>
      <c r="AW84" s="971"/>
      <c r="AX84" s="1442"/>
      <c r="AY84" s="971"/>
      <c r="AZ84" s="971"/>
    </row>
    <row r="85" spans="1:52" s="1440" customFormat="1" ht="14.5" hidden="1" thickTop="1" x14ac:dyDescent="0.3">
      <c r="A85" s="1149"/>
      <c r="B85" s="1441"/>
      <c r="C85" s="1149"/>
      <c r="D85" s="971"/>
      <c r="E85" s="971"/>
      <c r="F85" s="971"/>
      <c r="G85" s="971"/>
      <c r="H85" s="971"/>
      <c r="I85" s="971"/>
      <c r="J85" s="971"/>
      <c r="K85" s="971"/>
      <c r="L85" s="971"/>
      <c r="M85" s="1315"/>
      <c r="N85" s="1166"/>
      <c r="O85" s="1166" t="s">
        <v>273</v>
      </c>
      <c r="P85" s="1166"/>
      <c r="Q85" s="1166"/>
      <c r="R85" s="1166">
        <f>IF(M8='Administration (2)'!C8,'Rates (2)'!K71,0)</f>
        <v>0</v>
      </c>
      <c r="S85" s="1166"/>
      <c r="T85" s="1166"/>
      <c r="U85" s="971"/>
      <c r="V85" s="971"/>
      <c r="W85" s="971"/>
      <c r="X85" s="971"/>
      <c r="Y85" s="971"/>
      <c r="Z85" s="971"/>
      <c r="AA85" s="971"/>
      <c r="AB85" s="971"/>
      <c r="AC85" s="971"/>
      <c r="AD85" s="971"/>
      <c r="AE85" s="971"/>
      <c r="AF85" s="971"/>
      <c r="AG85" s="971"/>
      <c r="AH85" s="971"/>
      <c r="AI85" s="971"/>
      <c r="AJ85" s="971"/>
      <c r="AK85" s="971"/>
      <c r="AL85" s="971"/>
      <c r="AM85" s="1149"/>
      <c r="AN85" s="971"/>
      <c r="AO85" s="971"/>
      <c r="AP85" s="971"/>
      <c r="AQ85" s="971"/>
      <c r="AR85" s="971"/>
      <c r="AS85" s="971"/>
      <c r="AT85" s="971"/>
      <c r="AU85" s="1315" t="e">
        <f t="shared" ref="AU85:AU105" ca="1" si="3">AU84+1</f>
        <v>#VALUE!</v>
      </c>
      <c r="AV85" s="971"/>
      <c r="AW85" s="971"/>
      <c r="AX85" s="1442"/>
      <c r="AY85" s="971"/>
      <c r="AZ85" s="971"/>
    </row>
    <row r="86" spans="1:52" s="1440" customFormat="1" ht="14.5" hidden="1" thickTop="1" x14ac:dyDescent="0.3">
      <c r="A86" s="1149"/>
      <c r="B86" s="1441"/>
      <c r="C86" s="1149"/>
      <c r="D86" s="971"/>
      <c r="E86" s="971"/>
      <c r="F86" s="971"/>
      <c r="G86" s="971"/>
      <c r="H86" s="971"/>
      <c r="I86" s="971"/>
      <c r="J86" s="971"/>
      <c r="K86" s="971"/>
      <c r="L86" s="971"/>
      <c r="M86" s="1315"/>
      <c r="N86" s="1166"/>
      <c r="O86" s="1166" t="s">
        <v>274</v>
      </c>
      <c r="P86" s="1166"/>
      <c r="Q86" s="1166"/>
      <c r="R86" s="1166">
        <f>IF(M8='Administration (2)'!C16,'Rates (2)'!K72,0)</f>
        <v>0</v>
      </c>
      <c r="S86" s="1166"/>
      <c r="T86" s="1166"/>
      <c r="U86" s="971"/>
      <c r="V86" s="971"/>
      <c r="W86" s="971"/>
      <c r="X86" s="971"/>
      <c r="Y86" s="971"/>
      <c r="Z86" s="971"/>
      <c r="AA86" s="971"/>
      <c r="AB86" s="971"/>
      <c r="AC86" s="971"/>
      <c r="AD86" s="971"/>
      <c r="AE86" s="971"/>
      <c r="AF86" s="971"/>
      <c r="AG86" s="971"/>
      <c r="AH86" s="971"/>
      <c r="AI86" s="971"/>
      <c r="AJ86" s="971"/>
      <c r="AK86" s="971"/>
      <c r="AL86" s="971"/>
      <c r="AM86" s="1149"/>
      <c r="AN86" s="971"/>
      <c r="AO86" s="971"/>
      <c r="AP86" s="971"/>
      <c r="AQ86" s="971"/>
      <c r="AR86" s="971"/>
      <c r="AS86" s="971"/>
      <c r="AT86" s="971"/>
      <c r="AU86" s="1315" t="e">
        <f t="shared" ca="1" si="3"/>
        <v>#VALUE!</v>
      </c>
      <c r="AV86" s="971"/>
      <c r="AW86" s="971"/>
      <c r="AX86" s="1442"/>
      <c r="AY86" s="971"/>
      <c r="AZ86" s="971"/>
    </row>
    <row r="87" spans="1:52" s="1440" customFormat="1" ht="14.5" hidden="1" thickTop="1" x14ac:dyDescent="0.3">
      <c r="A87" s="1149"/>
      <c r="B87" s="1441"/>
      <c r="C87" s="1149"/>
      <c r="D87" s="971"/>
      <c r="E87" s="971"/>
      <c r="F87" s="971"/>
      <c r="G87" s="971"/>
      <c r="H87" s="971"/>
      <c r="I87" s="971"/>
      <c r="J87" s="971"/>
      <c r="K87" s="971"/>
      <c r="L87" s="971"/>
      <c r="M87" s="1315"/>
      <c r="N87" s="1166"/>
      <c r="O87" s="1166" t="s">
        <v>360</v>
      </c>
      <c r="P87" s="1166"/>
      <c r="Q87" s="1166"/>
      <c r="R87" s="1166">
        <f>IF(M8='Administration (2)'!C11,'Rates (2)'!K73,0)</f>
        <v>0</v>
      </c>
      <c r="S87" s="1166"/>
      <c r="T87" s="1166"/>
      <c r="U87" s="971"/>
      <c r="V87" s="971"/>
      <c r="W87" s="971"/>
      <c r="X87" s="971"/>
      <c r="Y87" s="971"/>
      <c r="Z87" s="971"/>
      <c r="AA87" s="971"/>
      <c r="AB87" s="971"/>
      <c r="AC87" s="971"/>
      <c r="AD87" s="971"/>
      <c r="AE87" s="971"/>
      <c r="AF87" s="971"/>
      <c r="AG87" s="971"/>
      <c r="AH87" s="971"/>
      <c r="AI87" s="971"/>
      <c r="AJ87" s="971"/>
      <c r="AK87" s="971"/>
      <c r="AL87" s="971"/>
      <c r="AM87" s="1149"/>
      <c r="AN87" s="971"/>
      <c r="AO87" s="971"/>
      <c r="AP87" s="971"/>
      <c r="AQ87" s="971"/>
      <c r="AR87" s="971"/>
      <c r="AS87" s="971"/>
      <c r="AT87" s="971"/>
      <c r="AU87" s="1315" t="e">
        <f t="shared" ca="1" si="3"/>
        <v>#VALUE!</v>
      </c>
      <c r="AV87" s="971"/>
      <c r="AW87" s="971"/>
      <c r="AX87" s="1442"/>
      <c r="AY87" s="971"/>
      <c r="AZ87" s="971"/>
    </row>
    <row r="88" spans="1:52" s="1440" customFormat="1" ht="14.5" hidden="1" thickTop="1" x14ac:dyDescent="0.3">
      <c r="A88" s="1149"/>
      <c r="B88" s="1441"/>
      <c r="C88" s="1149"/>
      <c r="D88" s="971"/>
      <c r="E88" s="971"/>
      <c r="F88" s="971"/>
      <c r="G88" s="971"/>
      <c r="H88" s="971"/>
      <c r="I88" s="971"/>
      <c r="J88" s="971"/>
      <c r="K88" s="971"/>
      <c r="L88" s="971"/>
      <c r="M88" s="1315"/>
      <c r="N88" s="1166"/>
      <c r="O88" s="1166" t="s">
        <v>211</v>
      </c>
      <c r="P88" s="1166"/>
      <c r="Q88" s="1166"/>
      <c r="R88" s="1166">
        <f>IF(M8='Administration (2)'!C10,'Rates (2)'!K74,0)</f>
        <v>0</v>
      </c>
      <c r="S88" s="1166"/>
      <c r="T88" s="1166"/>
      <c r="U88" s="971"/>
      <c r="V88" s="971"/>
      <c r="W88" s="971"/>
      <c r="X88" s="971"/>
      <c r="Y88" s="971"/>
      <c r="Z88" s="971"/>
      <c r="AA88" s="971"/>
      <c r="AB88" s="971"/>
      <c r="AC88" s="971"/>
      <c r="AD88" s="971"/>
      <c r="AE88" s="971"/>
      <c r="AF88" s="971"/>
      <c r="AG88" s="971"/>
      <c r="AH88" s="971"/>
      <c r="AI88" s="971"/>
      <c r="AJ88" s="971"/>
      <c r="AK88" s="971"/>
      <c r="AL88" s="971"/>
      <c r="AM88" s="1149"/>
      <c r="AN88" s="971"/>
      <c r="AO88" s="971"/>
      <c r="AP88" s="971"/>
      <c r="AQ88" s="971"/>
      <c r="AR88" s="971"/>
      <c r="AS88" s="971"/>
      <c r="AT88" s="971"/>
      <c r="AU88" s="1315" t="e">
        <f t="shared" ca="1" si="3"/>
        <v>#VALUE!</v>
      </c>
      <c r="AV88" s="971"/>
      <c r="AW88" s="971"/>
      <c r="AX88" s="1442"/>
      <c r="AY88" s="971"/>
      <c r="AZ88" s="971"/>
    </row>
    <row r="89" spans="1:52" s="1440" customFormat="1" ht="14.5" hidden="1" thickTop="1" x14ac:dyDescent="0.3">
      <c r="A89" s="1149"/>
      <c r="B89" s="1441"/>
      <c r="C89" s="1149"/>
      <c r="D89" s="971"/>
      <c r="E89" s="971"/>
      <c r="F89" s="971"/>
      <c r="G89" s="971"/>
      <c r="H89" s="971"/>
      <c r="I89" s="971"/>
      <c r="J89" s="971"/>
      <c r="K89" s="971"/>
      <c r="L89" s="971"/>
      <c r="M89" s="1315"/>
      <c r="N89" s="1166"/>
      <c r="O89" s="1166" t="s">
        <v>215</v>
      </c>
      <c r="P89" s="1166"/>
      <c r="Q89" s="1166"/>
      <c r="R89" s="1166">
        <f>IF(M8='Administration (2)'!C15,'Rates (2)'!K75,0)</f>
        <v>0</v>
      </c>
      <c r="S89" s="1166"/>
      <c r="T89" s="1166"/>
      <c r="U89" s="971"/>
      <c r="V89" s="971"/>
      <c r="W89" s="971"/>
      <c r="X89" s="971"/>
      <c r="Y89" s="971"/>
      <c r="Z89" s="971"/>
      <c r="AA89" s="971"/>
      <c r="AB89" s="971"/>
      <c r="AC89" s="971"/>
      <c r="AD89" s="971"/>
      <c r="AE89" s="971"/>
      <c r="AF89" s="971"/>
      <c r="AG89" s="971"/>
      <c r="AH89" s="971"/>
      <c r="AI89" s="971"/>
      <c r="AJ89" s="971"/>
      <c r="AK89" s="971"/>
      <c r="AL89" s="971"/>
      <c r="AM89" s="1149"/>
      <c r="AN89" s="971"/>
      <c r="AO89" s="971"/>
      <c r="AP89" s="971"/>
      <c r="AQ89" s="971"/>
      <c r="AR89" s="971"/>
      <c r="AS89" s="971"/>
      <c r="AT89" s="971"/>
      <c r="AU89" s="1315" t="e">
        <f t="shared" ca="1" si="3"/>
        <v>#VALUE!</v>
      </c>
      <c r="AV89" s="971"/>
      <c r="AW89" s="971"/>
      <c r="AX89" s="1442"/>
      <c r="AY89" s="971"/>
      <c r="AZ89" s="971"/>
    </row>
    <row r="90" spans="1:52" s="1440" customFormat="1" ht="14.5" hidden="1" thickTop="1" x14ac:dyDescent="0.3">
      <c r="A90" s="971"/>
      <c r="B90" s="1445"/>
      <c r="C90" s="1149"/>
      <c r="D90" s="971"/>
      <c r="E90" s="971"/>
      <c r="F90" s="971"/>
      <c r="G90" s="971"/>
      <c r="H90" s="971"/>
      <c r="I90" s="971"/>
      <c r="J90" s="971"/>
      <c r="K90" s="971"/>
      <c r="L90" s="971"/>
      <c r="M90" s="1315"/>
      <c r="N90" s="1166"/>
      <c r="O90" s="1166" t="s">
        <v>212</v>
      </c>
      <c r="P90" s="1166"/>
      <c r="Q90" s="1166"/>
      <c r="R90" s="1166">
        <f>IF(M8='Administration (2)'!C12,'Rates (2)'!K76,0)</f>
        <v>0</v>
      </c>
      <c r="S90" s="1166"/>
      <c r="T90" s="1166"/>
      <c r="U90" s="971"/>
      <c r="V90" s="971"/>
      <c r="W90" s="971"/>
      <c r="X90" s="971"/>
      <c r="Y90" s="971"/>
      <c r="Z90" s="971"/>
      <c r="AA90" s="971"/>
      <c r="AB90" s="971"/>
      <c r="AC90" s="971"/>
      <c r="AD90" s="971"/>
      <c r="AE90" s="971"/>
      <c r="AF90" s="971"/>
      <c r="AG90" s="971"/>
      <c r="AH90" s="971"/>
      <c r="AI90" s="971"/>
      <c r="AJ90" s="971"/>
      <c r="AK90" s="971"/>
      <c r="AL90" s="971"/>
      <c r="AM90" s="1149"/>
      <c r="AN90" s="971"/>
      <c r="AO90" s="971"/>
      <c r="AP90" s="971"/>
      <c r="AQ90" s="971"/>
      <c r="AR90" s="971"/>
      <c r="AS90" s="971"/>
      <c r="AT90" s="971"/>
      <c r="AU90" s="1315" t="e">
        <f t="shared" ca="1" si="3"/>
        <v>#VALUE!</v>
      </c>
      <c r="AV90" s="971"/>
      <c r="AW90" s="971"/>
      <c r="AX90" s="1442"/>
      <c r="AY90" s="971"/>
      <c r="AZ90" s="971"/>
    </row>
    <row r="91" spans="1:52" s="1440" customFormat="1" ht="14.5" hidden="1" thickTop="1" x14ac:dyDescent="0.3">
      <c r="A91" s="971"/>
      <c r="B91" s="1445"/>
      <c r="C91" s="1149"/>
      <c r="D91" s="971"/>
      <c r="E91" s="971"/>
      <c r="F91" s="971"/>
      <c r="G91" s="971"/>
      <c r="H91" s="971"/>
      <c r="I91" s="971"/>
      <c r="J91" s="971"/>
      <c r="K91" s="971"/>
      <c r="L91" s="971"/>
      <c r="M91" s="1315"/>
      <c r="N91" s="1166"/>
      <c r="O91" s="1262" t="s">
        <v>268</v>
      </c>
      <c r="P91" s="1166"/>
      <c r="Q91" s="1166"/>
      <c r="R91" s="1446">
        <f ca="1">R80+SUM(R82:R90)+R95</f>
        <v>2500</v>
      </c>
      <c r="S91" s="1166"/>
      <c r="T91" s="1166"/>
      <c r="U91" s="971"/>
      <c r="V91" s="971"/>
      <c r="W91" s="971"/>
      <c r="X91" s="971"/>
      <c r="Y91" s="971"/>
      <c r="Z91" s="971"/>
      <c r="AA91" s="971"/>
      <c r="AB91" s="971"/>
      <c r="AC91" s="971"/>
      <c r="AD91" s="971"/>
      <c r="AE91" s="971"/>
      <c r="AF91" s="971"/>
      <c r="AG91" s="971"/>
      <c r="AH91" s="971"/>
      <c r="AI91" s="971"/>
      <c r="AJ91" s="971"/>
      <c r="AK91" s="971"/>
      <c r="AL91" s="971"/>
      <c r="AM91" s="1149"/>
      <c r="AN91" s="971"/>
      <c r="AO91" s="971"/>
      <c r="AP91" s="971"/>
      <c r="AQ91" s="971"/>
      <c r="AR91" s="971"/>
      <c r="AS91" s="971"/>
      <c r="AT91" s="971"/>
      <c r="AU91" s="1315" t="e">
        <f t="shared" ca="1" si="3"/>
        <v>#VALUE!</v>
      </c>
      <c r="AV91" s="971"/>
      <c r="AW91" s="971"/>
      <c r="AX91" s="1442"/>
      <c r="AY91" s="971"/>
      <c r="AZ91" s="971"/>
    </row>
    <row r="92" spans="1:52" s="1440" customFormat="1" ht="14.5" hidden="1" thickTop="1" x14ac:dyDescent="0.3">
      <c r="A92" s="971"/>
      <c r="B92" s="1445"/>
      <c r="C92" s="1149"/>
      <c r="D92" s="971"/>
      <c r="E92" s="971"/>
      <c r="F92" s="971"/>
      <c r="G92" s="971"/>
      <c r="H92" s="971"/>
      <c r="I92" s="971"/>
      <c r="J92" s="971"/>
      <c r="K92" s="971"/>
      <c r="L92" s="971"/>
      <c r="M92" s="1315"/>
      <c r="N92" s="1166"/>
      <c r="O92" s="1166"/>
      <c r="P92" s="1166"/>
      <c r="Q92" s="1166"/>
      <c r="R92" s="1166">
        <f ca="1">IF(AND(I18&gt;R91,I18&lt;H15/2),I18,R91)</f>
        <v>2500</v>
      </c>
      <c r="S92" s="1166"/>
      <c r="T92" s="1166"/>
      <c r="U92" s="971"/>
      <c r="V92" s="971"/>
      <c r="W92" s="971"/>
      <c r="X92" s="971"/>
      <c r="Y92" s="971"/>
      <c r="Z92" s="971"/>
      <c r="AA92" s="971"/>
      <c r="AB92" s="971"/>
      <c r="AC92" s="971"/>
      <c r="AD92" s="971"/>
      <c r="AE92" s="971"/>
      <c r="AF92" s="971"/>
      <c r="AG92" s="971"/>
      <c r="AH92" s="971"/>
      <c r="AI92" s="971"/>
      <c r="AJ92" s="971"/>
      <c r="AK92" s="971"/>
      <c r="AL92" s="971"/>
      <c r="AM92" s="1149"/>
      <c r="AN92" s="971"/>
      <c r="AO92" s="971"/>
      <c r="AP92" s="971"/>
      <c r="AQ92" s="971"/>
      <c r="AR92" s="971"/>
      <c r="AS92" s="971"/>
      <c r="AT92" s="971"/>
      <c r="AU92" s="971" t="e">
        <f t="shared" ca="1" si="3"/>
        <v>#VALUE!</v>
      </c>
      <c r="AV92" s="971"/>
      <c r="AW92" s="971"/>
      <c r="AX92" s="1442"/>
      <c r="AY92" s="971"/>
      <c r="AZ92" s="971"/>
    </row>
    <row r="93" spans="1:52" s="1440" customFormat="1" ht="14.5" hidden="1" thickTop="1" x14ac:dyDescent="0.3">
      <c r="A93" s="971"/>
      <c r="B93" s="1445"/>
      <c r="D93" s="971"/>
      <c r="E93" s="971"/>
      <c r="F93" s="1286" t="s">
        <v>395</v>
      </c>
      <c r="G93" s="971"/>
      <c r="H93" s="971"/>
      <c r="I93" s="971"/>
      <c r="J93" s="971"/>
      <c r="K93" s="971"/>
      <c r="L93" s="971"/>
      <c r="M93" s="1315"/>
      <c r="N93" s="1166"/>
      <c r="O93" s="1166"/>
      <c r="P93" s="1166"/>
      <c r="Q93" s="1166"/>
      <c r="R93" s="1166"/>
      <c r="S93" s="1166"/>
      <c r="T93" s="1166"/>
      <c r="U93" s="971"/>
      <c r="V93" s="971"/>
      <c r="W93" s="971"/>
      <c r="X93" s="971"/>
      <c r="Y93" s="971"/>
      <c r="Z93" s="971"/>
      <c r="AA93" s="971"/>
      <c r="AB93" s="971"/>
      <c r="AC93" s="971"/>
      <c r="AD93" s="971"/>
      <c r="AE93" s="971"/>
      <c r="AF93" s="971"/>
      <c r="AG93" s="971"/>
      <c r="AH93" s="971"/>
      <c r="AI93" s="971"/>
      <c r="AJ93" s="971"/>
      <c r="AK93" s="971"/>
      <c r="AL93" s="971"/>
      <c r="AM93" s="1149"/>
      <c r="AN93" s="971"/>
      <c r="AO93" s="971"/>
      <c r="AP93" s="971"/>
      <c r="AQ93" s="971"/>
      <c r="AR93" s="971"/>
      <c r="AS93" s="971"/>
      <c r="AT93" s="971"/>
      <c r="AU93" s="971" t="e">
        <f t="shared" ca="1" si="3"/>
        <v>#VALUE!</v>
      </c>
      <c r="AV93" s="971"/>
      <c r="AW93" s="971"/>
      <c r="AX93" s="1442"/>
      <c r="AY93" s="971"/>
      <c r="AZ93" s="971"/>
    </row>
    <row r="94" spans="1:52" s="1440" customFormat="1" ht="20.149999999999999" hidden="1" customHeight="1" x14ac:dyDescent="0.3">
      <c r="A94" s="971"/>
      <c r="B94" s="1445"/>
      <c r="D94" s="971"/>
      <c r="E94" s="971"/>
      <c r="F94" s="1447" t="str">
        <f>'Administration (2)'!J6</f>
        <v>Abans Finance PLC</v>
      </c>
      <c r="G94" s="971"/>
      <c r="H94" s="971"/>
      <c r="I94" s="971"/>
      <c r="J94" s="971"/>
      <c r="K94" s="971"/>
      <c r="L94" s="1149"/>
      <c r="M94" s="1448" t="s">
        <v>234</v>
      </c>
      <c r="N94" s="1166" t="s">
        <v>269</v>
      </c>
      <c r="O94" s="1166"/>
      <c r="P94" s="1166"/>
      <c r="Q94" s="1166"/>
      <c r="R94" s="1822" t="str">
        <f>IF(X43&gt;0,MAX(H30*'Rates (2)'!K68%,'Rates (2)'!L68),"")</f>
        <v/>
      </c>
      <c r="S94" s="1822"/>
      <c r="T94" s="1822"/>
      <c r="U94" s="971"/>
      <c r="V94" s="971"/>
      <c r="W94" s="971"/>
      <c r="X94" s="971"/>
      <c r="Y94" s="971"/>
      <c r="Z94" s="971"/>
      <c r="AA94" s="971"/>
      <c r="AB94" s="971"/>
      <c r="AC94" s="971"/>
      <c r="AD94" s="971"/>
      <c r="AE94" s="971"/>
      <c r="AF94" s="971"/>
      <c r="AG94" s="971"/>
      <c r="AH94" s="971"/>
      <c r="AI94" s="971"/>
      <c r="AJ94" s="971"/>
      <c r="AK94" s="971"/>
      <c r="AL94" s="971"/>
      <c r="AM94" s="1149"/>
      <c r="AN94" s="971"/>
      <c r="AO94" s="971"/>
      <c r="AP94" s="971"/>
      <c r="AQ94" s="971"/>
      <c r="AR94" s="971"/>
      <c r="AS94" s="971"/>
      <c r="AT94" s="971"/>
      <c r="AU94" s="971" t="e">
        <f t="shared" ca="1" si="3"/>
        <v>#VALUE!</v>
      </c>
      <c r="AV94" s="971"/>
      <c r="AW94" s="971"/>
      <c r="AX94" s="1442"/>
      <c r="AY94" s="971"/>
      <c r="AZ94" s="971"/>
    </row>
    <row r="95" spans="1:52" s="1440" customFormat="1" ht="20.149999999999999" hidden="1" customHeight="1" x14ac:dyDescent="0.3">
      <c r="A95" s="971"/>
      <c r="B95" s="1445"/>
      <c r="D95" s="971"/>
      <c r="E95" s="971"/>
      <c r="F95" s="1447" t="str">
        <f>'Administration (2)'!J7</f>
        <v>Alliance Finance Co. PLC</v>
      </c>
      <c r="G95" s="971"/>
      <c r="H95" s="971"/>
      <c r="I95" s="971"/>
      <c r="J95" s="971"/>
      <c r="K95" s="971"/>
      <c r="L95" s="1149"/>
      <c r="M95" s="1315"/>
      <c r="N95" s="1166"/>
      <c r="O95" s="1166" t="s">
        <v>227</v>
      </c>
      <c r="P95" s="1166"/>
      <c r="Q95" s="1166"/>
      <c r="R95" s="1449">
        <f>I22</f>
        <v>0</v>
      </c>
      <c r="S95" s="1166"/>
      <c r="T95" s="1166"/>
      <c r="U95" s="971"/>
      <c r="V95" s="971"/>
      <c r="W95" s="971"/>
      <c r="X95" s="971"/>
      <c r="Y95" s="971"/>
      <c r="Z95" s="971"/>
      <c r="AA95" s="971"/>
      <c r="AB95" s="971"/>
      <c r="AC95" s="971"/>
      <c r="AD95" s="971"/>
      <c r="AE95" s="971"/>
      <c r="AF95" s="971"/>
      <c r="AG95" s="971"/>
      <c r="AH95" s="971"/>
      <c r="AI95" s="971"/>
      <c r="AJ95" s="971"/>
      <c r="AK95" s="971"/>
      <c r="AL95" s="971"/>
      <c r="AM95" s="1149"/>
      <c r="AN95" s="971"/>
      <c r="AO95" s="971"/>
      <c r="AP95" s="971"/>
      <c r="AQ95" s="971"/>
      <c r="AR95" s="971"/>
      <c r="AS95" s="971"/>
      <c r="AT95" s="971"/>
      <c r="AU95" s="971" t="e">
        <f t="shared" ca="1" si="3"/>
        <v>#VALUE!</v>
      </c>
      <c r="AV95" s="971"/>
      <c r="AW95" s="971"/>
      <c r="AX95" s="1442"/>
      <c r="AY95" s="971"/>
      <c r="AZ95" s="971"/>
    </row>
    <row r="96" spans="1:52" s="1440" customFormat="1" ht="20.149999999999999" hidden="1" customHeight="1" x14ac:dyDescent="0.3">
      <c r="A96" s="971"/>
      <c r="B96" s="1445"/>
      <c r="D96" s="971"/>
      <c r="E96" s="971"/>
      <c r="F96" s="1447" t="str">
        <f>'Administration (2)'!J8</f>
        <v>Asia Asset Finance Ltd</v>
      </c>
      <c r="G96" s="971"/>
      <c r="H96" s="971"/>
      <c r="I96" s="971"/>
      <c r="J96" s="971"/>
      <c r="K96" s="971"/>
      <c r="L96" s="971"/>
      <c r="M96" s="971"/>
      <c r="N96" s="971"/>
      <c r="O96" s="971" t="s">
        <v>225</v>
      </c>
      <c r="P96" s="1149"/>
      <c r="Q96" s="971"/>
      <c r="R96" s="971">
        <f ca="1">IF(OR(C39=1,M39&gt;0),'Rates (2)'!K63,0)</f>
        <v>0</v>
      </c>
      <c r="S96" s="971"/>
      <c r="T96" s="971"/>
      <c r="U96" s="971"/>
      <c r="V96" s="971"/>
      <c r="W96" s="971"/>
      <c r="X96" s="971"/>
      <c r="Y96" s="971"/>
      <c r="Z96" s="971"/>
      <c r="AA96" s="971"/>
      <c r="AB96" s="971"/>
      <c r="AC96" s="971"/>
      <c r="AD96" s="971"/>
      <c r="AE96" s="971"/>
      <c r="AF96" s="971"/>
      <c r="AG96" s="971"/>
      <c r="AH96" s="971"/>
      <c r="AI96" s="971"/>
      <c r="AJ96" s="971"/>
      <c r="AK96" s="971"/>
      <c r="AL96" s="971"/>
      <c r="AM96" s="1149"/>
      <c r="AN96" s="971"/>
      <c r="AO96" s="971"/>
      <c r="AP96" s="971"/>
      <c r="AQ96" s="971"/>
      <c r="AR96" s="971"/>
      <c r="AS96" s="971"/>
      <c r="AT96" s="971"/>
      <c r="AU96" s="971" t="e">
        <f t="shared" ca="1" si="3"/>
        <v>#VALUE!</v>
      </c>
      <c r="AV96" s="971"/>
      <c r="AW96" s="971"/>
      <c r="AX96" s="1442"/>
      <c r="AY96" s="971"/>
      <c r="AZ96" s="971"/>
    </row>
    <row r="97" spans="1:52" s="1440" customFormat="1" ht="20.149999999999999" hidden="1" customHeight="1" x14ac:dyDescent="0.3">
      <c r="A97" s="971"/>
      <c r="B97" s="1445"/>
      <c r="D97" s="971"/>
      <c r="E97" s="971"/>
      <c r="F97" s="1447" t="str">
        <f>'Administration (2)'!J9</f>
        <v>Assetline Leasing Co Ltd</v>
      </c>
      <c r="G97" s="971"/>
      <c r="H97" s="971"/>
      <c r="I97" s="971"/>
      <c r="J97" s="971"/>
      <c r="K97" s="971"/>
      <c r="L97" s="971"/>
      <c r="M97" s="971"/>
      <c r="N97" s="971"/>
      <c r="O97" s="971" t="s">
        <v>226</v>
      </c>
      <c r="P97" s="1149"/>
      <c r="Q97" s="971"/>
      <c r="R97" s="971">
        <f>IF(OR(H54&gt;0,M54&gt;0),'Rates (2)'!K64,0)</f>
        <v>0</v>
      </c>
      <c r="S97" s="971"/>
      <c r="T97" s="971"/>
      <c r="U97" s="971"/>
      <c r="V97" s="971"/>
      <c r="W97" s="971"/>
      <c r="X97" s="971"/>
      <c r="Y97" s="971"/>
      <c r="Z97" s="971"/>
      <c r="AA97" s="971"/>
      <c r="AB97" s="971"/>
      <c r="AC97" s="971"/>
      <c r="AD97" s="971"/>
      <c r="AE97" s="971"/>
      <c r="AF97" s="971"/>
      <c r="AG97" s="971"/>
      <c r="AH97" s="971"/>
      <c r="AI97" s="971"/>
      <c r="AJ97" s="971"/>
      <c r="AK97" s="971"/>
      <c r="AL97" s="971"/>
      <c r="AM97" s="1149"/>
      <c r="AN97" s="971"/>
      <c r="AO97" s="971"/>
      <c r="AP97" s="971"/>
      <c r="AQ97" s="971"/>
      <c r="AR97" s="971"/>
      <c r="AS97" s="971"/>
      <c r="AT97" s="971"/>
      <c r="AU97" s="971" t="e">
        <f t="shared" ca="1" si="3"/>
        <v>#VALUE!</v>
      </c>
      <c r="AV97" s="971"/>
      <c r="AW97" s="971"/>
      <c r="AX97" s="1442"/>
      <c r="AY97" s="971"/>
      <c r="AZ97" s="971"/>
    </row>
    <row r="98" spans="1:52" s="1440" customFormat="1" ht="20.149999999999999" hidden="1" customHeight="1" x14ac:dyDescent="0.3">
      <c r="A98" s="971"/>
      <c r="B98" s="1445"/>
      <c r="D98" s="971"/>
      <c r="E98" s="971"/>
      <c r="F98" s="1447" t="str">
        <f>'Administration (2)'!J10</f>
        <v>Arpico Finance PLC</v>
      </c>
      <c r="G98" s="971"/>
      <c r="H98" s="971"/>
      <c r="I98" s="971"/>
      <c r="J98" s="971"/>
      <c r="K98" s="971"/>
      <c r="L98" s="971"/>
      <c r="M98" s="971"/>
      <c r="N98" s="971"/>
      <c r="O98" s="971" t="s">
        <v>228</v>
      </c>
      <c r="P98" s="1149"/>
      <c r="Q98" s="971"/>
      <c r="R98" s="971">
        <f ca="1">IF(OR(U57=1,M46&gt;0),'Rates (2)'!K65,0)</f>
        <v>0</v>
      </c>
      <c r="S98" s="971"/>
      <c r="T98" s="971"/>
      <c r="U98" s="971"/>
      <c r="V98" s="971"/>
      <c r="W98" s="971"/>
      <c r="X98" s="971"/>
      <c r="Y98" s="971"/>
      <c r="Z98" s="971"/>
      <c r="AA98" s="971"/>
      <c r="AB98" s="971"/>
      <c r="AC98" s="971"/>
      <c r="AD98" s="971"/>
      <c r="AE98" s="971"/>
      <c r="AF98" s="971"/>
      <c r="AG98" s="971"/>
      <c r="AH98" s="971"/>
      <c r="AI98" s="971"/>
      <c r="AJ98" s="971"/>
      <c r="AK98" s="971"/>
      <c r="AL98" s="971"/>
      <c r="AM98" s="1149"/>
      <c r="AN98" s="971"/>
      <c r="AO98" s="971"/>
      <c r="AP98" s="971"/>
      <c r="AQ98" s="971"/>
      <c r="AR98" s="971"/>
      <c r="AS98" s="971"/>
      <c r="AT98" s="971"/>
      <c r="AU98" s="971" t="e">
        <f t="shared" ca="1" si="3"/>
        <v>#VALUE!</v>
      </c>
      <c r="AV98" s="971"/>
      <c r="AW98" s="971"/>
      <c r="AX98" s="1442"/>
      <c r="AY98" s="971"/>
      <c r="AZ98" s="971"/>
    </row>
    <row r="99" spans="1:52" s="1440" customFormat="1" ht="20.149999999999999" hidden="1" customHeight="1" x14ac:dyDescent="0.3">
      <c r="A99" s="971"/>
      <c r="B99" s="1445"/>
      <c r="D99" s="971"/>
      <c r="E99" s="971"/>
      <c r="F99" s="1447" t="str">
        <f>'Administration (2)'!J11</f>
        <v>Bank of Ceylon</v>
      </c>
      <c r="G99" s="971"/>
      <c r="H99" s="971"/>
      <c r="I99" s="971"/>
      <c r="J99" s="971"/>
      <c r="K99" s="971"/>
      <c r="L99" s="971"/>
      <c r="M99" s="971"/>
      <c r="N99" s="971"/>
      <c r="O99" s="971"/>
      <c r="P99" s="1149"/>
      <c r="Q99" s="971"/>
      <c r="R99" s="971"/>
      <c r="S99" s="971"/>
      <c r="T99" s="971"/>
      <c r="U99" s="971"/>
      <c r="V99" s="971"/>
      <c r="W99" s="971"/>
      <c r="X99" s="971"/>
      <c r="Y99" s="971"/>
      <c r="Z99" s="971"/>
      <c r="AA99" s="971"/>
      <c r="AB99" s="971"/>
      <c r="AC99" s="971"/>
      <c r="AD99" s="971"/>
      <c r="AE99" s="971"/>
      <c r="AF99" s="971"/>
      <c r="AG99" s="971"/>
      <c r="AH99" s="971"/>
      <c r="AI99" s="971"/>
      <c r="AJ99" s="971"/>
      <c r="AK99" s="971"/>
      <c r="AL99" s="971"/>
      <c r="AM99" s="1149"/>
      <c r="AN99" s="971"/>
      <c r="AO99" s="971"/>
      <c r="AP99" s="971"/>
      <c r="AQ99" s="971"/>
      <c r="AR99" s="971"/>
      <c r="AS99" s="971"/>
      <c r="AT99" s="971"/>
      <c r="AU99" s="971" t="e">
        <f t="shared" ca="1" si="3"/>
        <v>#VALUE!</v>
      </c>
      <c r="AV99" s="971"/>
      <c r="AW99" s="971"/>
      <c r="AX99" s="1442"/>
      <c r="AY99" s="971"/>
      <c r="AZ99" s="971"/>
    </row>
    <row r="100" spans="1:52" s="1440" customFormat="1" ht="20.149999999999999" hidden="1" customHeight="1" x14ac:dyDescent="0.3">
      <c r="A100" s="971"/>
      <c r="B100" s="1445"/>
      <c r="D100" s="971"/>
      <c r="E100" s="971"/>
      <c r="F100" s="1447" t="str">
        <f>'Administration (2)'!J12</f>
        <v>Citizens Development Business Finance PLC</v>
      </c>
      <c r="G100" s="971"/>
      <c r="H100" s="971"/>
      <c r="I100" s="971"/>
      <c r="J100" s="971"/>
      <c r="K100" s="971"/>
      <c r="L100" s="971"/>
      <c r="M100" s="971"/>
      <c r="N100" s="971"/>
      <c r="O100" s="971"/>
      <c r="P100" s="1149"/>
      <c r="Q100" s="971"/>
      <c r="R100" s="971"/>
      <c r="S100" s="971"/>
      <c r="T100" s="971"/>
      <c r="U100" s="971"/>
      <c r="V100" s="971"/>
      <c r="W100" s="971"/>
      <c r="X100" s="971"/>
      <c r="Y100" s="971"/>
      <c r="Z100" s="971"/>
      <c r="AA100" s="971"/>
      <c r="AB100" s="971"/>
      <c r="AC100" s="971"/>
      <c r="AD100" s="971"/>
      <c r="AE100" s="971"/>
      <c r="AF100" s="971"/>
      <c r="AG100" s="971"/>
      <c r="AH100" s="971"/>
      <c r="AI100" s="971"/>
      <c r="AJ100" s="971"/>
      <c r="AK100" s="971"/>
      <c r="AL100" s="971"/>
      <c r="AM100" s="1149"/>
      <c r="AN100" s="971"/>
      <c r="AO100" s="971"/>
      <c r="AP100" s="971"/>
      <c r="AQ100" s="971"/>
      <c r="AR100" s="971"/>
      <c r="AS100" s="971"/>
      <c r="AT100" s="971"/>
      <c r="AU100" s="971" t="e">
        <f t="shared" ca="1" si="3"/>
        <v>#VALUE!</v>
      </c>
      <c r="AV100" s="971"/>
      <c r="AW100" s="971"/>
      <c r="AX100" s="1442"/>
      <c r="AY100" s="971"/>
      <c r="AZ100" s="971"/>
    </row>
    <row r="101" spans="1:52" s="1440" customFormat="1" ht="20.149999999999999" hidden="1" customHeight="1" x14ac:dyDescent="0.3">
      <c r="A101" s="971"/>
      <c r="B101" s="1445"/>
      <c r="D101" s="972"/>
      <c r="E101" s="972"/>
      <c r="F101" s="1447" t="str">
        <f>'Administration (2)'!J13</f>
        <v>Commercial Credit PLC</v>
      </c>
      <c r="G101" s="972"/>
      <c r="H101" s="972"/>
      <c r="I101" s="972"/>
      <c r="J101" s="972"/>
      <c r="K101" s="971"/>
      <c r="L101" s="971"/>
      <c r="M101" s="971"/>
      <c r="N101" s="971"/>
      <c r="O101" s="971"/>
      <c r="P101" s="1149"/>
      <c r="Q101" s="971"/>
      <c r="R101" s="971"/>
      <c r="S101" s="971"/>
      <c r="T101" s="971"/>
      <c r="U101" s="971"/>
      <c r="V101" s="971"/>
      <c r="W101" s="971"/>
      <c r="X101" s="971"/>
      <c r="Y101" s="971"/>
      <c r="Z101" s="971"/>
      <c r="AA101" s="971"/>
      <c r="AB101" s="971"/>
      <c r="AC101" s="971"/>
      <c r="AD101" s="971"/>
      <c r="AE101" s="971"/>
      <c r="AF101" s="971"/>
      <c r="AG101" s="971"/>
      <c r="AH101" s="971"/>
      <c r="AI101" s="971"/>
      <c r="AJ101" s="971"/>
      <c r="AK101" s="971"/>
      <c r="AL101" s="971"/>
      <c r="AM101" s="1149"/>
      <c r="AN101" s="971"/>
      <c r="AO101" s="971"/>
      <c r="AP101" s="971"/>
      <c r="AQ101" s="971"/>
      <c r="AR101" s="971"/>
      <c r="AS101" s="971"/>
      <c r="AT101" s="971"/>
      <c r="AU101" s="971" t="e">
        <f t="shared" ca="1" si="3"/>
        <v>#VALUE!</v>
      </c>
      <c r="AV101" s="971"/>
      <c r="AW101" s="971"/>
      <c r="AX101" s="1442"/>
      <c r="AY101" s="971"/>
      <c r="AZ101" s="971"/>
    </row>
    <row r="102" spans="1:52" s="1440" customFormat="1" ht="20.149999999999999" hidden="1" customHeight="1" x14ac:dyDescent="0.3">
      <c r="A102" s="971"/>
      <c r="B102" s="1445"/>
      <c r="D102" s="972"/>
      <c r="E102" s="972"/>
      <c r="F102" s="1447" t="str">
        <f>'Administration (2)'!J14</f>
        <v>Commercial Trust Investment (Pvt) Ltd.</v>
      </c>
      <c r="G102" s="972"/>
      <c r="H102" s="972"/>
      <c r="I102" s="972"/>
      <c r="J102" s="972"/>
      <c r="K102" s="972"/>
      <c r="L102" s="972"/>
      <c r="M102" s="1149"/>
      <c r="N102" s="971"/>
      <c r="O102" s="971"/>
      <c r="P102" s="1149"/>
      <c r="Q102" s="971"/>
      <c r="R102" s="971"/>
      <c r="S102" s="971"/>
      <c r="T102" s="971"/>
      <c r="U102" s="971"/>
      <c r="V102" s="971"/>
      <c r="W102" s="971"/>
      <c r="X102" s="971"/>
      <c r="Y102" s="971"/>
      <c r="Z102" s="971"/>
      <c r="AA102" s="971"/>
      <c r="AB102" s="971"/>
      <c r="AC102" s="971"/>
      <c r="AD102" s="971"/>
      <c r="AE102" s="971"/>
      <c r="AF102" s="971"/>
      <c r="AG102" s="971"/>
      <c r="AH102" s="971"/>
      <c r="AI102" s="971"/>
      <c r="AJ102" s="971"/>
      <c r="AK102" s="971"/>
      <c r="AL102" s="971"/>
      <c r="AM102" s="1149"/>
      <c r="AN102" s="971"/>
      <c r="AO102" s="971"/>
      <c r="AP102" s="971"/>
      <c r="AQ102" s="971"/>
      <c r="AR102" s="971"/>
      <c r="AS102" s="971"/>
      <c r="AT102" s="971"/>
      <c r="AU102" s="971" t="e">
        <f t="shared" ca="1" si="3"/>
        <v>#VALUE!</v>
      </c>
      <c r="AV102" s="971"/>
      <c r="AW102" s="971"/>
      <c r="AX102" s="1442"/>
      <c r="AY102" s="971"/>
      <c r="AZ102" s="971"/>
    </row>
    <row r="103" spans="1:52" s="1440" customFormat="1" ht="20.149999999999999" hidden="1" customHeight="1" x14ac:dyDescent="0.3">
      <c r="A103" s="971"/>
      <c r="B103" s="1445"/>
      <c r="D103" s="972"/>
      <c r="E103" s="972"/>
      <c r="F103" s="1447" t="str">
        <f>'Administration (2)'!J15</f>
        <v>David Pieris Leasing</v>
      </c>
      <c r="G103" s="972"/>
      <c r="H103" s="972"/>
      <c r="I103" s="972"/>
      <c r="J103" s="972"/>
      <c r="K103" s="972"/>
      <c r="L103" s="972"/>
      <c r="M103" s="1149"/>
      <c r="N103" s="1149"/>
      <c r="O103" s="1450"/>
      <c r="P103" s="1149"/>
      <c r="Q103" s="971"/>
      <c r="R103" s="971"/>
      <c r="S103" s="971"/>
      <c r="T103" s="971"/>
      <c r="U103" s="971"/>
      <c r="V103" s="971"/>
      <c r="W103" s="971"/>
      <c r="X103" s="971"/>
      <c r="Y103" s="971"/>
      <c r="Z103" s="971"/>
      <c r="AA103" s="971"/>
      <c r="AB103" s="971"/>
      <c r="AC103" s="971"/>
      <c r="AD103" s="971"/>
      <c r="AE103" s="971"/>
      <c r="AF103" s="971"/>
      <c r="AG103" s="971"/>
      <c r="AH103" s="971"/>
      <c r="AI103" s="971"/>
      <c r="AJ103" s="971"/>
      <c r="AM103" s="1149"/>
      <c r="AU103" s="971" t="e">
        <f t="shared" ca="1" si="3"/>
        <v>#VALUE!</v>
      </c>
      <c r="AX103" s="1451"/>
    </row>
    <row r="104" spans="1:52" s="1440" customFormat="1" ht="20.149999999999999" hidden="1" customHeight="1" x14ac:dyDescent="0.3">
      <c r="A104" s="971"/>
      <c r="B104" s="1445"/>
      <c r="D104" s="972"/>
      <c r="E104" s="972"/>
      <c r="F104" s="1447" t="str">
        <f>'Administration (2)'!J16</f>
        <v>Dharmasiri Investments (Pvt) Ltd.</v>
      </c>
      <c r="G104" s="972"/>
      <c r="H104" s="972"/>
      <c r="I104" s="972"/>
      <c r="J104" s="972"/>
      <c r="K104" s="972"/>
      <c r="L104" s="972"/>
      <c r="M104" s="1149"/>
      <c r="N104" s="1149"/>
      <c r="O104" s="1149"/>
      <c r="P104" s="1149"/>
      <c r="Q104" s="971"/>
      <c r="R104" s="971"/>
      <c r="S104" s="971"/>
      <c r="T104" s="971"/>
      <c r="U104" s="971"/>
      <c r="V104" s="971"/>
      <c r="W104" s="971"/>
      <c r="X104" s="971"/>
      <c r="Y104" s="971"/>
      <c r="Z104" s="971"/>
      <c r="AA104" s="971"/>
      <c r="AB104" s="971"/>
      <c r="AC104" s="971"/>
      <c r="AD104" s="971"/>
      <c r="AE104" s="971"/>
      <c r="AF104" s="971"/>
      <c r="AG104" s="971"/>
      <c r="AH104" s="971"/>
      <c r="AI104" s="971"/>
      <c r="AJ104" s="971"/>
      <c r="AM104" s="1149"/>
      <c r="AU104" s="971" t="e">
        <f t="shared" ca="1" si="3"/>
        <v>#VALUE!</v>
      </c>
      <c r="AX104" s="1451"/>
    </row>
    <row r="105" spans="1:52" s="1440" customFormat="1" ht="20.149999999999999" hidden="1" customHeight="1" x14ac:dyDescent="0.3">
      <c r="A105" s="971"/>
      <c r="B105" s="1445"/>
      <c r="D105" s="972"/>
      <c r="E105" s="972"/>
      <c r="F105" s="1447" t="str">
        <f>'Administration (2)'!J17</f>
        <v>Indra Finance Ltd.</v>
      </c>
      <c r="G105" s="972"/>
      <c r="H105" s="972"/>
      <c r="I105" s="972"/>
      <c r="J105" s="972"/>
      <c r="K105" s="972"/>
      <c r="L105" s="972"/>
      <c r="M105" s="1149"/>
      <c r="N105" s="1149"/>
      <c r="O105" s="1149"/>
      <c r="P105" s="1149"/>
      <c r="Q105" s="971"/>
      <c r="R105" s="971"/>
      <c r="S105" s="971"/>
      <c r="T105" s="971"/>
      <c r="U105" s="971"/>
      <c r="V105" s="971"/>
      <c r="W105" s="971"/>
      <c r="X105" s="971"/>
      <c r="Y105" s="971"/>
      <c r="Z105" s="971"/>
      <c r="AA105" s="971"/>
      <c r="AB105" s="971"/>
      <c r="AC105" s="971"/>
      <c r="AD105" s="971"/>
      <c r="AE105" s="971"/>
      <c r="AF105" s="971"/>
      <c r="AG105" s="971"/>
      <c r="AH105" s="971"/>
      <c r="AI105" s="971"/>
      <c r="AJ105" s="971"/>
      <c r="AM105" s="1149"/>
      <c r="AU105" s="971" t="e">
        <f t="shared" ca="1" si="3"/>
        <v>#VALUE!</v>
      </c>
      <c r="AX105" s="1451"/>
    </row>
    <row r="106" spans="1:52" s="1440" customFormat="1" ht="20.149999999999999" hidden="1" customHeight="1" x14ac:dyDescent="0.3">
      <c r="A106" s="971"/>
      <c r="B106" s="1445"/>
      <c r="D106" s="972"/>
      <c r="E106" s="972"/>
      <c r="F106" s="1447" t="str">
        <f>'Administration (2)'!J18</f>
        <v>L B Finance PLC</v>
      </c>
      <c r="G106" s="972"/>
      <c r="H106" s="972"/>
      <c r="I106" s="972"/>
      <c r="J106" s="972"/>
      <c r="K106" s="972"/>
      <c r="L106" s="972"/>
      <c r="M106" s="972"/>
      <c r="N106" s="972"/>
      <c r="O106" s="972"/>
      <c r="Q106" s="971"/>
      <c r="R106" s="971"/>
      <c r="S106" s="971"/>
      <c r="T106" s="971"/>
      <c r="U106" s="971"/>
      <c r="V106" s="971"/>
      <c r="W106" s="971"/>
      <c r="X106" s="971"/>
      <c r="Y106" s="971"/>
      <c r="Z106" s="971"/>
      <c r="AA106" s="971"/>
      <c r="AB106" s="971"/>
      <c r="AC106" s="971"/>
      <c r="AD106" s="971"/>
      <c r="AE106" s="971"/>
      <c r="AF106" s="971"/>
      <c r="AG106" s="971"/>
      <c r="AH106" s="971"/>
      <c r="AI106" s="971"/>
      <c r="AJ106" s="971"/>
      <c r="AM106" s="1149"/>
      <c r="AU106" s="971"/>
      <c r="AX106" s="1451"/>
    </row>
    <row r="107" spans="1:52" s="1440" customFormat="1" ht="20.149999999999999" hidden="1" customHeight="1" x14ac:dyDescent="0.3">
      <c r="A107" s="971"/>
      <c r="B107" s="1445"/>
      <c r="D107" s="972"/>
      <c r="E107" s="972"/>
      <c r="F107" s="1447" t="str">
        <f>'Administration (2)'!J19</f>
        <v>Lanka ORIX Finance PLC</v>
      </c>
      <c r="G107" s="972"/>
      <c r="H107" s="972"/>
      <c r="I107" s="972"/>
      <c r="J107" s="972"/>
      <c r="K107" s="972"/>
      <c r="L107" s="972"/>
      <c r="M107" s="972"/>
      <c r="N107" s="972"/>
      <c r="O107" s="972"/>
      <c r="Q107" s="971"/>
      <c r="R107" s="971"/>
      <c r="S107" s="971"/>
      <c r="T107" s="971"/>
      <c r="U107" s="971"/>
      <c r="V107" s="971"/>
      <c r="W107" s="971"/>
      <c r="X107" s="971"/>
      <c r="Y107" s="971"/>
      <c r="Z107" s="971"/>
      <c r="AA107" s="971"/>
      <c r="AB107" s="971"/>
      <c r="AC107" s="971"/>
      <c r="AD107" s="971"/>
      <c r="AE107" s="971"/>
      <c r="AF107" s="971"/>
      <c r="AG107" s="971"/>
      <c r="AH107" s="971"/>
      <c r="AI107" s="971"/>
      <c r="AJ107" s="971"/>
      <c r="AM107" s="1149"/>
      <c r="AU107" s="971" t="e">
        <f ca="1">AU105+1</f>
        <v>#VALUE!</v>
      </c>
      <c r="AX107" s="1451"/>
    </row>
    <row r="108" spans="1:52" s="1440" customFormat="1" ht="28.5" hidden="1" thickTop="1" x14ac:dyDescent="0.3">
      <c r="A108" s="971"/>
      <c r="B108" s="1445"/>
      <c r="D108" s="972"/>
      <c r="E108" s="972"/>
      <c r="F108" s="1447" t="str">
        <f>'Administration (2)'!J20</f>
        <v>Matara District Capital Co-op Society Ltd</v>
      </c>
      <c r="G108" s="972"/>
      <c r="H108" s="972"/>
      <c r="I108" s="972"/>
      <c r="J108" s="972"/>
      <c r="K108" s="972"/>
      <c r="L108" s="972"/>
      <c r="M108" s="972"/>
      <c r="N108" s="972"/>
      <c r="O108" s="972"/>
      <c r="Q108" s="971"/>
      <c r="R108" s="971"/>
      <c r="S108" s="971"/>
      <c r="T108" s="971"/>
      <c r="U108" s="971"/>
      <c r="V108" s="971"/>
      <c r="W108" s="971"/>
      <c r="X108" s="971"/>
      <c r="Y108" s="971"/>
      <c r="Z108" s="971"/>
      <c r="AA108" s="971"/>
      <c r="AB108" s="971"/>
      <c r="AC108" s="971"/>
      <c r="AD108" s="971"/>
      <c r="AE108" s="971"/>
      <c r="AF108" s="971"/>
      <c r="AG108" s="971"/>
      <c r="AH108" s="971"/>
      <c r="AI108" s="971"/>
      <c r="AJ108" s="971"/>
      <c r="AM108" s="1149"/>
      <c r="AU108" s="971" t="e">
        <f t="shared" ref="AU108:AU152" ca="1" si="4">AU107+1</f>
        <v>#VALUE!</v>
      </c>
      <c r="AX108" s="1451"/>
    </row>
    <row r="109" spans="1:52" s="1440" customFormat="1" ht="28.5" hidden="1" thickTop="1" x14ac:dyDescent="0.3">
      <c r="A109" s="971"/>
      <c r="B109" s="1445"/>
      <c r="D109" s="972"/>
      <c r="E109" s="972"/>
      <c r="F109" s="1447" t="str">
        <f>'Administration (2)'!J21</f>
        <v>Mercantile Investments &amp; Finance PLC</v>
      </c>
      <c r="G109" s="972"/>
      <c r="H109" s="972"/>
      <c r="I109" s="972"/>
      <c r="J109" s="972"/>
      <c r="K109" s="972"/>
      <c r="L109" s="972"/>
      <c r="M109" s="972"/>
      <c r="O109" s="972"/>
      <c r="Q109" s="971"/>
      <c r="R109" s="971"/>
      <c r="S109" s="971"/>
      <c r="T109" s="971"/>
      <c r="U109" s="971"/>
      <c r="V109" s="971"/>
      <c r="W109" s="971"/>
      <c r="X109" s="971"/>
      <c r="Y109" s="971"/>
      <c r="Z109" s="971"/>
      <c r="AA109" s="971"/>
      <c r="AB109" s="971"/>
      <c r="AC109" s="971"/>
      <c r="AD109" s="971"/>
      <c r="AE109" s="971"/>
      <c r="AF109" s="971"/>
      <c r="AG109" s="971"/>
      <c r="AH109" s="971"/>
      <c r="AI109" s="971"/>
      <c r="AJ109" s="971"/>
      <c r="AM109" s="1149"/>
      <c r="AU109" s="971" t="e">
        <f t="shared" ca="1" si="4"/>
        <v>#VALUE!</v>
      </c>
      <c r="AX109" s="1451"/>
    </row>
    <row r="110" spans="1:52" s="1440" customFormat="1" ht="14.5" hidden="1" thickTop="1" x14ac:dyDescent="0.3">
      <c r="A110" s="971"/>
      <c r="B110" s="1445"/>
      <c r="D110" s="972"/>
      <c r="E110" s="972"/>
      <c r="F110" s="1447" t="str">
        <f>'Administration (2)'!J22</f>
        <v>Merchant Bank of Sri Lanka PLC</v>
      </c>
      <c r="G110" s="972"/>
      <c r="H110" s="972"/>
      <c r="I110" s="972"/>
      <c r="J110" s="972"/>
      <c r="K110" s="972"/>
      <c r="L110" s="972"/>
      <c r="M110" s="972"/>
      <c r="O110" s="972"/>
      <c r="Q110" s="971"/>
      <c r="R110" s="971"/>
      <c r="S110" s="971"/>
      <c r="T110" s="971"/>
      <c r="U110" s="971"/>
      <c r="V110" s="971"/>
      <c r="W110" s="971"/>
      <c r="X110" s="971"/>
      <c r="Y110" s="971"/>
      <c r="Z110" s="971"/>
      <c r="AA110" s="971"/>
      <c r="AB110" s="971"/>
      <c r="AC110" s="971"/>
      <c r="AD110" s="971"/>
      <c r="AE110" s="971"/>
      <c r="AF110" s="971"/>
      <c r="AG110" s="971"/>
      <c r="AH110" s="971"/>
      <c r="AI110" s="971"/>
      <c r="AJ110" s="971"/>
      <c r="AM110" s="1149"/>
      <c r="AU110" s="971" t="e">
        <f t="shared" ca="1" si="4"/>
        <v>#VALUE!</v>
      </c>
      <c r="AX110" s="1451"/>
    </row>
    <row r="111" spans="1:52" s="1440" customFormat="1" ht="14.5" hidden="1" thickTop="1" x14ac:dyDescent="0.3">
      <c r="A111" s="971"/>
      <c r="B111" s="1445"/>
      <c r="D111" s="972"/>
      <c r="E111" s="972"/>
      <c r="F111" s="1447" t="str">
        <f>'Administration (2)'!J23</f>
        <v>Merchant Credit of Sri Lanka Ltd</v>
      </c>
      <c r="G111" s="972"/>
      <c r="H111" s="972"/>
      <c r="I111" s="972"/>
      <c r="J111" s="972"/>
      <c r="K111" s="972"/>
      <c r="L111" s="972"/>
      <c r="M111" s="972"/>
      <c r="O111" s="972"/>
      <c r="Q111" s="971"/>
      <c r="R111" s="971"/>
      <c r="S111" s="971"/>
      <c r="T111" s="971"/>
      <c r="U111" s="971"/>
      <c r="V111" s="971"/>
      <c r="W111" s="971"/>
      <c r="X111" s="971"/>
      <c r="Y111" s="971"/>
      <c r="Z111" s="971"/>
      <c r="AA111" s="971"/>
      <c r="AB111" s="971"/>
      <c r="AC111" s="971"/>
      <c r="AD111" s="971"/>
      <c r="AE111" s="971"/>
      <c r="AF111" s="971"/>
      <c r="AG111" s="971"/>
      <c r="AH111" s="971"/>
      <c r="AI111" s="971"/>
      <c r="AJ111" s="971"/>
      <c r="AM111" s="1149"/>
      <c r="AU111" s="971" t="e">
        <f t="shared" ca="1" si="4"/>
        <v>#VALUE!</v>
      </c>
      <c r="AX111" s="1451"/>
    </row>
    <row r="112" spans="1:52" s="1440" customFormat="1" ht="14.5" hidden="1" thickTop="1" x14ac:dyDescent="0.3">
      <c r="A112" s="971"/>
      <c r="B112" s="1445"/>
      <c r="D112" s="972"/>
      <c r="E112" s="972"/>
      <c r="F112" s="1447" t="str">
        <f>'Administration (2)'!J24</f>
        <v>Nations Lanka Finance PLC</v>
      </c>
      <c r="G112" s="972"/>
      <c r="H112" s="972"/>
      <c r="I112" s="972"/>
      <c r="J112" s="972"/>
      <c r="K112" s="972"/>
      <c r="L112" s="972"/>
      <c r="M112" s="972"/>
      <c r="O112" s="972"/>
      <c r="Q112" s="971"/>
      <c r="R112" s="971"/>
      <c r="S112" s="971"/>
      <c r="T112" s="971"/>
      <c r="U112" s="971"/>
      <c r="V112" s="971"/>
      <c r="W112" s="971"/>
      <c r="X112" s="971"/>
      <c r="Y112" s="971"/>
      <c r="Z112" s="971"/>
      <c r="AA112" s="971"/>
      <c r="AB112" s="971"/>
      <c r="AC112" s="971"/>
      <c r="AD112" s="971"/>
      <c r="AE112" s="971"/>
      <c r="AF112" s="971"/>
      <c r="AG112" s="971"/>
      <c r="AH112" s="971"/>
      <c r="AI112" s="971"/>
      <c r="AJ112" s="971"/>
      <c r="AM112" s="1149"/>
      <c r="AU112" s="971" t="e">
        <f t="shared" ca="1" si="4"/>
        <v>#VALUE!</v>
      </c>
      <c r="AX112" s="1451"/>
    </row>
    <row r="113" spans="1:50" s="1440" customFormat="1" ht="14.5" hidden="1" thickTop="1" x14ac:dyDescent="0.3">
      <c r="A113" s="971"/>
      <c r="B113" s="1445"/>
      <c r="D113" s="972"/>
      <c r="E113" s="972"/>
      <c r="F113" s="1447" t="str">
        <f>'Administration (2)'!J25</f>
        <v>Omek Investments</v>
      </c>
      <c r="G113" s="972"/>
      <c r="H113" s="972"/>
      <c r="I113" s="972"/>
      <c r="J113" s="972"/>
      <c r="K113" s="972"/>
      <c r="L113" s="972"/>
      <c r="M113" s="972"/>
      <c r="O113" s="972"/>
      <c r="Q113" s="1149"/>
      <c r="AJ113" s="971"/>
      <c r="AM113" s="1149"/>
      <c r="AU113" s="971" t="e">
        <f t="shared" ca="1" si="4"/>
        <v>#VALUE!</v>
      </c>
      <c r="AX113" s="1451"/>
    </row>
    <row r="114" spans="1:50" s="1440" customFormat="1" ht="14.5" hidden="1" thickTop="1" x14ac:dyDescent="0.3">
      <c r="A114" s="971"/>
      <c r="B114" s="1445"/>
      <c r="D114" s="972"/>
      <c r="E114" s="972"/>
      <c r="F114" s="1447" t="str">
        <f>'Administration (2)'!J26</f>
        <v>People's Leasing Company PLC</v>
      </c>
      <c r="G114" s="972"/>
      <c r="H114" s="972"/>
      <c r="I114" s="972"/>
      <c r="J114" s="972"/>
      <c r="K114" s="972"/>
      <c r="L114" s="972"/>
      <c r="M114" s="972"/>
      <c r="O114" s="972"/>
      <c r="Q114" s="1149"/>
      <c r="AJ114" s="971"/>
      <c r="AM114" s="1149"/>
      <c r="AU114" s="971" t="e">
        <f t="shared" ca="1" si="4"/>
        <v>#VALUE!</v>
      </c>
      <c r="AX114" s="1451"/>
    </row>
    <row r="115" spans="1:50" s="1440" customFormat="1" ht="14.5" hidden="1" thickTop="1" x14ac:dyDescent="0.3">
      <c r="A115" s="971"/>
      <c r="B115" s="1445"/>
      <c r="D115" s="972"/>
      <c r="E115" s="972"/>
      <c r="F115" s="1447" t="str">
        <f>'Administration (2)'!J27</f>
        <v>Singer Finance (Lanka) PLC</v>
      </c>
      <c r="G115" s="972"/>
      <c r="H115" s="972"/>
      <c r="I115" s="972"/>
      <c r="J115" s="972"/>
      <c r="K115" s="972"/>
      <c r="L115" s="972"/>
      <c r="M115" s="972"/>
      <c r="O115" s="972"/>
      <c r="Q115" s="1149"/>
      <c r="AJ115" s="971"/>
      <c r="AM115" s="1149"/>
      <c r="AU115" s="971" t="e">
        <f t="shared" ca="1" si="4"/>
        <v>#VALUE!</v>
      </c>
      <c r="AX115" s="1451"/>
    </row>
    <row r="116" spans="1:50" s="1440" customFormat="1" ht="14.5" hidden="1" thickTop="1" x14ac:dyDescent="0.3">
      <c r="A116" s="971"/>
      <c r="B116" s="1445"/>
      <c r="D116" s="972"/>
      <c r="E116" s="972"/>
      <c r="F116" s="1447" t="str">
        <f>'Administration (2)'!J28</f>
        <v>SN Finance</v>
      </c>
      <c r="G116" s="972"/>
      <c r="H116" s="972"/>
      <c r="I116" s="972"/>
      <c r="J116" s="972"/>
      <c r="K116" s="972"/>
      <c r="L116" s="972"/>
      <c r="M116" s="972"/>
      <c r="O116" s="972"/>
      <c r="Q116" s="1149"/>
      <c r="AJ116" s="971"/>
      <c r="AM116" s="1149"/>
      <c r="AU116" s="971" t="e">
        <f t="shared" ca="1" si="4"/>
        <v>#VALUE!</v>
      </c>
      <c r="AX116" s="1451"/>
    </row>
    <row r="117" spans="1:50" s="1440" customFormat="1" ht="14.5" hidden="1" thickTop="1" x14ac:dyDescent="0.3">
      <c r="A117" s="971"/>
      <c r="B117" s="1445"/>
      <c r="F117" s="1447" t="str">
        <f>'Administration (2)'!J29</f>
        <v>Softlogic Finance PLC</v>
      </c>
      <c r="O117" s="972"/>
      <c r="Q117" s="1149"/>
      <c r="AJ117" s="971"/>
      <c r="AM117" s="1149"/>
      <c r="AU117" s="971" t="e">
        <f t="shared" ca="1" si="4"/>
        <v>#VALUE!</v>
      </c>
      <c r="AX117" s="1451"/>
    </row>
    <row r="118" spans="1:50" s="1440" customFormat="1" ht="14.5" hidden="1" thickTop="1" x14ac:dyDescent="0.3">
      <c r="A118" s="971"/>
      <c r="B118" s="1445"/>
      <c r="F118" s="1447" t="str">
        <f>'Administration (2)'!J30</f>
        <v>Thamalu Enterprises</v>
      </c>
      <c r="O118" s="972"/>
      <c r="Q118" s="1149"/>
      <c r="AJ118" s="971"/>
      <c r="AM118" s="1149"/>
      <c r="AU118" s="971" t="e">
        <f t="shared" ca="1" si="4"/>
        <v>#VALUE!</v>
      </c>
      <c r="AX118" s="1451"/>
    </row>
    <row r="119" spans="1:50" s="1440" customFormat="1" ht="14.5" hidden="1" thickTop="1" x14ac:dyDescent="0.3">
      <c r="A119" s="971"/>
      <c r="B119" s="1445"/>
      <c r="F119" s="1447" t="str">
        <f>'Administration (2)'!J31</f>
        <v>Trade Finance</v>
      </c>
      <c r="O119" s="972"/>
      <c r="Q119" s="1149"/>
      <c r="AJ119" s="971"/>
      <c r="AM119" s="1149"/>
      <c r="AU119" s="971" t="e">
        <f t="shared" ca="1" si="4"/>
        <v>#VALUE!</v>
      </c>
      <c r="AX119" s="1451"/>
    </row>
    <row r="120" spans="1:50" s="1440" customFormat="1" ht="14.5" hidden="1" thickTop="1" x14ac:dyDescent="0.3">
      <c r="A120" s="971"/>
      <c r="B120" s="1445"/>
      <c r="F120" s="1447" t="str">
        <f>'Administration (2)'!J32</f>
        <v>UB Finance</v>
      </c>
      <c r="O120" s="972"/>
      <c r="Q120" s="1149"/>
      <c r="AJ120" s="971"/>
      <c r="AM120" s="1149"/>
      <c r="AU120" s="971" t="e">
        <f t="shared" ca="1" si="4"/>
        <v>#VALUE!</v>
      </c>
      <c r="AX120" s="1451"/>
    </row>
    <row r="121" spans="1:50" s="1440" customFormat="1" ht="14.5" hidden="1" thickTop="1" x14ac:dyDescent="0.3">
      <c r="A121" s="971"/>
      <c r="B121" s="1445"/>
      <c r="F121" s="1447" t="str">
        <f>'Administration (2)'!J33</f>
        <v>Vallibel Finance PLC</v>
      </c>
      <c r="O121" s="972"/>
      <c r="Q121" s="1149"/>
      <c r="AJ121" s="971"/>
      <c r="AM121" s="1149"/>
      <c r="AU121" s="971" t="e">
        <f t="shared" ca="1" si="4"/>
        <v>#VALUE!</v>
      </c>
      <c r="AX121" s="1451"/>
    </row>
    <row r="122" spans="1:50" s="1440" customFormat="1" ht="14.5" hidden="1" thickTop="1" x14ac:dyDescent="0.3">
      <c r="A122" s="971"/>
      <c r="B122" s="1445"/>
      <c r="F122" s="1447">
        <f>'Administration (2)'!J34</f>
        <v>0</v>
      </c>
      <c r="O122" s="972"/>
      <c r="Q122" s="1149"/>
      <c r="AJ122" s="971"/>
      <c r="AM122" s="1149"/>
      <c r="AU122" s="971" t="e">
        <f t="shared" ca="1" si="4"/>
        <v>#VALUE!</v>
      </c>
      <c r="AX122" s="1451"/>
    </row>
    <row r="123" spans="1:50" s="1440" customFormat="1" ht="14.5" hidden="1" thickTop="1" x14ac:dyDescent="0.3">
      <c r="A123" s="971"/>
      <c r="B123" s="1445"/>
      <c r="F123" s="1447">
        <f>'Administration (2)'!J35</f>
        <v>0</v>
      </c>
      <c r="O123" s="972"/>
      <c r="Q123" s="1149"/>
      <c r="AJ123" s="971"/>
      <c r="AM123" s="1149"/>
      <c r="AU123" s="971" t="e">
        <f t="shared" ca="1" si="4"/>
        <v>#VALUE!</v>
      </c>
      <c r="AX123" s="1451"/>
    </row>
    <row r="124" spans="1:50" s="1440" customFormat="1" ht="14.5" hidden="1" thickTop="1" x14ac:dyDescent="0.3">
      <c r="A124" s="971"/>
      <c r="B124" s="1445"/>
      <c r="F124" s="1447">
        <f>'Administration (2)'!J36</f>
        <v>0</v>
      </c>
      <c r="O124" s="972"/>
      <c r="Q124" s="1149"/>
      <c r="AJ124" s="971"/>
      <c r="AM124" s="1149"/>
      <c r="AU124" s="971" t="e">
        <f t="shared" ca="1" si="4"/>
        <v>#VALUE!</v>
      </c>
      <c r="AX124" s="1451"/>
    </row>
    <row r="125" spans="1:50" s="1440" customFormat="1" ht="14.5" hidden="1" thickTop="1" x14ac:dyDescent="0.3">
      <c r="A125" s="971"/>
      <c r="B125" s="1445"/>
      <c r="F125" s="1447">
        <f>'Administration (2)'!J37</f>
        <v>0</v>
      </c>
      <c r="O125" s="972"/>
      <c r="Q125" s="1149"/>
      <c r="AJ125" s="971"/>
      <c r="AM125" s="1149"/>
      <c r="AU125" s="971" t="e">
        <f t="shared" ca="1" si="4"/>
        <v>#VALUE!</v>
      </c>
      <c r="AX125" s="1451"/>
    </row>
    <row r="126" spans="1:50" s="1440" customFormat="1" ht="14.5" hidden="1" thickTop="1" x14ac:dyDescent="0.3">
      <c r="A126" s="971"/>
      <c r="B126" s="1445"/>
      <c r="F126" s="1447">
        <f>'Administration (2)'!J38</f>
        <v>0</v>
      </c>
      <c r="O126" s="972"/>
      <c r="Q126" s="1149"/>
      <c r="AJ126" s="971"/>
      <c r="AM126" s="1149"/>
      <c r="AU126" s="971" t="e">
        <f t="shared" ca="1" si="4"/>
        <v>#VALUE!</v>
      </c>
      <c r="AX126" s="1451"/>
    </row>
    <row r="127" spans="1:50" s="1440" customFormat="1" ht="14.5" hidden="1" thickTop="1" x14ac:dyDescent="0.3">
      <c r="A127" s="971"/>
      <c r="B127" s="1445"/>
      <c r="F127" s="1447">
        <f>'Administration (2)'!J39</f>
        <v>0</v>
      </c>
      <c r="O127" s="972"/>
      <c r="Q127" s="1149"/>
      <c r="AJ127" s="971"/>
      <c r="AM127" s="1149"/>
      <c r="AU127" s="971" t="e">
        <f t="shared" ca="1" si="4"/>
        <v>#VALUE!</v>
      </c>
      <c r="AX127" s="1451"/>
    </row>
    <row r="128" spans="1:50" s="1440" customFormat="1" ht="14.5" hidden="1" thickTop="1" x14ac:dyDescent="0.3">
      <c r="A128" s="971"/>
      <c r="B128" s="1445"/>
      <c r="F128" s="1447">
        <f>'Administration (2)'!J40</f>
        <v>0</v>
      </c>
      <c r="O128" s="972"/>
      <c r="Q128" s="1149"/>
      <c r="AJ128" s="971"/>
      <c r="AM128" s="1149"/>
      <c r="AU128" s="971" t="e">
        <f t="shared" ca="1" si="4"/>
        <v>#VALUE!</v>
      </c>
      <c r="AX128" s="1451"/>
    </row>
    <row r="129" spans="1:50" s="1440" customFormat="1" ht="14.5" hidden="1" thickTop="1" x14ac:dyDescent="0.3">
      <c r="A129" s="971"/>
      <c r="B129" s="1445"/>
      <c r="F129" s="1447">
        <f>'Administration (2)'!J41</f>
        <v>0</v>
      </c>
      <c r="O129" s="972"/>
      <c r="Q129" s="1149"/>
      <c r="AJ129" s="971"/>
      <c r="AM129" s="1149"/>
      <c r="AU129" s="971" t="e">
        <f t="shared" ca="1" si="4"/>
        <v>#VALUE!</v>
      </c>
      <c r="AX129" s="1451"/>
    </row>
    <row r="130" spans="1:50" s="1440" customFormat="1" ht="14.5" hidden="1" thickTop="1" x14ac:dyDescent="0.3">
      <c r="A130" s="971"/>
      <c r="B130" s="1445"/>
      <c r="F130" s="1447">
        <f>'Administration (2)'!J42</f>
        <v>0</v>
      </c>
      <c r="O130" s="972"/>
      <c r="Q130" s="1149"/>
      <c r="AJ130" s="971"/>
      <c r="AM130" s="1149"/>
      <c r="AU130" s="971" t="e">
        <f t="shared" ca="1" si="4"/>
        <v>#VALUE!</v>
      </c>
      <c r="AX130" s="1451"/>
    </row>
    <row r="131" spans="1:50" s="1440" customFormat="1" ht="14.5" hidden="1" thickTop="1" x14ac:dyDescent="0.3">
      <c r="A131" s="971"/>
      <c r="B131" s="1445"/>
      <c r="F131" s="1447">
        <f>'Administration (2)'!J43</f>
        <v>0</v>
      </c>
      <c r="O131" s="972"/>
      <c r="Q131" s="1149"/>
      <c r="AJ131" s="971"/>
      <c r="AM131" s="1149"/>
      <c r="AU131" s="971" t="e">
        <f t="shared" ca="1" si="4"/>
        <v>#VALUE!</v>
      </c>
      <c r="AX131" s="1451"/>
    </row>
    <row r="132" spans="1:50" s="1440" customFormat="1" ht="14.5" hidden="1" thickTop="1" x14ac:dyDescent="0.3">
      <c r="A132" s="971"/>
      <c r="B132" s="1445"/>
      <c r="F132" s="1447">
        <f>'Administration (2)'!J44</f>
        <v>0</v>
      </c>
      <c r="O132" s="972"/>
      <c r="Q132" s="1149"/>
      <c r="AJ132" s="971"/>
      <c r="AM132" s="1149"/>
      <c r="AU132" s="971" t="e">
        <f t="shared" ca="1" si="4"/>
        <v>#VALUE!</v>
      </c>
      <c r="AX132" s="1451"/>
    </row>
    <row r="133" spans="1:50" s="1440" customFormat="1" ht="14.5" hidden="1" thickTop="1" x14ac:dyDescent="0.3">
      <c r="A133" s="971"/>
      <c r="B133" s="1445"/>
      <c r="F133" s="1447">
        <f>'Administration (2)'!J45</f>
        <v>0</v>
      </c>
      <c r="O133" s="972"/>
      <c r="Q133" s="1149"/>
      <c r="AJ133" s="971"/>
      <c r="AM133" s="1149"/>
      <c r="AU133" s="971" t="e">
        <f t="shared" ca="1" si="4"/>
        <v>#VALUE!</v>
      </c>
      <c r="AX133" s="1451"/>
    </row>
    <row r="134" spans="1:50" s="1440" customFormat="1" ht="14.5" hidden="1" thickTop="1" x14ac:dyDescent="0.3">
      <c r="A134" s="971"/>
      <c r="B134" s="1445"/>
      <c r="F134" s="1447">
        <f>'Administration (2)'!J46</f>
        <v>0</v>
      </c>
      <c r="O134" s="972"/>
      <c r="Q134" s="1149"/>
      <c r="AJ134" s="971"/>
      <c r="AM134" s="1149"/>
      <c r="AU134" s="971" t="e">
        <f t="shared" ca="1" si="4"/>
        <v>#VALUE!</v>
      </c>
      <c r="AX134" s="1451"/>
    </row>
    <row r="135" spans="1:50" s="1440" customFormat="1" ht="14.5" hidden="1" thickTop="1" x14ac:dyDescent="0.3">
      <c r="A135" s="971"/>
      <c r="B135" s="1445"/>
      <c r="F135" s="1447">
        <f>'Administration (2)'!J47</f>
        <v>0</v>
      </c>
      <c r="O135" s="972"/>
      <c r="Q135" s="1149"/>
      <c r="AJ135" s="971"/>
      <c r="AM135" s="1149"/>
      <c r="AU135" s="971" t="e">
        <f t="shared" ca="1" si="4"/>
        <v>#VALUE!</v>
      </c>
      <c r="AX135" s="1451"/>
    </row>
    <row r="136" spans="1:50" s="1440" customFormat="1" ht="14.5" hidden="1" thickTop="1" x14ac:dyDescent="0.3">
      <c r="A136" s="971"/>
      <c r="B136" s="1445"/>
      <c r="F136" s="1447">
        <f>'Administration (2)'!J48</f>
        <v>0</v>
      </c>
      <c r="O136" s="972"/>
      <c r="Q136" s="1149"/>
      <c r="AJ136" s="971"/>
      <c r="AM136" s="1149"/>
      <c r="AU136" s="971" t="e">
        <f t="shared" ca="1" si="4"/>
        <v>#VALUE!</v>
      </c>
      <c r="AX136" s="1451"/>
    </row>
    <row r="137" spans="1:50" s="1440" customFormat="1" ht="14.5" hidden="1" thickTop="1" x14ac:dyDescent="0.3">
      <c r="A137" s="971"/>
      <c r="B137" s="1445"/>
      <c r="F137" s="1447">
        <f>'Administration (2)'!J49</f>
        <v>0</v>
      </c>
      <c r="O137" s="972"/>
      <c r="Q137" s="1149"/>
      <c r="AJ137" s="971"/>
      <c r="AM137" s="1149"/>
      <c r="AU137" s="971" t="e">
        <f t="shared" ca="1" si="4"/>
        <v>#VALUE!</v>
      </c>
      <c r="AX137" s="1451"/>
    </row>
    <row r="138" spans="1:50" s="1440" customFormat="1" ht="14.5" hidden="1" thickTop="1" x14ac:dyDescent="0.3">
      <c r="A138" s="971"/>
      <c r="B138" s="1445"/>
      <c r="F138" s="1447">
        <f>'Administration (2)'!J50</f>
        <v>0</v>
      </c>
      <c r="O138" s="972"/>
      <c r="Q138" s="1149"/>
      <c r="AJ138" s="971"/>
      <c r="AM138" s="1149"/>
      <c r="AU138" s="971" t="e">
        <f t="shared" ca="1" si="4"/>
        <v>#VALUE!</v>
      </c>
      <c r="AX138" s="1451"/>
    </row>
    <row r="139" spans="1:50" s="1440" customFormat="1" ht="14.5" hidden="1" thickTop="1" x14ac:dyDescent="0.3">
      <c r="A139" s="971"/>
      <c r="B139" s="1445"/>
      <c r="F139" s="1447">
        <f>'Administration (2)'!J51</f>
        <v>0</v>
      </c>
      <c r="O139" s="972"/>
      <c r="Q139" s="1149"/>
      <c r="AJ139" s="971"/>
      <c r="AM139" s="1149"/>
      <c r="AU139" s="971" t="e">
        <f t="shared" ca="1" si="4"/>
        <v>#VALUE!</v>
      </c>
      <c r="AX139" s="1451"/>
    </row>
    <row r="140" spans="1:50" s="1440" customFormat="1" ht="14.5" hidden="1" thickTop="1" x14ac:dyDescent="0.3">
      <c r="A140" s="971"/>
      <c r="B140" s="1445"/>
      <c r="F140" s="1447">
        <f>'Administration (2)'!J52</f>
        <v>0</v>
      </c>
      <c r="O140" s="972"/>
      <c r="Q140" s="1149"/>
      <c r="AJ140" s="971"/>
      <c r="AM140" s="1149"/>
      <c r="AU140" s="971" t="e">
        <f t="shared" ca="1" si="4"/>
        <v>#VALUE!</v>
      </c>
      <c r="AX140" s="1451"/>
    </row>
    <row r="141" spans="1:50" s="1440" customFormat="1" ht="14.5" hidden="1" thickTop="1" x14ac:dyDescent="0.3">
      <c r="A141" s="971"/>
      <c r="B141" s="1445"/>
      <c r="F141" s="1447">
        <f>'Administration (2)'!J53</f>
        <v>0</v>
      </c>
      <c r="O141" s="972"/>
      <c r="Q141" s="1149"/>
      <c r="AJ141" s="971"/>
      <c r="AM141" s="1149"/>
      <c r="AU141" s="971" t="e">
        <f t="shared" ca="1" si="4"/>
        <v>#VALUE!</v>
      </c>
      <c r="AX141" s="1451"/>
    </row>
    <row r="142" spans="1:50" s="1440" customFormat="1" ht="14.5" hidden="1" thickTop="1" x14ac:dyDescent="0.3">
      <c r="A142" s="971"/>
      <c r="B142" s="1445"/>
      <c r="F142" s="1447">
        <f>'Administration (2)'!J54</f>
        <v>0</v>
      </c>
      <c r="O142" s="972"/>
      <c r="Q142" s="1149"/>
      <c r="AJ142" s="971"/>
      <c r="AM142" s="1149"/>
      <c r="AU142" s="971" t="e">
        <f t="shared" ca="1" si="4"/>
        <v>#VALUE!</v>
      </c>
      <c r="AX142" s="1451"/>
    </row>
    <row r="143" spans="1:50" s="1440" customFormat="1" ht="14.5" hidden="1" thickTop="1" x14ac:dyDescent="0.3">
      <c r="A143" s="971"/>
      <c r="B143" s="1445"/>
      <c r="F143" s="1447">
        <f>'Administration (2)'!J55</f>
        <v>0</v>
      </c>
      <c r="O143" s="972"/>
      <c r="Q143" s="1149"/>
      <c r="AJ143" s="971"/>
      <c r="AM143" s="1149"/>
      <c r="AU143" s="971" t="e">
        <f t="shared" ca="1" si="4"/>
        <v>#VALUE!</v>
      </c>
      <c r="AX143" s="1451"/>
    </row>
    <row r="144" spans="1:50" s="1440" customFormat="1" ht="14.5" hidden="1" thickTop="1" x14ac:dyDescent="0.3">
      <c r="A144" s="971"/>
      <c r="B144" s="1445"/>
      <c r="F144" s="1447">
        <f>'Administration (2)'!J56</f>
        <v>0</v>
      </c>
      <c r="O144" s="972"/>
      <c r="Q144" s="1149"/>
      <c r="AJ144" s="971"/>
      <c r="AM144" s="1149"/>
      <c r="AU144" s="971" t="e">
        <f t="shared" ca="1" si="4"/>
        <v>#VALUE!</v>
      </c>
      <c r="AX144" s="1451"/>
    </row>
    <row r="145" spans="1:50" s="1440" customFormat="1" ht="14.5" hidden="1" thickTop="1" x14ac:dyDescent="0.3">
      <c r="A145" s="971"/>
      <c r="B145" s="1445"/>
      <c r="F145" s="1447">
        <f>'Administration (2)'!J57</f>
        <v>0</v>
      </c>
      <c r="O145" s="972"/>
      <c r="Q145" s="1149"/>
      <c r="AJ145" s="971"/>
      <c r="AM145" s="1149"/>
      <c r="AU145" s="971" t="e">
        <f t="shared" ca="1" si="4"/>
        <v>#VALUE!</v>
      </c>
      <c r="AX145" s="1451"/>
    </row>
    <row r="146" spans="1:50" s="1440" customFormat="1" ht="14.5" hidden="1" thickTop="1" x14ac:dyDescent="0.3">
      <c r="A146" s="971"/>
      <c r="B146" s="1445"/>
      <c r="F146" s="1447">
        <f>'Administration (2)'!J58</f>
        <v>0</v>
      </c>
      <c r="O146" s="972"/>
      <c r="Q146" s="1149"/>
      <c r="AJ146" s="971"/>
      <c r="AM146" s="1149"/>
      <c r="AU146" s="971" t="e">
        <f t="shared" ca="1" si="4"/>
        <v>#VALUE!</v>
      </c>
      <c r="AX146" s="1451"/>
    </row>
    <row r="147" spans="1:50" s="1440" customFormat="1" ht="14.5" hidden="1" thickTop="1" x14ac:dyDescent="0.3">
      <c r="A147" s="971"/>
      <c r="B147" s="1445"/>
      <c r="F147" s="1447">
        <f>'Administration (2)'!J59</f>
        <v>0</v>
      </c>
      <c r="O147" s="972"/>
      <c r="Q147" s="1149"/>
      <c r="AJ147" s="971"/>
      <c r="AM147" s="1149"/>
      <c r="AU147" s="971" t="e">
        <f t="shared" ca="1" si="4"/>
        <v>#VALUE!</v>
      </c>
      <c r="AX147" s="1451"/>
    </row>
    <row r="148" spans="1:50" s="1440" customFormat="1" ht="14.5" hidden="1" thickTop="1" x14ac:dyDescent="0.3">
      <c r="A148" s="971"/>
      <c r="B148" s="1445"/>
      <c r="F148" s="1447">
        <f>'Administration (2)'!J60</f>
        <v>0</v>
      </c>
      <c r="O148" s="972"/>
      <c r="Q148" s="1149"/>
      <c r="AJ148" s="971"/>
      <c r="AM148" s="1149"/>
      <c r="AU148" s="971" t="e">
        <f t="shared" ca="1" si="4"/>
        <v>#VALUE!</v>
      </c>
      <c r="AX148" s="1451"/>
    </row>
    <row r="149" spans="1:50" s="1440" customFormat="1" ht="14.5" hidden="1" thickTop="1" x14ac:dyDescent="0.3">
      <c r="A149" s="971"/>
      <c r="B149" s="1445"/>
      <c r="F149" s="1447">
        <f>'Administration (2)'!J61</f>
        <v>0</v>
      </c>
      <c r="O149" s="972"/>
      <c r="Q149" s="1149"/>
      <c r="AJ149" s="971"/>
      <c r="AM149" s="1149"/>
      <c r="AU149" s="971" t="e">
        <f t="shared" ca="1" si="4"/>
        <v>#VALUE!</v>
      </c>
      <c r="AX149" s="1451"/>
    </row>
    <row r="150" spans="1:50" s="1440" customFormat="1" ht="14.5" hidden="1" thickTop="1" x14ac:dyDescent="0.3">
      <c r="A150" s="971"/>
      <c r="B150" s="1445"/>
      <c r="F150" s="1447">
        <f>'Administration (2)'!J62</f>
        <v>0</v>
      </c>
      <c r="O150" s="972"/>
      <c r="Q150" s="1149"/>
      <c r="AJ150" s="971"/>
      <c r="AM150" s="1149"/>
      <c r="AU150" s="971" t="e">
        <f t="shared" ca="1" si="4"/>
        <v>#VALUE!</v>
      </c>
      <c r="AX150" s="1451"/>
    </row>
    <row r="151" spans="1:50" s="1440" customFormat="1" ht="14.5" hidden="1" thickTop="1" x14ac:dyDescent="0.3">
      <c r="A151" s="971"/>
      <c r="B151" s="1445"/>
      <c r="F151" s="1447">
        <f>'Administration (2)'!J63</f>
        <v>0</v>
      </c>
      <c r="O151" s="972"/>
      <c r="Q151" s="1149"/>
      <c r="AJ151" s="971"/>
      <c r="AM151" s="1149"/>
      <c r="AU151" s="971" t="e">
        <f t="shared" ca="1" si="4"/>
        <v>#VALUE!</v>
      </c>
      <c r="AX151" s="1451"/>
    </row>
    <row r="152" spans="1:50" s="1440" customFormat="1" ht="14.5" hidden="1" thickTop="1" x14ac:dyDescent="0.3">
      <c r="A152" s="971"/>
      <c r="B152" s="1445"/>
      <c r="O152" s="972"/>
      <c r="Q152" s="1149"/>
      <c r="AJ152" s="971"/>
      <c r="AM152" s="1149"/>
      <c r="AU152" s="971" t="e">
        <f t="shared" ca="1" si="4"/>
        <v>#VALUE!</v>
      </c>
      <c r="AX152" s="1451"/>
    </row>
  </sheetData>
  <sheetProtection password="F6CE" sheet="1" objects="1" scenarios="1" selectLockedCells="1" selectUnlockedCells="1"/>
  <dataConsolidate/>
  <mergeCells count="45">
    <mergeCell ref="F59:G59"/>
    <mergeCell ref="E61:F66"/>
    <mergeCell ref="N66:O66"/>
    <mergeCell ref="M69:M70"/>
    <mergeCell ref="F70:H71"/>
    <mergeCell ref="R94:T94"/>
    <mergeCell ref="I37:K37"/>
    <mergeCell ref="O40:V41"/>
    <mergeCell ref="H46:K46"/>
    <mergeCell ref="I49:K49"/>
    <mergeCell ref="I52:K52"/>
    <mergeCell ref="F58:G58"/>
    <mergeCell ref="I25:K25"/>
    <mergeCell ref="F27:H28"/>
    <mergeCell ref="I28:K28"/>
    <mergeCell ref="I30:J30"/>
    <mergeCell ref="N33:O34"/>
    <mergeCell ref="I36:K36"/>
    <mergeCell ref="E15:F15"/>
    <mergeCell ref="H15:I15"/>
    <mergeCell ref="E16:H17"/>
    <mergeCell ref="I16:M17"/>
    <mergeCell ref="N17:O18"/>
    <mergeCell ref="I23:L23"/>
    <mergeCell ref="I14:J14"/>
    <mergeCell ref="K14:M14"/>
    <mergeCell ref="H7:K7"/>
    <mergeCell ref="L7:M7"/>
    <mergeCell ref="H8:I8"/>
    <mergeCell ref="H9:I9"/>
    <mergeCell ref="K9:M9"/>
    <mergeCell ref="H11:I11"/>
    <mergeCell ref="J11:L11"/>
    <mergeCell ref="H12:I12"/>
    <mergeCell ref="J12:L12"/>
    <mergeCell ref="I13:K13"/>
    <mergeCell ref="E10:F10"/>
    <mergeCell ref="H10:I10"/>
    <mergeCell ref="L10:M10"/>
    <mergeCell ref="N1:O1"/>
    <mergeCell ref="H2:I2"/>
    <mergeCell ref="K2:M2"/>
    <mergeCell ref="L3:M4"/>
    <mergeCell ref="I6:K6"/>
    <mergeCell ref="L6:M6"/>
  </mergeCells>
  <conditionalFormatting sqref="E54 E50">
    <cfRule type="expression" dxfId="110" priority="7" stopIfTrue="1">
      <formula>H50&gt;0</formula>
    </cfRule>
  </conditionalFormatting>
  <conditionalFormatting sqref="E56 E45">
    <cfRule type="expression" dxfId="109" priority="8" stopIfTrue="1">
      <formula>O45=1</formula>
    </cfRule>
  </conditionalFormatting>
  <conditionalFormatting sqref="E55">
    <cfRule type="expression" dxfId="108" priority="9" stopIfTrue="1">
      <formula>Q55=1</formula>
    </cfRule>
  </conditionalFormatting>
  <conditionalFormatting sqref="F56:G56">
    <cfRule type="expression" dxfId="107" priority="10" stopIfTrue="1">
      <formula>O56=1</formula>
    </cfRule>
  </conditionalFormatting>
  <conditionalFormatting sqref="F55:G55 G40">
    <cfRule type="expression" dxfId="106" priority="11" stopIfTrue="1">
      <formula>Q40=1</formula>
    </cfRule>
  </conditionalFormatting>
  <conditionalFormatting sqref="E44">
    <cfRule type="expression" dxfId="105" priority="12" stopIfTrue="1">
      <formula>M44&gt;1</formula>
    </cfRule>
  </conditionalFormatting>
  <conditionalFormatting sqref="E46">
    <cfRule type="expression" dxfId="104" priority="13" stopIfTrue="1">
      <formula>OR(T46=1,Q48=0)</formula>
    </cfRule>
  </conditionalFormatting>
  <conditionalFormatting sqref="F46:G46">
    <cfRule type="expression" dxfId="103" priority="14" stopIfTrue="1">
      <formula>OR(T46=1,Q48=0)</formula>
    </cfRule>
  </conditionalFormatting>
  <conditionalFormatting sqref="F39:G39">
    <cfRule type="expression" dxfId="102" priority="16" stopIfTrue="1">
      <formula>B39="Yes"</formula>
    </cfRule>
  </conditionalFormatting>
  <conditionalFormatting sqref="E39">
    <cfRule type="expression" dxfId="101" priority="17" stopIfTrue="1">
      <formula>B39="Yes"</formula>
    </cfRule>
  </conditionalFormatting>
  <conditionalFormatting sqref="F23">
    <cfRule type="expression" dxfId="100" priority="18" stopIfTrue="1">
      <formula>M23&lt;0</formula>
    </cfRule>
  </conditionalFormatting>
  <conditionalFormatting sqref="E23">
    <cfRule type="expression" dxfId="99" priority="19" stopIfTrue="1">
      <formula>M23&lt;0</formula>
    </cfRule>
  </conditionalFormatting>
  <conditionalFormatting sqref="F48:G48">
    <cfRule type="expression" dxfId="98" priority="20" stopIfTrue="1">
      <formula>T48=1</formula>
    </cfRule>
  </conditionalFormatting>
  <conditionalFormatting sqref="E48">
    <cfRule type="expression" dxfId="97" priority="21" stopIfTrue="1">
      <formula>T48=1</formula>
    </cfRule>
  </conditionalFormatting>
  <conditionalFormatting sqref="F44:G44">
    <cfRule type="expression" dxfId="96" priority="22" stopIfTrue="1">
      <formula>AND(O45=1,R45=1)</formula>
    </cfRule>
  </conditionalFormatting>
  <conditionalFormatting sqref="F45:G45">
    <cfRule type="expression" dxfId="95" priority="23" stopIfTrue="1">
      <formula>AND(O45=1,R45=1)</formula>
    </cfRule>
  </conditionalFormatting>
  <conditionalFormatting sqref="E20">
    <cfRule type="expression" dxfId="94" priority="24" stopIfTrue="1">
      <formula>H20&gt;0</formula>
    </cfRule>
  </conditionalFormatting>
  <conditionalFormatting sqref="F20:G20">
    <cfRule type="expression" dxfId="93" priority="25" stopIfTrue="1">
      <formula>H20&gt;0</formula>
    </cfRule>
  </conditionalFormatting>
  <conditionalFormatting sqref="F36:F37">
    <cfRule type="expression" dxfId="92" priority="26" stopIfTrue="1">
      <formula>AND(H36&gt;0%,M36&lt;0)</formula>
    </cfRule>
  </conditionalFormatting>
  <conditionalFormatting sqref="E36:E37">
    <cfRule type="expression" dxfId="91" priority="27" stopIfTrue="1">
      <formula>AND(H36&gt;0%,M36&lt;0)</formula>
    </cfRule>
  </conditionalFormatting>
  <conditionalFormatting sqref="E47">
    <cfRule type="expression" dxfId="90" priority="28" stopIfTrue="1">
      <formula>R64=1</formula>
    </cfRule>
  </conditionalFormatting>
  <conditionalFormatting sqref="F51:G51">
    <cfRule type="expression" dxfId="89" priority="30" stopIfTrue="1">
      <formula>AND($H$51&gt;0,Z49=1,Y49=1)</formula>
    </cfRule>
  </conditionalFormatting>
  <conditionalFormatting sqref="E51">
    <cfRule type="expression" dxfId="88" priority="31" stopIfTrue="1">
      <formula>AND($H$51&gt;0,Z49=1,Y49=1)</formula>
    </cfRule>
  </conditionalFormatting>
  <conditionalFormatting sqref="E60">
    <cfRule type="expression" dxfId="87" priority="32" stopIfTrue="1">
      <formula>C60=1</formula>
    </cfRule>
  </conditionalFormatting>
  <conditionalFormatting sqref="M19:M20 M22 M30 M36:M37 M39:M57">
    <cfRule type="expression" dxfId="86" priority="33" stopIfTrue="1">
      <formula>L19=1</formula>
    </cfRule>
  </conditionalFormatting>
  <conditionalFormatting sqref="M29 M23 M25">
    <cfRule type="expression" dxfId="85" priority="34" stopIfTrue="1">
      <formula>O23=1</formula>
    </cfRule>
  </conditionalFormatting>
  <conditionalFormatting sqref="E58:E59">
    <cfRule type="expression" dxfId="84" priority="35" stopIfTrue="1">
      <formula>O58=1</formula>
    </cfRule>
  </conditionalFormatting>
  <conditionalFormatting sqref="E21">
    <cfRule type="expression" dxfId="83" priority="36" stopIfTrue="1">
      <formula>OR(B21="Free",Q21=1)</formula>
    </cfRule>
  </conditionalFormatting>
  <conditionalFormatting sqref="E25">
    <cfRule type="expression" dxfId="82" priority="38" stopIfTrue="1">
      <formula>OR($R$25&gt;1,AA25=1)</formula>
    </cfRule>
  </conditionalFormatting>
  <conditionalFormatting sqref="I36">
    <cfRule type="expression" dxfId="81" priority="39" stopIfTrue="1">
      <formula>OR(H36&gt;R36,I36="NCB Not Allowed")</formula>
    </cfRule>
  </conditionalFormatting>
  <conditionalFormatting sqref="E57">
    <cfRule type="expression" dxfId="80" priority="42" stopIfTrue="1">
      <formula>M57&gt;1</formula>
    </cfRule>
  </conditionalFormatting>
  <conditionalFormatting sqref="H53">
    <cfRule type="expression" dxfId="79" priority="43" stopIfTrue="1">
      <formula>T48=0</formula>
    </cfRule>
  </conditionalFormatting>
  <conditionalFormatting sqref="F25">
    <cfRule type="expression" dxfId="78" priority="44" stopIfTrue="1">
      <formula>OR($R$25&gt;1,AA25=1)</formula>
    </cfRule>
  </conditionalFormatting>
  <conditionalFormatting sqref="F26">
    <cfRule type="expression" dxfId="77" priority="45" stopIfTrue="1">
      <formula>H25&gt;0</formula>
    </cfRule>
  </conditionalFormatting>
  <conditionalFormatting sqref="H26">
    <cfRule type="expression" dxfId="76" priority="46" stopIfTrue="1">
      <formula>H25&gt;0</formula>
    </cfRule>
  </conditionalFormatting>
  <conditionalFormatting sqref="K26">
    <cfRule type="expression" dxfId="75" priority="47" stopIfTrue="1">
      <formula>H25&gt;0</formula>
    </cfRule>
  </conditionalFormatting>
  <conditionalFormatting sqref="I29:J29">
    <cfRule type="expression" dxfId="74" priority="48" stopIfTrue="1">
      <formula>M29=0</formula>
    </cfRule>
  </conditionalFormatting>
  <conditionalFormatting sqref="I27">
    <cfRule type="expression" dxfId="73" priority="49" stopIfTrue="1">
      <formula>OR($R$25&gt;1,AA25=1)</formula>
    </cfRule>
  </conditionalFormatting>
  <conditionalFormatting sqref="L25">
    <cfRule type="expression" dxfId="72" priority="50" stopIfTrue="1">
      <formula>OR($R$25&gt;1,AA25=1)</formula>
    </cfRule>
  </conditionalFormatting>
  <conditionalFormatting sqref="G42">
    <cfRule type="expression" dxfId="71" priority="51" stopIfTrue="1">
      <formula>AND(R41=1,R40=1)</formula>
    </cfRule>
  </conditionalFormatting>
  <conditionalFormatting sqref="E40">
    <cfRule type="expression" dxfId="70" priority="52" stopIfTrue="1">
      <formula>Q38=1</formula>
    </cfRule>
  </conditionalFormatting>
  <conditionalFormatting sqref="F40">
    <cfRule type="expression" dxfId="69" priority="53" stopIfTrue="1">
      <formula>Q38=1</formula>
    </cfRule>
  </conditionalFormatting>
  <conditionalFormatting sqref="E42">
    <cfRule type="expression" dxfId="68" priority="54" stopIfTrue="1">
      <formula>AND(Q39=1,Q38=1)</formula>
    </cfRule>
  </conditionalFormatting>
  <conditionalFormatting sqref="F42">
    <cfRule type="expression" dxfId="67" priority="55" stopIfTrue="1">
      <formula>AND(Q39=1,Q38=1)</formula>
    </cfRule>
  </conditionalFormatting>
  <conditionalFormatting sqref="E53">
    <cfRule type="expression" dxfId="66" priority="56" stopIfTrue="1">
      <formula>AND(H53&gt;1000,T48=1,Z50=1,O53=1)</formula>
    </cfRule>
  </conditionalFormatting>
  <conditionalFormatting sqref="G4">
    <cfRule type="expression" dxfId="65" priority="60" stopIfTrue="1">
      <formula>D3=1</formula>
    </cfRule>
  </conditionalFormatting>
  <conditionalFormatting sqref="H4">
    <cfRule type="expression" dxfId="64" priority="61" stopIfTrue="1">
      <formula>D3=1</formula>
    </cfRule>
  </conditionalFormatting>
  <conditionalFormatting sqref="I4:J4">
    <cfRule type="expression" dxfId="63" priority="62" stopIfTrue="1">
      <formula>D3=1</formula>
    </cfRule>
  </conditionalFormatting>
  <conditionalFormatting sqref="G5">
    <cfRule type="expression" dxfId="62" priority="63" stopIfTrue="1">
      <formula>D3=1</formula>
    </cfRule>
  </conditionalFormatting>
  <conditionalFormatting sqref="I5:J5">
    <cfRule type="expression" dxfId="61" priority="64" stopIfTrue="1">
      <formula>D3=1</formula>
    </cfRule>
  </conditionalFormatting>
  <conditionalFormatting sqref="H5">
    <cfRule type="expression" dxfId="60" priority="65" stopIfTrue="1">
      <formula>D3=1</formula>
    </cfRule>
  </conditionalFormatting>
  <conditionalFormatting sqref="M5">
    <cfRule type="expression" dxfId="59" priority="66" stopIfTrue="1">
      <formula>D3=1</formula>
    </cfRule>
  </conditionalFormatting>
  <conditionalFormatting sqref="I3:J3">
    <cfRule type="expression" dxfId="58" priority="67" stopIfTrue="1">
      <formula>D3=1</formula>
    </cfRule>
  </conditionalFormatting>
  <conditionalFormatting sqref="E22">
    <cfRule type="expression" dxfId="57" priority="68" stopIfTrue="1">
      <formula>I22&gt;1000</formula>
    </cfRule>
  </conditionalFormatting>
  <conditionalFormatting sqref="F22">
    <cfRule type="expression" dxfId="56" priority="70" stopIfTrue="1">
      <formula>I22&gt;1</formula>
    </cfRule>
  </conditionalFormatting>
  <conditionalFormatting sqref="K8">
    <cfRule type="expression" dxfId="55" priority="59" stopIfTrue="1">
      <formula>M8=L8</formula>
    </cfRule>
  </conditionalFormatting>
  <conditionalFormatting sqref="I24:J24">
    <cfRule type="expression" dxfId="54" priority="87" stopIfTrue="1">
      <formula>AND(C24=1,U23=0)</formula>
    </cfRule>
  </conditionalFormatting>
  <conditionalFormatting sqref="F49:G49">
    <cfRule type="expression" dxfId="53" priority="15" stopIfTrue="1">
      <formula>OR(Q49&gt;0,H49&gt;0)</formula>
    </cfRule>
  </conditionalFormatting>
  <conditionalFormatting sqref="F47:G47">
    <cfRule type="expression" dxfId="52" priority="29" stopIfTrue="1">
      <formula>AND(H47&gt;1,T47=1,Z49=1)</formula>
    </cfRule>
  </conditionalFormatting>
  <conditionalFormatting sqref="F21:G21">
    <cfRule type="expression" dxfId="51" priority="37" stopIfTrue="1">
      <formula>OR(B21="Free",Q21=1)</formula>
    </cfRule>
  </conditionalFormatting>
  <conditionalFormatting sqref="E29">
    <cfRule type="expression" dxfId="50" priority="40" stopIfTrue="1">
      <formula>AND(R29&gt;1,Z49=1,Y49=1)</formula>
    </cfRule>
  </conditionalFormatting>
  <conditionalFormatting sqref="F29:G29">
    <cfRule type="expression" dxfId="49" priority="41" stopIfTrue="1">
      <formula>AND(R29&gt;1,Z49=1,Y49=1)</formula>
    </cfRule>
  </conditionalFormatting>
  <conditionalFormatting sqref="E41">
    <cfRule type="expression" dxfId="48" priority="88" stopIfTrue="1">
      <formula>AND($C$40=1,D41=1)</formula>
    </cfRule>
  </conditionalFormatting>
  <conditionalFormatting sqref="G41">
    <cfRule type="expression" dxfId="47" priority="89" stopIfTrue="1">
      <formula>AND($C$40=1,M30&gt;0)</formula>
    </cfRule>
  </conditionalFormatting>
  <conditionalFormatting sqref="F41">
    <cfRule type="expression" dxfId="46" priority="90" stopIfTrue="1">
      <formula>E41=1</formula>
    </cfRule>
  </conditionalFormatting>
  <conditionalFormatting sqref="K41">
    <cfRule type="expression" dxfId="45" priority="91" stopIfTrue="1">
      <formula>AND(Z42&gt;0,J41=1)</formula>
    </cfRule>
  </conditionalFormatting>
  <conditionalFormatting sqref="J41">
    <cfRule type="expression" dxfId="44" priority="92" stopIfTrue="1">
      <formula>AND($C$40=1,OR(H50&gt;0,H51&gt;0))</formula>
    </cfRule>
  </conditionalFormatting>
  <conditionalFormatting sqref="F43 K43">
    <cfRule type="expression" dxfId="43" priority="93" stopIfTrue="1">
      <formula>AND(E43=1,E41=1)</formula>
    </cfRule>
  </conditionalFormatting>
  <conditionalFormatting sqref="G43">
    <cfRule type="expression" dxfId="42" priority="94" stopIfTrue="1">
      <formula>AND($C$40=1,$C$42=1,M30&gt;0)</formula>
    </cfRule>
  </conditionalFormatting>
  <conditionalFormatting sqref="E43">
    <cfRule type="expression" dxfId="41" priority="95" stopIfTrue="1">
      <formula>AND($C$40=1,$C$42=1,D41=1)</formula>
    </cfRule>
  </conditionalFormatting>
  <conditionalFormatting sqref="J43">
    <cfRule type="expression" dxfId="40" priority="96" stopIfTrue="1">
      <formula>AND($C$40=1,$C$42=1,OR(H50&gt;0,H51&gt;0))</formula>
    </cfRule>
  </conditionalFormatting>
  <conditionalFormatting sqref="H58:H59">
    <cfRule type="expression" dxfId="39" priority="97" stopIfTrue="1">
      <formula>AND(C58=1,F58="")</formula>
    </cfRule>
  </conditionalFormatting>
  <conditionalFormatting sqref="H24">
    <cfRule type="expression" dxfId="38" priority="98" stopIfTrue="1">
      <formula>U23=0</formula>
    </cfRule>
  </conditionalFormatting>
  <conditionalFormatting sqref="I16:M17">
    <cfRule type="expression" dxfId="37" priority="99" stopIfTrue="1">
      <formula>R15=0</formula>
    </cfRule>
  </conditionalFormatting>
  <conditionalFormatting sqref="H41">
    <cfRule type="expression" dxfId="36" priority="100" stopIfTrue="1">
      <formula>AND($C$40=1,M30&gt;0,G41=1)</formula>
    </cfRule>
  </conditionalFormatting>
  <conditionalFormatting sqref="H43">
    <cfRule type="expression" dxfId="35" priority="101" stopIfTrue="1">
      <formula>AND($C$40=1,M30&gt;0,G43=1,G41=1)</formula>
    </cfRule>
  </conditionalFormatting>
  <conditionalFormatting sqref="O25 L22 L36:L37 L30 O23 L19:L20 O29 L39:L59">
    <cfRule type="expression" dxfId="34" priority="73" stopIfTrue="1">
      <formula>$C$2="Yes"</formula>
    </cfRule>
  </conditionalFormatting>
  <conditionalFormatting sqref="I41">
    <cfRule type="expression" dxfId="33" priority="57" stopIfTrue="1">
      <formula>AND(B40="Yes",T42="Yes",H25&gt;0,L27&gt;0)</formula>
    </cfRule>
  </conditionalFormatting>
  <conditionalFormatting sqref="I43">
    <cfRule type="expression" dxfId="32" priority="58" stopIfTrue="1">
      <formula>AND(B40="Yes",T42="Yes",H25&gt;0,L27&gt;0,B41="Yes",T43="Yes")</formula>
    </cfRule>
  </conditionalFormatting>
  <conditionalFormatting sqref="E30">
    <cfRule type="expression" dxfId="31" priority="71" stopIfTrue="1">
      <formula>AND(H30&gt;1,C30="Yes",AA2=1,Z49=1,Y49=1)</formula>
    </cfRule>
  </conditionalFormatting>
  <conditionalFormatting sqref="H42 I49:J49 H44 K42 K44">
    <cfRule type="cellIs" dxfId="30" priority="77" stopIfTrue="1" operator="equal">
      <formula>0</formula>
    </cfRule>
  </conditionalFormatting>
  <conditionalFormatting sqref="K47">
    <cfRule type="cellIs" dxfId="29" priority="72" stopIfTrue="1" operator="equal">
      <formula>0</formula>
    </cfRule>
  </conditionalFormatting>
  <conditionalFormatting sqref="F54:G54">
    <cfRule type="expression" dxfId="28" priority="75" stopIfTrue="1">
      <formula>$H$54&gt;0</formula>
    </cfRule>
  </conditionalFormatting>
  <conditionalFormatting sqref="F50:G50">
    <cfRule type="expression" dxfId="27" priority="76" stopIfTrue="1">
      <formula>$H$50&gt;0</formula>
    </cfRule>
  </conditionalFormatting>
  <conditionalFormatting sqref="F57:G60">
    <cfRule type="cellIs" dxfId="26" priority="78" stopIfTrue="1" operator="equal">
      <formula>"."</formula>
    </cfRule>
  </conditionalFormatting>
  <conditionalFormatting sqref="K48">
    <cfRule type="cellIs" dxfId="25" priority="79" stopIfTrue="1" operator="equal">
      <formula>0</formula>
    </cfRule>
  </conditionalFormatting>
  <conditionalFormatting sqref="I52:K53">
    <cfRule type="cellIs" dxfId="24" priority="85" stopIfTrue="1" operator="equal">
      <formula>"Enter Number of Air Bags"</formula>
    </cfRule>
  </conditionalFormatting>
  <conditionalFormatting sqref="K15">
    <cfRule type="cellIs" dxfId="23" priority="102" stopIfTrue="1" operator="equal">
      <formula>"Chinese Vehicles Covered"</formula>
    </cfRule>
  </conditionalFormatting>
  <conditionalFormatting sqref="K9:M9">
    <cfRule type="expression" dxfId="22" priority="84" stopIfTrue="1">
      <formula>OR($T$2=3,$W$2=0)</formula>
    </cfRule>
  </conditionalFormatting>
  <conditionalFormatting sqref="G22:G23">
    <cfRule type="expression" dxfId="21" priority="69" stopIfTrue="1">
      <formula>#REF!&gt;1</formula>
    </cfRule>
  </conditionalFormatting>
  <conditionalFormatting sqref="N25 N19:N20 N22:N23 N29:N30 N36:N37 N39:N57">
    <cfRule type="expression" dxfId="20" priority="74" stopIfTrue="1">
      <formula>$C$2="Yes"</formula>
    </cfRule>
  </conditionalFormatting>
  <conditionalFormatting sqref="H19">
    <cfRule type="cellIs" dxfId="19" priority="80" stopIfTrue="1" operator="equal">
      <formula>"This Quotation system is not valid anymore"</formula>
    </cfRule>
  </conditionalFormatting>
  <conditionalFormatting sqref="E26 G26 L26">
    <cfRule type="expression" dxfId="18" priority="81" stopIfTrue="1">
      <formula>$H$25&gt;0</formula>
    </cfRule>
  </conditionalFormatting>
  <conditionalFormatting sqref="I31:I34">
    <cfRule type="expression" dxfId="17" priority="82" stopIfTrue="1">
      <formula>$H$30=0</formula>
    </cfRule>
  </conditionalFormatting>
  <conditionalFormatting sqref="E32:E34">
    <cfRule type="expression" dxfId="16" priority="83" stopIfTrue="1">
      <formula>AND($H$30&gt;0,$O$31=1)</formula>
    </cfRule>
  </conditionalFormatting>
  <conditionalFormatting sqref="K22">
    <cfRule type="expression" dxfId="15" priority="86" stopIfTrue="1">
      <formula>$C$2="Yes"</formula>
    </cfRule>
  </conditionalFormatting>
  <conditionalFormatting sqref="K14:M14">
    <cfRule type="expression" dxfId="14" priority="103" stopIfTrue="1">
      <formula>$H$14="Yes"</formula>
    </cfRule>
  </conditionalFormatting>
  <conditionalFormatting sqref="K30">
    <cfRule type="expression" dxfId="13" priority="104" stopIfTrue="1">
      <formula>AND($H$30&gt;0,$O$31&gt;0)</formula>
    </cfRule>
  </conditionalFormatting>
  <conditionalFormatting sqref="F30">
    <cfRule type="expression" dxfId="12" priority="105" stopIfTrue="1">
      <formula>AND(H30&gt;1,C30="Yes",AA2=1,Z49=1,Y49=1)</formula>
    </cfRule>
  </conditionalFormatting>
  <conditionalFormatting sqref="I30:J30">
    <cfRule type="expression" dxfId="11" priority="106" stopIfTrue="1">
      <formula>AND($H$30&gt;0,$O$31&gt;0)</formula>
    </cfRule>
  </conditionalFormatting>
  <conditionalFormatting sqref="I25:K25">
    <cfRule type="expression" dxfId="10" priority="6" stopIfTrue="1">
      <formula>$H$25=0</formula>
    </cfRule>
  </conditionalFormatting>
  <conditionalFormatting sqref="E16:H17">
    <cfRule type="notContainsBlanks" dxfId="9" priority="107" stopIfTrue="1">
      <formula>LEN(TRIM(E16))&gt;0</formula>
    </cfRule>
  </conditionalFormatting>
  <conditionalFormatting sqref="E15:F15">
    <cfRule type="cellIs" dxfId="8" priority="5" stopIfTrue="1" operator="equal">
      <formula>"SUM COVERED - Above Retention"</formula>
    </cfRule>
  </conditionalFormatting>
  <conditionalFormatting sqref="M13">
    <cfRule type="expression" dxfId="7" priority="108" stopIfTrue="1">
      <formula>OR(L13="",L13=0)</formula>
    </cfRule>
  </conditionalFormatting>
  <conditionalFormatting sqref="AA1">
    <cfRule type="expression" dxfId="6" priority="4" stopIfTrue="1">
      <formula>AND($H$12="HYBRID",$H$14="No")</formula>
    </cfRule>
  </conditionalFormatting>
  <conditionalFormatting sqref="M12">
    <cfRule type="expression" dxfId="5" priority="3" stopIfTrue="1">
      <formula>AND(H12="Hybrid",H14="No")</formula>
    </cfRule>
  </conditionalFormatting>
  <conditionalFormatting sqref="M12">
    <cfRule type="expression" dxfId="4" priority="2" stopIfTrue="1">
      <formula>AND(H12="Hybrid",H14="No")</formula>
    </cfRule>
  </conditionalFormatting>
  <conditionalFormatting sqref="M12">
    <cfRule type="expression" dxfId="3" priority="1" stopIfTrue="1">
      <formula>H8="Motor Cycle"</formula>
    </cfRule>
  </conditionalFormatting>
  <conditionalFormatting sqref="K50">
    <cfRule type="expression" dxfId="2" priority="109" stopIfTrue="1">
      <formula>T47=0</formula>
    </cfRule>
  </conditionalFormatting>
  <conditionalFormatting sqref="F52:F53">
    <cfRule type="expression" dxfId="1" priority="110" stopIfTrue="1">
      <formula>AND($K$50&gt;0,T47=1,Z49=1,O52=1)</formula>
    </cfRule>
  </conditionalFormatting>
  <conditionalFormatting sqref="E52">
    <cfRule type="expression" dxfId="0" priority="111" stopIfTrue="1">
      <formula>Q38=1</formula>
    </cfRule>
  </conditionalFormatting>
  <dataValidations count="60">
    <dataValidation type="list" allowBlank="1" showInputMessage="1" showErrorMessage="1" sqref="K14:M14" xr:uid="{00000000-0002-0000-0A00-000000000000}">
      <formula1>$F$94:$F$121</formula1>
    </dataValidation>
    <dataValidation type="list" allowBlank="1" showInputMessage="1" showErrorMessage="1" sqref="M12" xr:uid="{00000000-0002-0000-0A00-000001000000}">
      <formula1>"Above 250cc,Below 250cc"</formula1>
    </dataValidation>
    <dataValidation type="list" allowBlank="1" showInputMessage="1" showErrorMessage="1" sqref="H8:I8" xr:uid="{00000000-0002-0000-0A00-000002000000}">
      <formula1>"Motor Cycle,Three Wheeler"</formula1>
    </dataValidation>
    <dataValidation type="list" allowBlank="1" showInputMessage="1" showErrorMessage="1" sqref="K30" xr:uid="{00000000-0002-0000-0A00-000003000000}">
      <formula1>"With Fire,Without Fire"</formula1>
    </dataValidation>
    <dataValidation type="list" showInputMessage="1" showErrorMessage="1" sqref="I30" xr:uid="{00000000-0002-0000-0A00-000004000000}">
      <formula1>"Non-Hazardous,Hazardous,Extra Hazardous"</formula1>
    </dataValidation>
    <dataValidation type="list" showInputMessage="1" showErrorMessage="1" sqref="I25" xr:uid="{00000000-0002-0000-0A00-000005000000}">
      <formula1>"Full Seating Capacity,Participant Only,Driver Only,Participant &amp; Driver Only"</formula1>
    </dataValidation>
    <dataValidation type="decimal" allowBlank="1" showInputMessage="1" showErrorMessage="1" sqref="N44:N45" xr:uid="{00000000-0002-0000-0A00-000006000000}">
      <formula1>0</formula1>
      <formula2>100</formula2>
    </dataValidation>
    <dataValidation type="list" allowBlank="1" showInputMessage="1" showErrorMessage="1" sqref="H11:I11" xr:uid="{00000000-0002-0000-0A00-000007000000}">
      <formula1>"NON chinese/korean,CHINESE,KOREAN,JAPAN,INDIA,MALAYSIAN,GERMAN,SRI LANKAN"</formula1>
    </dataValidation>
    <dataValidation type="textLength" allowBlank="1" showInputMessage="1" showErrorMessage="1" error="Enter Above 5 letters_x000a_" sqref="F58:G58" xr:uid="{00000000-0002-0000-0A00-000008000000}">
      <formula1>5</formula1>
      <formula2>21</formula2>
    </dataValidation>
    <dataValidation type="list" allowBlank="1" showInputMessage="1" showErrorMessage="1" sqref="H3" xr:uid="{00000000-0002-0000-0A00-000009000000}">
      <formula1>"One Year,Pro Rata, Short Period"</formula1>
    </dataValidation>
    <dataValidation type="list" allowBlank="1" showInputMessage="1" showErrorMessage="1" sqref="G4:G5" xr:uid="{00000000-0002-0000-0A00-00000A000000}">
      <formula1>"1,2,3,4,5,6,7,8,9,10,11,12,13,14,15,16,17,18,19,20,21,22,23,24,25,26,27,28,29,30,31"</formula1>
    </dataValidation>
    <dataValidation type="list" allowBlank="1" showInputMessage="1" showErrorMessage="1" sqref="H4:H5" xr:uid="{00000000-0002-0000-0A00-00000B000000}">
      <formula1>"January,February,March,April,May,June,July,August,September,October,November,December"</formula1>
    </dataValidation>
    <dataValidation type="list" allowBlank="1" showInputMessage="1" showErrorMessage="1" sqref="I4:I5" xr:uid="{00000000-0002-0000-0A00-00000C000000}">
      <formula1>"2010,2011,2012,2013,2014,2015"</formula1>
    </dataValidation>
    <dataValidation type="list" allowBlank="1" showInputMessage="1" showErrorMessage="1" sqref="H38" xr:uid="{00000000-0002-0000-0A00-00000D000000}">
      <formula1>"Earned NCB,Upfront NCB"</formula1>
    </dataValidation>
    <dataValidation type="list" allowBlank="1" showInputMessage="1" showErrorMessage="1" sqref="E26 L26 G26" xr:uid="{00000000-0002-0000-0A00-00000E000000}">
      <formula1>"1,0"</formula1>
    </dataValidation>
    <dataValidation type="decimal" allowBlank="1" showInputMessage="1" showErrorMessage="1" sqref="N22:N23 N36:N37" xr:uid="{00000000-0002-0000-0A00-00000F000000}">
      <formula1>-10000000</formula1>
      <formula2>0</formula2>
    </dataValidation>
    <dataValidation type="list" allowBlank="1" showInputMessage="1" showErrorMessage="1" sqref="C21" xr:uid="{00000000-0002-0000-0A00-000010000000}">
      <formula1>"0,1,2"</formula1>
    </dataValidation>
    <dataValidation type="list" allowBlank="1" showInputMessage="1" showErrorMessage="1" sqref="B21" xr:uid="{00000000-0002-0000-0A00-000011000000}">
      <formula1>"Yes,No,Free"</formula1>
    </dataValidation>
    <dataValidation type="list" showInputMessage="1" showErrorMessage="1" sqref="H25" xr:uid="{00000000-0002-0000-0A00-000012000000}">
      <formula1>PAB</formula1>
    </dataValidation>
    <dataValidation type="list" allowBlank="1" showInputMessage="1" showErrorMessage="1" sqref="B31:C31" xr:uid="{00000000-0002-0000-0A00-000013000000}">
      <formula1>"1"</formula1>
    </dataValidation>
    <dataValidation allowBlank="1" showInputMessage="1" showErrorMessage="1" error="Should not exceed number of seats _x000a_(excluding driver's seat)_x000a_" sqref="I29:J29" xr:uid="{00000000-0002-0000-0A00-000014000000}"/>
    <dataValidation type="decimal" allowBlank="1" showInputMessage="1" showErrorMessage="1" sqref="N25 N46:N57 N39:N43 N19:N20 N29:N30" xr:uid="{00000000-0002-0000-0A00-000015000000}">
      <formula1>0</formula1>
      <formula2>1000000</formula2>
    </dataValidation>
    <dataValidation type="list" allowBlank="1" showInputMessage="1" showErrorMessage="1" sqref="I38:J38" xr:uid="{00000000-0002-0000-0A00-000016000000}">
      <formula1>"Conceal,Reveal"</formula1>
    </dataValidation>
    <dataValidation type="list" operator="equal" showInputMessage="1" showErrorMessage="1" sqref="H22" xr:uid="{00000000-0002-0000-0A00-000017000000}">
      <formula1>"0,2000,5000,10000"</formula1>
    </dataValidation>
    <dataValidation type="list" showInputMessage="1" showErrorMessage="1" sqref="H12" xr:uid="{00000000-0002-0000-0A00-000018000000}">
      <formula1>"PETROL (non hybrid),DIESEL (non hybrid),HYBRID,ELECTRIC"</formula1>
    </dataValidation>
    <dataValidation type="list" showInputMessage="1" showErrorMessage="1" sqref="H9:I9" xr:uid="{00000000-0002-0000-0A00-000019000000}">
      <formula1>$AP$6:$AP$7</formula1>
    </dataValidation>
    <dataValidation type="list" allowBlank="1" showInputMessage="1" showErrorMessage="1" sqref="K8" xr:uid="{00000000-0002-0000-0A00-00001A000000}">
      <formula1>"1.25%,2%"</formula1>
    </dataValidation>
    <dataValidation type="list" allowBlank="1" showInputMessage="1" showErrorMessage="1" sqref="H6" xr:uid="{00000000-0002-0000-0A00-00001B000000}">
      <formula1>"Mr.,Mrs.,Miss,Madam,Sir,Sir/Madam"</formula1>
    </dataValidation>
    <dataValidation type="textLength" showInputMessage="1" showErrorMessage="1" sqref="L6 E12" xr:uid="{00000000-0002-0000-0A00-00001C000000}">
      <formula1>0</formula1>
      <formula2>25</formula2>
    </dataValidation>
    <dataValidation type="textLength" allowBlank="1" showInputMessage="1" showErrorMessage="1" error="Should Enter Between _x000a_2 to 14 Digits only_x000a__x000a_" sqref="L10:M10" xr:uid="{00000000-0002-0000-0A00-00001D000000}">
      <formula1>2</formula1>
      <formula2>14</formula2>
    </dataValidation>
    <dataValidation type="textLength" allowBlank="1" showInputMessage="1" showErrorMessage="1" sqref="F59:G59" xr:uid="{00000000-0002-0000-0A00-00001E000000}">
      <formula1>0</formula1>
      <formula2>21</formula2>
    </dataValidation>
    <dataValidation type="whole" allowBlank="1" showInputMessage="1" showErrorMessage="1" sqref="H50" xr:uid="{00000000-0002-0000-0A00-00001F000000}">
      <formula1>-1</formula1>
      <formula2>10</formula2>
    </dataValidation>
    <dataValidation type="list" operator="notBetween" allowBlank="1" showInputMessage="1" showErrorMessage="1" sqref="H48" xr:uid="{00000000-0002-0000-0A00-000020000000}">
      <formula1>"15000,100000,300000,500000,1000000"</formula1>
    </dataValidation>
    <dataValidation type="whole" operator="greaterThan" allowBlank="1" showInputMessage="1" showErrorMessage="1" sqref="H47 H51" xr:uid="{00000000-0002-0000-0A00-000021000000}">
      <formula1>-1</formula1>
    </dataValidation>
    <dataValidation type="whole" showInputMessage="1" showErrorMessage="1" sqref="H54" xr:uid="{00000000-0002-0000-0A00-000022000000}">
      <formula1>-1</formula1>
      <formula2>10</formula2>
    </dataValidation>
    <dataValidation type="decimal" operator="greaterThanOrEqual" allowBlank="1" showInputMessage="1" showErrorMessage="1" sqref="M49" xr:uid="{00000000-0002-0000-0A00-000023000000}">
      <formula1>0</formula1>
    </dataValidation>
    <dataValidation type="decimal" allowBlank="1" showInputMessage="1" showErrorMessage="1" sqref="N58:N60" xr:uid="{00000000-0002-0000-0A00-000024000000}">
      <formula1>-100000</formula1>
      <formula2>100000</formula2>
    </dataValidation>
    <dataValidation type="list" allowBlank="1" showInputMessage="1" showErrorMessage="1" sqref="B55:B56 Q42:Q43 B46 T42:T43 W42:W43 M5 C30 B39:B41 C2:C5 H14" xr:uid="{00000000-0002-0000-0A00-000025000000}">
      <formula1>"Yes,No"</formula1>
    </dataValidation>
    <dataValidation type="whole" allowBlank="1" showInputMessage="1" showErrorMessage="1" sqref="E42 E44:E60 I43 E20:E23 E25 E39:E40 I41 E29:E30 E36:E37 T28:V28 G31:G34" xr:uid="{00000000-0002-0000-0A00-000026000000}">
      <formula1>0</formula1>
      <formula2>1</formula2>
    </dataValidation>
    <dataValidation type="list" allowBlank="1" showInputMessage="1" showErrorMessage="1" sqref="J11" xr:uid="{00000000-0002-0000-0A00-000027000000}">
      <formula1>"BRAND NEW,RECONDITIONED,REGISTERED"</formula1>
    </dataValidation>
    <dataValidation type="whole" showInputMessage="1" showErrorMessage="1" error="Should Not Exceed Number of Seats" sqref="G52" xr:uid="{00000000-0002-0000-0A00-000028000000}">
      <formula1>0</formula1>
      <formula2>2</formula2>
    </dataValidation>
    <dataValidation type="whole" showInputMessage="1" showErrorMessage="1" error="Should Not Exceed Number of Seats" sqref="G53" xr:uid="{00000000-0002-0000-0A00-000029000000}">
      <formula1>0</formula1>
      <formula2>25</formula2>
    </dataValidation>
    <dataValidation type="list" allowBlank="1" showInputMessage="1" showErrorMessage="1" sqref="O25 C58:C60 C55:C56 G43 E43 J43 E41 C39:C40 G41 L30 L22 O23 L36:L37 O29 E32:E34 L19:L20 L39:L59 J41 C45:C46 C42" xr:uid="{00000000-0002-0000-0A00-00002A000000}">
      <formula1>"0,1"</formula1>
    </dataValidation>
    <dataValidation type="list" allowBlank="1" showInputMessage="1" showErrorMessage="1" sqref="AA1" xr:uid="{00000000-0002-0000-0A00-00002B000000}">
      <formula1>"Born Hybrid,non-born Hybrid"</formula1>
    </dataValidation>
    <dataValidation type="list" showInputMessage="1" showErrorMessage="1" sqref="L13" xr:uid="{00000000-0002-0000-0A00-00002C000000}">
      <formula1>"1,2,3,4,5"</formula1>
    </dataValidation>
    <dataValidation type="list" showInputMessage="1" showErrorMessage="1" sqref="H29" xr:uid="{00000000-0002-0000-0A00-00002D000000}">
      <formula1>"0,2000,10000,20000,50000,100000,200000,500000"</formula1>
    </dataValidation>
    <dataValidation type="whole" operator="lessThanOrEqual" allowBlank="1" showInputMessage="1" showErrorMessage="1" error="Should Net Exceed Number of Persons PAB cover required._x000a_" sqref="I27" xr:uid="{00000000-0002-0000-0A00-00002E000000}">
      <formula1>L25</formula1>
    </dataValidation>
    <dataValidation type="whole" allowBlank="1" showInputMessage="1" showErrorMessage="1" sqref="H53" xr:uid="{00000000-0002-0000-0A00-00002F000000}">
      <formula1>-1</formula1>
      <formula2>H15/4</formula2>
    </dataValidation>
    <dataValidation type="decimal" showErrorMessage="1" promptTitle="MAXIMUM NCB ALLOWED" prompt="for Private Cars  - 75%_x000a_for Commercial    - 65%_x000a_for Motor Cycles - 35%" sqref="H37" xr:uid="{00000000-0002-0000-0A00-000030000000}">
      <formula1>0</formula1>
      <formula2>R36</formula2>
    </dataValidation>
    <dataValidation type="list" operator="lessThan" showInputMessage="1" showErrorMessage="1" sqref="H13" xr:uid="{00000000-0002-0000-0A00-000031000000}">
      <formula1>AU45:AU54</formula1>
    </dataValidation>
    <dataValidation type="whole" errorStyle="warning" allowBlank="1" showInputMessage="1" showErrorMessage="1" error="Enter Value between Rs.2000/- and 50% of vehicle value" sqref="K22" xr:uid="{00000000-0002-0000-0A00-000032000000}">
      <formula1>10000</formula1>
      <formula2>H15/2</formula2>
    </dataValidation>
    <dataValidation type="whole" allowBlank="1" showInputMessage="1" showErrorMessage="1" sqref="K50" xr:uid="{00000000-0002-0000-0A00-000033000000}">
      <formula1>-1</formula1>
      <formula2>H15/4</formula2>
    </dataValidation>
    <dataValidation type="whole" operator="lessThan" showInputMessage="1" showErrorMessage="1" sqref="H15" xr:uid="{00000000-0002-0000-0A00-000034000000}">
      <formula1>O15+1</formula1>
    </dataValidation>
    <dataValidation type="whole" operator="lessThan" showInputMessage="1" showErrorMessage="1" sqref="I18:J18" xr:uid="{00000000-0002-0000-0A00-000035000000}">
      <formula1>H15/2</formula1>
    </dataValidation>
    <dataValidation type="decimal" allowBlank="1" showInputMessage="1" showErrorMessage="1" error="MAXIMUM  60%" sqref="I24:J24" xr:uid="{00000000-0002-0000-0A00-000036000000}">
      <formula1>0</formula1>
      <formula2>Q23</formula2>
    </dataValidation>
    <dataValidation type="whole" operator="lessThan" showInputMessage="1" showErrorMessage="1" sqref="H18" xr:uid="{00000000-0002-0000-0A00-000037000000}">
      <formula1>O16+1</formula1>
    </dataValidation>
    <dataValidation type="decimal" operator="lessThanOrEqual" showErrorMessage="1" promptTitle="MAXIMUM NCB ALLOWED" prompt="for Private Cars  - 75%_x000a_for Commercial    - 65%_x000a_for Motor Cycles - 35%" sqref="H36" xr:uid="{00000000-0002-0000-0A00-000038000000}">
      <formula1>R36</formula1>
    </dataValidation>
    <dataValidation type="whole" showInputMessage="1" showErrorMessage="1" sqref="H30" xr:uid="{00000000-0002-0000-0A00-000039000000}">
      <formula1>0</formula1>
      <formula2>U30</formula2>
    </dataValidation>
    <dataValidation type="whole" operator="lessThanOrEqual" allowBlank="1" showInputMessage="1" showErrorMessage="1" error="Limit Exceeded._x000a_M/R Not Allowed" sqref="H20" xr:uid="{00000000-0002-0000-0A00-00003A000000}">
      <formula1>T20</formula1>
    </dataValidation>
    <dataValidation type="whole" operator="greaterThanOrEqual" showInputMessage="1" showErrorMessage="1" errorTitle="Free Towing Facility" error="Enter above free towing facility limit_x000a_" sqref="H49" xr:uid="{00000000-0002-0000-0A00-00003B000000}">
      <formula1>Q49</formula1>
    </dataValidation>
  </dataValidations>
  <hyperlinks>
    <hyperlink ref="AZ78" r:id="rId1" display="mailto:info@amanabank.lk" xr:uid="{00000000-0004-0000-0A00-000000000000}"/>
    <hyperlink ref="AZ81" r:id="rId2" display="mailto:boc@boc.lk" xr:uid="{00000000-0004-0000-0A00-000001000000}"/>
    <hyperlink ref="AZ84" r:id="rId3" display="mailto:email@combank.net" xr:uid="{00000000-0004-0000-0A00-000002000000}"/>
    <hyperlink ref="AZ88" r:id="rId4" display="mailto:info@dfccvardhanabank.com" xr:uid="{00000000-0004-0000-0A00-000003000000}"/>
    <hyperlink ref="AZ89" r:id="rId5" display="http://www.dfccvardhanabank.com/" xr:uid="{00000000-0004-0000-0A00-000004000000}"/>
    <hyperlink ref="AZ91" r:id="rId6" display="mailto:moreinfo@hnb.net" xr:uid="{00000000-0004-0000-0A00-000005000000}"/>
    <hyperlink ref="AZ92" r:id="rId7" display="http://www.hnb.net/" xr:uid="{00000000-0004-0000-0A00-000006000000}"/>
    <hyperlink ref="AZ94" r:id="rId8" display="mailto:azfar.nomani@mcb.com.lk" xr:uid="{00000000-0004-0000-0A00-000007000000}"/>
    <hyperlink ref="AZ97" r:id="rId9" display="mailto:contact@ndbbank.com" xr:uid="{00000000-0004-0000-0A00-000008000000}"/>
    <hyperlink ref="AZ98" r:id="rId10" display="http://www.ndbbank.com/" xr:uid="{00000000-0004-0000-0A00-000009000000}"/>
    <hyperlink ref="AZ100" r:id="rId11" display="mailto:info@nationstrust.com" xr:uid="{00000000-0004-0000-0A00-00000A000000}"/>
    <hyperlink ref="AZ103" r:id="rId12" display="mailto:pabc@pabcbank.com" xr:uid="{00000000-0004-0000-0A00-00000B000000}"/>
    <hyperlink ref="AZ104" r:id="rId13" display="http://www.pabcbank.com/" xr:uid="{00000000-0004-0000-0A00-00000C000000}"/>
    <hyperlink ref="AZ106" r:id="rId14" display="mailto:info@peoplesbank.lk" xr:uid="{00000000-0004-0000-0A00-00000D000000}"/>
    <hyperlink ref="AZ109" r:id="rId15" display="mailto:oper.mgr@sampath.lk" xr:uid="{00000000-0004-0000-0A00-00000E000000}"/>
    <hyperlink ref="AZ112" r:id="rId16" display="mailto:info@seylan.lk" xr:uid="{00000000-0004-0000-0A00-00000F000000}"/>
    <hyperlink ref="AZ113" r:id="rId17" display="http://www.eseylan.com/" xr:uid="{00000000-0004-0000-0A00-000010000000}"/>
    <hyperlink ref="AZ115" r:id="rId18" display="mailto:ubc@unionb.com" xr:uid="{00000000-0004-0000-0A00-000011000000}"/>
    <hyperlink ref="AZ118" r:id="rId19" display="mailto:info@dfccbank.com" xr:uid="{00000000-0004-0000-0A00-000012000000}"/>
    <hyperlink ref="AZ121" r:id="rId20" display="mailto:info@lankaputhra.lk" xr:uid="{00000000-0004-0000-0A00-000013000000}"/>
    <hyperlink ref="AZ122" r:id="rId21" display="http://www.lankaputhra.lk/" xr:uid="{00000000-0004-0000-0A00-000014000000}"/>
    <hyperlink ref="AZ124" r:id="rId22" display="mailto:savingsbank@mbslsavingsbank.com" xr:uid="{00000000-0004-0000-0A00-000015000000}"/>
    <hyperlink ref="AZ125" r:id="rId23" display="http://www.mbslsavingsbank.com/" xr:uid="{00000000-0004-0000-0A00-000016000000}"/>
    <hyperlink ref="AZ127" r:id="rId24" display="mailto:siriwardener@rdb.lk" xr:uid="{00000000-0004-0000-0A00-000017000000}"/>
    <hyperlink ref="AZ128" r:id="rId25" display="http://www.rdb.lk/" xr:uid="{00000000-0004-0000-0A00-000018000000}"/>
    <hyperlink ref="AZ130" r:id="rId26" display="mailto:info@sdb.lk" xr:uid="{00000000-0004-0000-0A00-000019000000}"/>
    <hyperlink ref="AZ131" r:id="rId27" display="http://www.sdb.lk/" xr:uid="{00000000-0004-0000-0A00-00001A000000}"/>
    <hyperlink ref="AZ133" r:id="rId28" display="mailto:slsbl@sltnet.lk" xr:uid="{00000000-0004-0000-0A00-00001B000000}"/>
    <hyperlink ref="AZ134" r:id="rId29" display="http://www.sdb.lk/" xr:uid="{00000000-0004-0000-0A00-00001C000000}"/>
    <hyperlink ref="AZ136" r:id="rId30" display="mailto:aban@abansgroup.com" xr:uid="{00000000-0004-0000-0A00-00001D000000}"/>
    <hyperlink ref="AZ137" r:id="rId31" display="http://www.abansgroup.com/" xr:uid="{00000000-0004-0000-0A00-00001E000000}"/>
    <hyperlink ref="AZ139" r:id="rId32" display="mailto:info@alliancefinance.lk" xr:uid="{00000000-0004-0000-0A00-00001F000000}"/>
    <hyperlink ref="AZ140" r:id="rId33" display="http://www.alliancefinance.lk/" xr:uid="{00000000-0004-0000-0A00-000020000000}"/>
    <hyperlink ref="AZ143" r:id="rId34" display="http://www.amwltd.lk/" xr:uid="{00000000-0004-0000-0A00-000021000000}"/>
    <hyperlink ref="AZ145" r:id="rId35" display="mailto:bedej@arpicofinance.com" xr:uid="{00000000-0004-0000-0A00-000022000000}"/>
    <hyperlink ref="AZ146" r:id="rId36" display="http://www.arpicofinance.lk/" xr:uid="{00000000-0004-0000-0A00-000023000000}"/>
    <hyperlink ref="AZ148" r:id="rId37" display="mailto:info@asiaassetfinance.lk" xr:uid="{00000000-0004-0000-0A00-000024000000}"/>
    <hyperlink ref="AZ151" r:id="rId38" display="mailto:afl@asianfinance.lk" xr:uid="{00000000-0004-0000-0A00-000025000000}"/>
    <hyperlink ref="AZ154" r:id="rId39" display="mailto:amfcoltd@sltnet.lk" xr:uid="{00000000-0004-0000-0A00-000026000000}"/>
    <hyperlink ref="AZ157" r:id="rId40" display="mailto:bartfsl@bartleet.com" xr:uid="{00000000-0004-0000-0A00-000027000000}"/>
    <hyperlink ref="AZ158" r:id="rId41" display="http://www.batrleetgroup.com/" xr:uid="{00000000-0004-0000-0A00-000028000000}"/>
    <hyperlink ref="AZ160" r:id="rId42" display="mailto:bimputhlanka@daya-group.com" xr:uid="{00000000-0004-0000-0A00-000029000000}"/>
    <hyperlink ref="AZ161" r:id="rId43" display="http://www.dayagroupofcompanies.com/" xr:uid="{00000000-0004-0000-0A00-00002A000000}"/>
    <hyperlink ref="AZ163" r:id="rId44" display="mailto:silvereenkandy@sltnet.lk" xr:uid="{00000000-0004-0000-0A00-00002B000000}"/>
    <hyperlink ref="AZ164" r:id="rId45" display="http://www.cbsl.gov.lk/htm/english/05_fss/popup/" xr:uid="{00000000-0004-0000-0A00-00002C000000}"/>
    <hyperlink ref="AZ166" r:id="rId46" display="mailto:cenfin@cf.lk" xr:uid="{00000000-0004-0000-0A00-00002D000000}"/>
    <hyperlink ref="AZ167" r:id="rId47" display="http://www.cf.lk/" xr:uid="{00000000-0004-0000-0A00-00002E000000}"/>
    <hyperlink ref="AZ169" r:id="rId48" display="mailto:cifl@cifl.lk" xr:uid="{00000000-0004-0000-0A00-00002F000000}"/>
    <hyperlink ref="AZ170" r:id="rId49" display="http://www.cifl.lk/" xr:uid="{00000000-0004-0000-0A00-000030000000}"/>
    <hyperlink ref="AZ172" r:id="rId50" display="mailto:chifinco@gmail.com" xr:uid="{00000000-0004-0000-0A00-000031000000}"/>
    <hyperlink ref="AZ175" r:id="rId51" display="mailto:cdb@cdb.lk" xr:uid="{00000000-0004-0000-0A00-000032000000}"/>
    <hyperlink ref="AZ176" r:id="rId52" display="http://www.cdb.lk/" xr:uid="{00000000-0004-0000-0A00-000033000000}"/>
    <hyperlink ref="AZ178" r:id="rId53" display="mailto:infoifl@infinltd.lk" xr:uid="{00000000-0004-0000-0A00-000034000000}"/>
    <hyperlink ref="AZ179" r:id="rId54" display="http://www.ifl.lk/" xr:uid="{00000000-0004-0000-0A00-000035000000}"/>
    <hyperlink ref="AZ181" r:id="rId55" display="mailto:ccl@cclk.lk" xr:uid="{00000000-0004-0000-0A00-000036000000}"/>
    <hyperlink ref="AZ182" r:id="rId56" display="http://www.cclk.lk/" xr:uid="{00000000-0004-0000-0A00-000037000000}"/>
    <hyperlink ref="AZ184" r:id="rId57" display="mailto:clc@.lk" xr:uid="{00000000-0004-0000-0A00-000038000000}"/>
    <hyperlink ref="AZ185" r:id="rId58" display="http://www.clc.lk/" xr:uid="{00000000-0004-0000-0A00-000039000000}"/>
    <hyperlink ref="AZ187" r:id="rId59" display="mailto:info@divasafinance.lk" xr:uid="{00000000-0004-0000-0A00-00003A000000}"/>
    <hyperlink ref="AZ188" r:id="rId60" display="http://www.divasafinance.lk/" xr:uid="{00000000-0004-0000-0A00-00003B000000}"/>
    <hyperlink ref="AZ190" r:id="rId61" display="mailto:info@eti.lk" xr:uid="{00000000-0004-0000-0A00-00003C000000}"/>
    <hyperlink ref="AZ191" r:id="rId62" display="http://www.eti.lk/" xr:uid="{00000000-0004-0000-0A00-00003D000000}"/>
    <hyperlink ref="AZ193" r:id="rId63" display="mailto:chandrin@kanrich.lk" xr:uid="{00000000-0004-0000-0A00-00003E000000}"/>
    <hyperlink ref="AZ194" r:id="rId64" display="http://www.kanrich.lk/" xr:uid="{00000000-0004-0000-0A00-00003F000000}"/>
    <hyperlink ref="AZ196" r:id="rId65" display="mailto:mail@lbfinance.lk" xr:uid="{00000000-0004-0000-0A00-000040000000}"/>
    <hyperlink ref="AZ197" r:id="rId66" display="http://www.lbfinance.com/" xr:uid="{00000000-0004-0000-0A00-000041000000}"/>
    <hyperlink ref="AZ199" r:id="rId67" display="mailto:lofin@lankaorix.com" xr:uid="{00000000-0004-0000-0A00-000042000000}"/>
    <hyperlink ref="AZ200" r:id="rId68" display="http://www.lankaorix.com/" xr:uid="{00000000-0004-0000-0A00-000043000000}"/>
    <hyperlink ref="AZ202" r:id="rId69" display="mailto:mercantile@mi.com.lk" xr:uid="{00000000-0004-0000-0A00-000044000000}"/>
    <hyperlink ref="AZ203" r:id="rId70" display="http://www.mi.com.lk/" xr:uid="{00000000-0004-0000-0A00-000045000000}"/>
    <hyperlink ref="AZ205" r:id="rId71" display="mailto:mcsl@mbslbank.com" xr:uid="{00000000-0004-0000-0A00-000046000000}"/>
    <hyperlink ref="AZ206" r:id="rId72" display="http://www.mcsl.lk/" xr:uid="{00000000-0004-0000-0A00-000047000000}"/>
    <hyperlink ref="AZ208" r:id="rId73" display="mailto:info@themultifinance.com" xr:uid="{00000000-0004-0000-0A00-000048000000}"/>
    <hyperlink ref="AZ209" r:id="rId74" display="http://www.mcsl.lk/" xr:uid="{00000000-0004-0000-0A00-000049000000}"/>
    <hyperlink ref="AZ211" r:id="rId75" display="mailto:info@nifl.lk" xr:uid="{00000000-0004-0000-0A00-00004A000000}"/>
    <hyperlink ref="AZ214" r:id="rId76" display="mailto:bede@nflplc.com" xr:uid="{00000000-0004-0000-0A00-00004B000000}"/>
    <hyperlink ref="AZ215" r:id="rId77" display="http://www.cbsl.gov.lk/htm/english/05_fss/popup/www.nflplc.lk/" xr:uid="{00000000-0004-0000-0A00-00004C000000}"/>
    <hyperlink ref="AZ217" r:id="rId78" display="mailto:dinindus@plc.lk" xr:uid="{00000000-0004-0000-0A00-00004D000000}"/>
    <hyperlink ref="AZ220" r:id="rId79" display="mailto:senk@senfin.com" xr:uid="{00000000-0004-0000-0A00-00004E000000}"/>
    <hyperlink ref="AZ221" r:id="rId80" display="http://www.senfin.com/" xr:uid="{00000000-0004-0000-0A00-00004F000000}"/>
    <hyperlink ref="AZ223" r:id="rId81" display="mailto:financecompany@singersl.com" xr:uid="{00000000-0004-0000-0A00-000050000000}"/>
    <hyperlink ref="AZ224" r:id="rId82" display="http://www.singersl.com/" xr:uid="{00000000-0004-0000-0A00-000051000000}"/>
    <hyperlink ref="AZ226" r:id="rId83" display="mailto:info@sinhaputhra.lk" xr:uid="{00000000-0004-0000-0A00-000052000000}"/>
    <hyperlink ref="AZ227" r:id="rId84" display="http://www.sinhaputhra.lk/" xr:uid="{00000000-0004-0000-0A00-000053000000}"/>
    <hyperlink ref="AZ229" r:id="rId85" display="mailto:info@softlogicfinance.lk" xr:uid="{00000000-0004-0000-0A00-000054000000}"/>
    <hyperlink ref="AZ230" r:id="rId86" display="http://www.softlogicfinance.lk/" xr:uid="{00000000-0004-0000-0A00-000055000000}"/>
    <hyperlink ref="AZ232" r:id="rId87" display="mailto:info@sfs.lk" xr:uid="{00000000-0004-0000-0A00-000056000000}"/>
    <hyperlink ref="AZ233" r:id="rId88" display="http://www.sfs.lk/" xr:uid="{00000000-0004-0000-0A00-000057000000}"/>
    <hyperlink ref="AZ235" r:id="rId89" display="mailto:info@fglk.com" xr:uid="{00000000-0004-0000-0A00-000058000000}"/>
    <hyperlink ref="AZ236" r:id="rId90" display="http://www.fglk.com/" xr:uid="{00000000-0004-0000-0A00-000059000000}"/>
    <hyperlink ref="AZ238" r:id="rId91" display="mailto:smi@thefinance.lk" xr:uid="{00000000-0004-0000-0A00-00005A000000}"/>
    <hyperlink ref="AZ239" r:id="rId92" display="http://www.thefinance.lk/" xr:uid="{00000000-0004-0000-0A00-00005B000000}"/>
    <hyperlink ref="AZ242" r:id="rId93" display="mailto:infomail@cir.lk" xr:uid="{00000000-0004-0000-0A00-00005C000000}"/>
    <hyperlink ref="AZ245" r:id="rId94" display="mailto:tradefi@lankabiz.net" xr:uid="{00000000-0004-0000-0A00-00005D000000}"/>
    <hyperlink ref="AZ248" r:id="rId95" display="mailto:info@vallibelfinance.com" xr:uid="{00000000-0004-0000-0A00-00005E000000}"/>
    <hyperlink ref="AZ251" r:id="rId96" display="mailto:kushantha@dpmco.com" xr:uid="{00000000-0004-0000-0A00-00005F000000}"/>
    <hyperlink ref="AZ252" r:id="rId97" display="http://www.assetline.lk/" xr:uid="{00000000-0004-0000-0A00-000060000000}"/>
    <hyperlink ref="AZ254" r:id="rId98" display="mailto:%20ceylease@ceylease.lk" xr:uid="{00000000-0004-0000-0A00-000061000000}"/>
    <hyperlink ref="AZ257" r:id="rId99" display="mailto:info@cooplease.com" xr:uid="{00000000-0004-0000-0A00-000062000000}"/>
    <hyperlink ref="AZ258" r:id="rId100" display="http://www.cooplease.com./" xr:uid="{00000000-0004-0000-0A00-000063000000}"/>
    <hyperlink ref="AZ260" r:id="rId101" display="mailto:indrafinance@sltnet.lk" xr:uid="{00000000-0004-0000-0A00-000064000000}"/>
    <hyperlink ref="AZ263" r:id="rId102" display="mailto:lmewijesuriya@gmail.lk" xr:uid="{00000000-0004-0000-0A00-000065000000}"/>
    <hyperlink ref="AZ266" r:id="rId103" display="mailto:koshilea@sltnet.lk" xr:uid="{00000000-0004-0000-0A00-000066000000}"/>
    <hyperlink ref="AZ269" r:id="rId104" display="mailto:lisvin@lisvin.com" xr:uid="{00000000-0004-0000-0A00-000067000000}"/>
    <hyperlink ref="AZ272" r:id="rId105" display="mailto:chrishathi@lankaorix.com" xr:uid="{00000000-0004-0000-0A00-000068000000}"/>
    <hyperlink ref="AZ275" r:id="rId106" display="mailto:mbslbank@mbslbank.com" xr:uid="{00000000-0004-0000-0A00-000069000000}"/>
    <hyperlink ref="AZ278" r:id="rId107" display="mailto:orientleasing@sltnet.lk" xr:uid="{00000000-0004-0000-0A00-00006A000000}"/>
    <hyperlink ref="AZ281" r:id="rId108" display="mailto:dpkumarage@plc.lk" xr:uid="{00000000-0004-0000-0A00-00006B000000}"/>
    <hyperlink ref="AZ284" r:id="rId109" display="mailto:info@pmb.lk" xr:uid="{00000000-0004-0000-0A00-00006C000000}"/>
    <hyperlink ref="AZ285" r:id="rId110" display="http://www.peoplesmerchantbank.lk/" xr:uid="{00000000-0004-0000-0A00-00006D000000}"/>
    <hyperlink ref="AZ287" r:id="rId111" display="mailto:roshan@sampath-slfl.lk" xr:uid="{00000000-0004-0000-0A00-00006E000000}"/>
    <hyperlink ref="AZ290" r:id="rId112" display="mailto:smbhed@sltnet.lk" xr:uid="{00000000-0004-0000-0A00-00006F000000}"/>
    <hyperlink ref="AZ291" r:id="rId113" display="http://www.smblk.com/" xr:uid="{00000000-0004-0000-0A00-000070000000}"/>
    <hyperlink ref="AZ293" r:id="rId114" display="mailto:credit@softlogicfinance.lk" xr:uid="{00000000-0004-0000-0A00-000071000000}"/>
  </hyperlinks>
  <printOptions horizontalCentered="1"/>
  <pageMargins left="0.75" right="0.5" top="1" bottom="0.5" header="0" footer="0"/>
  <pageSetup paperSize="9" scale="71" orientation="portrait" r:id="rId115"/>
  <headerFooter alignWithMargins="0"/>
  <drawing r:id="rId116"/>
  <legacyDrawing r:id="rId117"/>
  <legacyDrawingHF r:id="rId11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indexed="44"/>
    <pageSetUpPr fitToPage="1"/>
  </sheetPr>
  <dimension ref="A1:S104"/>
  <sheetViews>
    <sheetView topLeftCell="A13" workbookViewId="0">
      <selection activeCell="D20" sqref="D20"/>
    </sheetView>
  </sheetViews>
  <sheetFormatPr defaultColWidth="9.1796875" defaultRowHeight="20.149999999999999" customHeight="1" x14ac:dyDescent="0.25"/>
  <cols>
    <col min="1" max="1" width="3.1796875" style="1" customWidth="1"/>
    <col min="2" max="2" width="25.26953125" style="1" customWidth="1"/>
    <col min="3" max="3" width="1.7265625" style="1" customWidth="1"/>
    <col min="4" max="4" width="6.26953125" style="1" customWidth="1"/>
    <col min="5" max="5" width="2.453125" style="1" customWidth="1"/>
    <col min="6" max="6" width="7.26953125" style="1" customWidth="1"/>
    <col min="7" max="8" width="7" style="550" customWidth="1"/>
    <col min="9" max="9" width="2.7265625" style="1" customWidth="1"/>
    <col min="10" max="10" width="25.1796875" style="1" customWidth="1"/>
    <col min="11" max="11" width="7.7265625" style="1" customWidth="1"/>
    <col min="12" max="12" width="20.54296875" style="1" customWidth="1"/>
    <col min="13" max="13" width="8.81640625" style="1" customWidth="1"/>
    <col min="14" max="14" width="15.81640625" style="1" customWidth="1"/>
    <col min="15" max="15" width="10.26953125" style="1" customWidth="1"/>
    <col min="16" max="16" width="3.453125" style="1" customWidth="1"/>
    <col min="17" max="17" width="9.1796875" style="1"/>
    <col min="18" max="18" width="11.1796875" style="1" customWidth="1"/>
    <col min="19" max="21" width="9.1796875" style="1"/>
    <col min="22" max="22" width="7.26953125" style="1" customWidth="1"/>
    <col min="23" max="23" width="12.453125" style="1" customWidth="1"/>
    <col min="24" max="24" width="6" style="1" customWidth="1"/>
    <col min="25" max="16384" width="9.1796875" style="1"/>
  </cols>
  <sheetData>
    <row r="1" spans="1:19" ht="20.149999999999999" customHeight="1" thickBot="1" x14ac:dyDescent="0.3">
      <c r="A1" s="1">
        <f ca="1">YEAR(B1)</f>
        <v>2024</v>
      </c>
      <c r="B1" s="483">
        <f ca="1">TODAY()</f>
        <v>45346</v>
      </c>
      <c r="F1" s="1491" t="s">
        <v>156</v>
      </c>
      <c r="L1" s="338"/>
    </row>
    <row r="2" spans="1:19" ht="20.149999999999999" customHeight="1" thickTop="1" thickBot="1" x14ac:dyDescent="0.4">
      <c r="A2" s="88" t="s">
        <v>55</v>
      </c>
      <c r="B2" s="89"/>
      <c r="F2" s="1491"/>
      <c r="G2" s="613" t="s">
        <v>358</v>
      </c>
      <c r="H2" s="613" t="s">
        <v>362</v>
      </c>
      <c r="I2" s="1503" t="s">
        <v>57</v>
      </c>
      <c r="J2" s="1504"/>
      <c r="L2" s="338"/>
    </row>
    <row r="3" spans="1:19" ht="20.149999999999999" customHeight="1" thickTop="1" thickBot="1" x14ac:dyDescent="0.4">
      <c r="A3" s="90">
        <v>1</v>
      </c>
      <c r="B3" s="91" t="s">
        <v>50</v>
      </c>
      <c r="C3" s="92" t="s">
        <v>51</v>
      </c>
      <c r="D3" s="146">
        <f>IF(Working!M12="Above 250cc",10,IF(AND('TW Quote'!B13=1,'TW Quote'!T13="Ijarah"),5,2.2))</f>
        <v>2.2000000000000002</v>
      </c>
      <c r="E3" s="93" t="s">
        <v>56</v>
      </c>
      <c r="F3" s="147">
        <v>2</v>
      </c>
      <c r="I3" s="25">
        <v>1</v>
      </c>
      <c r="J3" s="135" t="s">
        <v>171</v>
      </c>
      <c r="K3" s="148">
        <v>0.2</v>
      </c>
      <c r="L3" s="26" t="s">
        <v>72</v>
      </c>
      <c r="M3" s="27"/>
      <c r="N3" s="1509" t="s">
        <v>142</v>
      </c>
      <c r="O3" s="1510"/>
      <c r="P3" s="1511"/>
      <c r="Q3" s="86" t="s">
        <v>139</v>
      </c>
      <c r="R3" s="87" t="s">
        <v>58</v>
      </c>
    </row>
    <row r="4" spans="1:19" ht="20.149999999999999" customHeight="1" thickTop="1" x14ac:dyDescent="0.35">
      <c r="A4" s="94">
        <f>A3+1</f>
        <v>2</v>
      </c>
      <c r="B4" s="95" t="s">
        <v>52</v>
      </c>
      <c r="C4" s="96" t="s">
        <v>51</v>
      </c>
      <c r="D4" s="149">
        <f>IF(Working!M12="Above 250cc",10,IF(AND('TW Quote'!B13=1,'TW Quote'!T13="Ijarah"),5,2.2))</f>
        <v>2.2000000000000002</v>
      </c>
      <c r="E4" s="97" t="s">
        <v>56</v>
      </c>
      <c r="F4" s="150">
        <v>2</v>
      </c>
      <c r="I4" s="32"/>
      <c r="J4" s="134" t="s">
        <v>170</v>
      </c>
      <c r="K4" s="34">
        <v>0.25</v>
      </c>
      <c r="L4" s="35" t="s">
        <v>72</v>
      </c>
      <c r="M4" s="36"/>
      <c r="N4" s="1501" t="s">
        <v>140</v>
      </c>
      <c r="O4" s="1502"/>
      <c r="P4" s="1502"/>
      <c r="Q4" s="151">
        <v>7.0000000000000007E-2</v>
      </c>
      <c r="R4" s="152">
        <v>2.5000000000000001E-2</v>
      </c>
    </row>
    <row r="5" spans="1:19" ht="20.149999999999999" customHeight="1" x14ac:dyDescent="0.35">
      <c r="A5" s="98">
        <f t="shared" ref="A5:A14" si="0">A4+1</f>
        <v>3</v>
      </c>
      <c r="B5" s="99" t="s">
        <v>155</v>
      </c>
      <c r="C5" s="100" t="s">
        <v>51</v>
      </c>
      <c r="D5" s="153">
        <v>2</v>
      </c>
      <c r="E5" s="101" t="s">
        <v>56</v>
      </c>
      <c r="F5" s="154">
        <v>20</v>
      </c>
      <c r="I5" s="28">
        <f>I3+1</f>
        <v>2</v>
      </c>
      <c r="J5" s="29" t="s">
        <v>172</v>
      </c>
      <c r="K5" s="155">
        <v>0.05</v>
      </c>
      <c r="L5" s="30" t="s">
        <v>72</v>
      </c>
      <c r="M5" s="31"/>
      <c r="N5" s="1507" t="s">
        <v>149</v>
      </c>
      <c r="O5" s="1508"/>
      <c r="P5" s="1508"/>
      <c r="Q5" s="156">
        <v>0.04</v>
      </c>
      <c r="R5" s="157">
        <v>1.2500000000000001E-2</v>
      </c>
    </row>
    <row r="6" spans="1:19" ht="20.149999999999999" customHeight="1" x14ac:dyDescent="0.35">
      <c r="A6" s="94">
        <f t="shared" si="0"/>
        <v>4</v>
      </c>
      <c r="B6" s="95" t="s">
        <v>160</v>
      </c>
      <c r="C6" s="96" t="s">
        <v>51</v>
      </c>
      <c r="D6" s="158">
        <v>2.25</v>
      </c>
      <c r="E6" s="97" t="s">
        <v>56</v>
      </c>
      <c r="F6" s="150">
        <v>5</v>
      </c>
      <c r="I6" s="28"/>
      <c r="J6" s="133" t="s">
        <v>170</v>
      </c>
      <c r="K6" s="155">
        <v>6.25E-2</v>
      </c>
      <c r="L6" s="30" t="s">
        <v>72</v>
      </c>
      <c r="M6" s="31"/>
      <c r="N6" s="1507" t="s">
        <v>148</v>
      </c>
      <c r="O6" s="1508"/>
      <c r="P6" s="1508"/>
      <c r="Q6" s="156">
        <v>3.7499999999999999E-2</v>
      </c>
      <c r="R6" s="157">
        <v>1.2500000000000001E-2</v>
      </c>
    </row>
    <row r="7" spans="1:19" ht="20.149999999999999" customHeight="1" thickBot="1" x14ac:dyDescent="0.4">
      <c r="A7" s="98">
        <f t="shared" si="0"/>
        <v>5</v>
      </c>
      <c r="B7" s="99" t="s">
        <v>161</v>
      </c>
      <c r="C7" s="100" t="s">
        <v>51</v>
      </c>
      <c r="D7" s="153">
        <v>2</v>
      </c>
      <c r="E7" s="101" t="s">
        <v>56</v>
      </c>
      <c r="F7" s="154">
        <v>5</v>
      </c>
      <c r="I7" s="32">
        <f>I5+1</f>
        <v>3</v>
      </c>
      <c r="J7" s="33" t="s">
        <v>59</v>
      </c>
      <c r="K7" s="34"/>
      <c r="L7" s="35"/>
      <c r="M7" s="36"/>
      <c r="N7" s="1512" t="s">
        <v>141</v>
      </c>
      <c r="O7" s="1513"/>
      <c r="P7" s="1513"/>
      <c r="Q7" s="159">
        <v>0.05</v>
      </c>
      <c r="R7" s="160">
        <v>1250</v>
      </c>
    </row>
    <row r="8" spans="1:19" ht="20.149999999999999" customHeight="1" thickTop="1" thickBot="1" x14ac:dyDescent="0.4">
      <c r="A8" s="94">
        <f t="shared" si="0"/>
        <v>6</v>
      </c>
      <c r="B8" s="95" t="s">
        <v>163</v>
      </c>
      <c r="C8" s="96" t="s">
        <v>51</v>
      </c>
      <c r="D8" s="158">
        <v>2.25</v>
      </c>
      <c r="E8" s="97" t="s">
        <v>56</v>
      </c>
      <c r="F8" s="150">
        <v>7</v>
      </c>
      <c r="I8" s="32"/>
      <c r="J8" s="35" t="s">
        <v>68</v>
      </c>
      <c r="K8" s="34">
        <v>50</v>
      </c>
      <c r="L8" s="35" t="s">
        <v>61</v>
      </c>
      <c r="M8" s="36"/>
      <c r="N8" s="1509" t="s">
        <v>40</v>
      </c>
      <c r="O8" s="1510"/>
      <c r="P8" s="1511"/>
      <c r="Q8" s="159">
        <v>0.15</v>
      </c>
      <c r="R8" s="160">
        <v>0.25</v>
      </c>
      <c r="S8" s="1" t="s">
        <v>145</v>
      </c>
    </row>
    <row r="9" spans="1:19" ht="20.149999999999999" customHeight="1" thickTop="1" thickBot="1" x14ac:dyDescent="0.4">
      <c r="A9" s="98">
        <f t="shared" si="0"/>
        <v>7</v>
      </c>
      <c r="B9" s="99" t="s">
        <v>162</v>
      </c>
      <c r="C9" s="100" t="s">
        <v>51</v>
      </c>
      <c r="D9" s="153">
        <v>2</v>
      </c>
      <c r="E9" s="101" t="s">
        <v>56</v>
      </c>
      <c r="F9" s="154">
        <v>7</v>
      </c>
      <c r="I9" s="32"/>
      <c r="J9" s="35" t="s">
        <v>67</v>
      </c>
      <c r="K9" s="34">
        <v>25</v>
      </c>
      <c r="L9" s="35" t="s">
        <v>61</v>
      </c>
      <c r="M9" s="36"/>
      <c r="N9" s="1514" t="s">
        <v>143</v>
      </c>
      <c r="O9" s="1514"/>
      <c r="P9" s="1514"/>
      <c r="Q9" s="159">
        <v>15</v>
      </c>
      <c r="R9" s="160">
        <v>3.7499999999999999E-2</v>
      </c>
      <c r="S9" s="1" t="s">
        <v>144</v>
      </c>
    </row>
    <row r="10" spans="1:19" ht="20.149999999999999" customHeight="1" thickTop="1" x14ac:dyDescent="0.35">
      <c r="A10" s="94">
        <f t="shared" si="0"/>
        <v>8</v>
      </c>
      <c r="B10" s="95" t="s">
        <v>317</v>
      </c>
      <c r="C10" s="96" t="s">
        <v>51</v>
      </c>
      <c r="D10" s="158">
        <f>Working!K8*100</f>
        <v>1.25</v>
      </c>
      <c r="E10" s="97" t="s">
        <v>56</v>
      </c>
      <c r="F10" s="150">
        <v>5</v>
      </c>
      <c r="I10" s="32"/>
      <c r="J10" s="35" t="s">
        <v>66</v>
      </c>
      <c r="K10" s="34">
        <v>25</v>
      </c>
      <c r="L10" s="35" t="s">
        <v>61</v>
      </c>
      <c r="M10" s="36"/>
    </row>
    <row r="11" spans="1:19" ht="20.149999999999999" customHeight="1" x14ac:dyDescent="0.35">
      <c r="A11" s="98">
        <f t="shared" si="0"/>
        <v>9</v>
      </c>
      <c r="B11" s="99" t="s">
        <v>154</v>
      </c>
      <c r="C11" s="100" t="s">
        <v>51</v>
      </c>
      <c r="D11" s="153">
        <v>1</v>
      </c>
      <c r="E11" s="101" t="s">
        <v>56</v>
      </c>
      <c r="F11" s="154">
        <v>60</v>
      </c>
      <c r="I11" s="28">
        <v>4</v>
      </c>
      <c r="J11" s="29" t="s">
        <v>63</v>
      </c>
      <c r="K11" s="155">
        <v>10</v>
      </c>
      <c r="L11" s="30" t="s">
        <v>69</v>
      </c>
      <c r="M11" s="31"/>
    </row>
    <row r="12" spans="1:19" ht="20.149999999999999" customHeight="1" x14ac:dyDescent="0.35">
      <c r="A12" s="94">
        <f t="shared" si="0"/>
        <v>10</v>
      </c>
      <c r="B12" s="95" t="s">
        <v>53</v>
      </c>
      <c r="C12" s="96" t="s">
        <v>51</v>
      </c>
      <c r="D12" s="158">
        <v>1.75</v>
      </c>
      <c r="E12" s="97" t="s">
        <v>56</v>
      </c>
      <c r="F12" s="150">
        <v>4</v>
      </c>
      <c r="I12" s="32">
        <f>I11+1</f>
        <v>5</v>
      </c>
      <c r="J12" s="38" t="s">
        <v>64</v>
      </c>
      <c r="K12" s="34">
        <v>10</v>
      </c>
      <c r="L12" s="35" t="s">
        <v>70</v>
      </c>
      <c r="M12" s="36"/>
    </row>
    <row r="13" spans="1:19" ht="20.149999999999999" customHeight="1" thickBot="1" x14ac:dyDescent="0.4">
      <c r="A13" s="98">
        <f t="shared" si="0"/>
        <v>11</v>
      </c>
      <c r="B13" s="109" t="s">
        <v>54</v>
      </c>
      <c r="C13" s="110" t="s">
        <v>51</v>
      </c>
      <c r="D13" s="161">
        <v>0.8</v>
      </c>
      <c r="E13" s="111" t="s">
        <v>56</v>
      </c>
      <c r="F13" s="162">
        <v>4</v>
      </c>
      <c r="I13" s="28">
        <f>I12+1</f>
        <v>6</v>
      </c>
      <c r="J13" s="29" t="s">
        <v>11</v>
      </c>
      <c r="K13" s="155">
        <v>15</v>
      </c>
      <c r="L13" s="30" t="s">
        <v>69</v>
      </c>
      <c r="M13" s="31"/>
    </row>
    <row r="14" spans="1:19" ht="20.149999999999999" customHeight="1" thickTop="1" thickBot="1" x14ac:dyDescent="0.4">
      <c r="A14" s="94">
        <f t="shared" si="0"/>
        <v>12</v>
      </c>
      <c r="B14" s="112" t="s">
        <v>164</v>
      </c>
      <c r="C14" s="96" t="s">
        <v>51</v>
      </c>
      <c r="D14" s="163">
        <v>0.8</v>
      </c>
      <c r="E14" s="113" t="s">
        <v>56</v>
      </c>
      <c r="F14" s="164">
        <v>4</v>
      </c>
      <c r="I14" s="32">
        <f>I13+1</f>
        <v>7</v>
      </c>
      <c r="J14" s="38" t="s">
        <v>46</v>
      </c>
      <c r="K14" s="34">
        <v>30</v>
      </c>
      <c r="L14" s="35" t="s">
        <v>69</v>
      </c>
      <c r="M14" s="54" t="s">
        <v>126</v>
      </c>
    </row>
    <row r="15" spans="1:19" ht="20.149999999999999" customHeight="1" thickTop="1" thickBot="1" x14ac:dyDescent="0.4">
      <c r="A15" s="98">
        <f>A14+1</f>
        <v>13</v>
      </c>
      <c r="B15" s="109" t="s">
        <v>167</v>
      </c>
      <c r="C15" s="110" t="s">
        <v>51</v>
      </c>
      <c r="D15" s="161">
        <v>2</v>
      </c>
      <c r="E15" s="111" t="s">
        <v>56</v>
      </c>
      <c r="F15" s="162">
        <v>50</v>
      </c>
      <c r="I15" s="28">
        <f>I14+1</f>
        <v>8</v>
      </c>
      <c r="J15" s="29" t="s">
        <v>65</v>
      </c>
      <c r="K15" s="155">
        <v>33.33</v>
      </c>
      <c r="L15" s="30" t="s">
        <v>69</v>
      </c>
      <c r="M15" s="54" t="s">
        <v>126</v>
      </c>
    </row>
    <row r="16" spans="1:19" ht="20.149999999999999" customHeight="1" thickTop="1" x14ac:dyDescent="0.35">
      <c r="A16" s="94">
        <f>A15+1</f>
        <v>14</v>
      </c>
      <c r="B16" s="95" t="s">
        <v>318</v>
      </c>
      <c r="C16" s="96" t="s">
        <v>51</v>
      </c>
      <c r="D16" s="369">
        <v>2.25</v>
      </c>
      <c r="E16" s="370" t="s">
        <v>56</v>
      </c>
      <c r="F16" s="164">
        <v>4</v>
      </c>
      <c r="I16" s="32">
        <f>I15+1</f>
        <v>9</v>
      </c>
      <c r="J16" s="33" t="s">
        <v>36</v>
      </c>
      <c r="K16" s="35"/>
      <c r="L16" s="35"/>
      <c r="M16" s="36"/>
    </row>
    <row r="17" spans="1:15" ht="20.149999999999999" customHeight="1" thickBot="1" x14ac:dyDescent="0.4">
      <c r="A17" s="363">
        <v>15</v>
      </c>
      <c r="B17" s="364" t="s">
        <v>165</v>
      </c>
      <c r="C17" s="365" t="s">
        <v>51</v>
      </c>
      <c r="D17" s="371"/>
      <c r="E17" s="372" t="s">
        <v>56</v>
      </c>
      <c r="F17" s="366">
        <v>5</v>
      </c>
      <c r="I17" s="32"/>
      <c r="J17" s="134" t="s">
        <v>71</v>
      </c>
      <c r="K17" s="165">
        <v>100</v>
      </c>
      <c r="L17" s="48" t="s">
        <v>81</v>
      </c>
      <c r="M17" s="49">
        <v>1100</v>
      </c>
    </row>
    <row r="18" spans="1:15" ht="20.149999999999999" customHeight="1" thickTop="1" thickBot="1" x14ac:dyDescent="0.4">
      <c r="A18" s="51">
        <v>1</v>
      </c>
      <c r="B18" s="39"/>
      <c r="C18" s="39"/>
      <c r="D18" s="39"/>
      <c r="E18" s="39"/>
      <c r="F18" s="39"/>
      <c r="I18" s="32"/>
      <c r="J18" s="134" t="s">
        <v>521</v>
      </c>
      <c r="K18" s="165">
        <v>700</v>
      </c>
      <c r="L18" s="50" t="s">
        <v>82</v>
      </c>
      <c r="M18" s="49">
        <v>2200</v>
      </c>
      <c r="N18" s="71"/>
    </row>
    <row r="19" spans="1:15" ht="20.149999999999999" customHeight="1" thickTop="1" thickBot="1" x14ac:dyDescent="0.4">
      <c r="A19" s="40"/>
      <c r="B19" s="41" t="s">
        <v>79</v>
      </c>
      <c r="C19" s="42" t="s">
        <v>51</v>
      </c>
      <c r="D19" s="166">
        <v>2.5</v>
      </c>
      <c r="E19" s="43" t="s">
        <v>56</v>
      </c>
      <c r="F19" s="39"/>
      <c r="I19" s="28">
        <v>10</v>
      </c>
      <c r="J19" s="29" t="s">
        <v>127</v>
      </c>
      <c r="K19" s="155">
        <v>15</v>
      </c>
      <c r="L19" s="30" t="s">
        <v>69</v>
      </c>
      <c r="M19" s="1505" t="s">
        <v>128</v>
      </c>
      <c r="N19" s="1506"/>
      <c r="O19" s="54" t="s">
        <v>114</v>
      </c>
    </row>
    <row r="20" spans="1:15" ht="20.149999999999999" customHeight="1" thickTop="1" thickBot="1" x14ac:dyDescent="0.4">
      <c r="A20" s="143"/>
      <c r="B20" s="144" t="s">
        <v>173</v>
      </c>
      <c r="C20" s="145" t="s">
        <v>51</v>
      </c>
      <c r="D20" s="167">
        <v>0</v>
      </c>
      <c r="E20" s="346" t="s">
        <v>56</v>
      </c>
      <c r="F20" s="347" t="s">
        <v>114</v>
      </c>
      <c r="G20" s="614">
        <f>IF(F20="Yes",D20,0)</f>
        <v>0</v>
      </c>
      <c r="H20" s="614"/>
      <c r="I20" s="28"/>
      <c r="J20" s="29"/>
      <c r="K20" s="155"/>
      <c r="L20" s="30"/>
      <c r="M20" s="220"/>
      <c r="N20" s="72"/>
    </row>
    <row r="21" spans="1:15" ht="20.149999999999999" customHeight="1" thickTop="1" thickBot="1" x14ac:dyDescent="0.4">
      <c r="A21" s="44"/>
      <c r="B21" s="45" t="s">
        <v>80</v>
      </c>
      <c r="C21" s="46" t="s">
        <v>51</v>
      </c>
      <c r="D21" s="168">
        <v>8</v>
      </c>
      <c r="E21" s="47" t="s">
        <v>56</v>
      </c>
      <c r="F21" s="39"/>
      <c r="I21" s="32">
        <f>I19+1</f>
        <v>11</v>
      </c>
      <c r="J21" s="38" t="s">
        <v>73</v>
      </c>
      <c r="K21" s="34">
        <v>10</v>
      </c>
      <c r="L21" s="35" t="s">
        <v>75</v>
      </c>
      <c r="M21" s="54" t="s">
        <v>126</v>
      </c>
    </row>
    <row r="22" spans="1:15" ht="30.75" customHeight="1" thickTop="1" thickBot="1" x14ac:dyDescent="0.35">
      <c r="I22" s="28">
        <f>I21+1</f>
        <v>12</v>
      </c>
      <c r="J22" s="55" t="s">
        <v>74</v>
      </c>
      <c r="K22" s="30"/>
      <c r="L22" s="30"/>
      <c r="M22" s="31"/>
    </row>
    <row r="23" spans="1:15" ht="20.149999999999999" customHeight="1" thickTop="1" thickBot="1" x14ac:dyDescent="0.4">
      <c r="A23" s="51">
        <v>2</v>
      </c>
      <c r="B23" s="52" t="s">
        <v>120</v>
      </c>
      <c r="I23" s="28"/>
      <c r="J23" s="30" t="s">
        <v>62</v>
      </c>
      <c r="K23" s="155">
        <v>150</v>
      </c>
      <c r="L23" s="56" t="s">
        <v>77</v>
      </c>
      <c r="M23" s="31"/>
    </row>
    <row r="24" spans="1:15" ht="20.149999999999999" customHeight="1" thickTop="1" thickBot="1" x14ac:dyDescent="0.4">
      <c r="A24" s="53"/>
      <c r="B24" s="169">
        <v>28000000</v>
      </c>
      <c r="I24" s="28"/>
      <c r="J24" s="57" t="s">
        <v>124</v>
      </c>
      <c r="K24" s="170">
        <v>600</v>
      </c>
      <c r="L24" s="58" t="s">
        <v>77</v>
      </c>
      <c r="M24" s="31"/>
    </row>
    <row r="25" spans="1:15" ht="20.149999999999999" customHeight="1" thickBot="1" x14ac:dyDescent="0.4">
      <c r="B25" s="169">
        <v>1000000</v>
      </c>
      <c r="C25" s="85" t="s">
        <v>138</v>
      </c>
      <c r="I25" s="28"/>
      <c r="J25" s="30" t="s">
        <v>76</v>
      </c>
      <c r="K25" s="155">
        <v>150</v>
      </c>
      <c r="L25" s="56" t="s">
        <v>77</v>
      </c>
      <c r="M25" s="31"/>
    </row>
    <row r="26" spans="1:15" ht="20.149999999999999" customHeight="1" thickTop="1" thickBot="1" x14ac:dyDescent="0.4">
      <c r="A26" s="51">
        <v>3</v>
      </c>
      <c r="B26" s="52" t="s">
        <v>113</v>
      </c>
      <c r="F26" s="52" t="s">
        <v>396</v>
      </c>
      <c r="I26" s="32">
        <v>13</v>
      </c>
      <c r="J26" s="33" t="s">
        <v>83</v>
      </c>
      <c r="K26" s="35"/>
      <c r="L26" s="35"/>
      <c r="M26" s="49"/>
    </row>
    <row r="27" spans="1:15" ht="20.149999999999999" customHeight="1" thickTop="1" thickBot="1" x14ac:dyDescent="0.4">
      <c r="A27" s="53"/>
      <c r="B27" s="169">
        <v>28000000</v>
      </c>
      <c r="F27" s="1481">
        <v>10</v>
      </c>
      <c r="G27" s="1482"/>
      <c r="I27" s="60"/>
      <c r="J27" s="61" t="s">
        <v>84</v>
      </c>
      <c r="K27" s="165">
        <v>6</v>
      </c>
      <c r="L27" s="70" t="s">
        <v>88</v>
      </c>
      <c r="M27" s="49">
        <v>12</v>
      </c>
    </row>
    <row r="28" spans="1:15" ht="20.149999999999999" customHeight="1" thickTop="1" thickBot="1" x14ac:dyDescent="0.4">
      <c r="A28" s="51">
        <v>4</v>
      </c>
      <c r="B28" s="52" t="s">
        <v>115</v>
      </c>
      <c r="C28" s="1496" t="s">
        <v>78</v>
      </c>
      <c r="D28" s="1497"/>
      <c r="I28" s="60"/>
      <c r="J28" s="61" t="s">
        <v>87</v>
      </c>
      <c r="K28" s="165">
        <v>20</v>
      </c>
      <c r="L28" s="70" t="s">
        <v>89</v>
      </c>
      <c r="M28" s="49">
        <v>30</v>
      </c>
    </row>
    <row r="29" spans="1:15" ht="20.149999999999999" customHeight="1" thickTop="1" thickBot="1" x14ac:dyDescent="0.4">
      <c r="A29" s="51">
        <v>5</v>
      </c>
      <c r="B29" s="59" t="s">
        <v>116</v>
      </c>
      <c r="C29" s="1481">
        <v>75</v>
      </c>
      <c r="D29" s="1482"/>
      <c r="E29" s="1498">
        <f>IF(OR(Working!H8=Administration!C7,Working!H8=Administration!C8),G29,0)</f>
        <v>0</v>
      </c>
      <c r="F29" s="1499"/>
      <c r="G29" s="1483">
        <v>1200000</v>
      </c>
      <c r="H29" s="1484"/>
      <c r="I29" s="60"/>
      <c r="J29" s="61" t="s">
        <v>86</v>
      </c>
      <c r="K29" s="165">
        <v>55</v>
      </c>
      <c r="L29" s="70" t="s">
        <v>90</v>
      </c>
      <c r="M29" s="49">
        <v>105</v>
      </c>
    </row>
    <row r="30" spans="1:15" ht="20.149999999999999" customHeight="1" thickTop="1" thickBot="1" x14ac:dyDescent="0.4">
      <c r="A30" s="51">
        <v>6</v>
      </c>
      <c r="B30" s="52" t="s">
        <v>117</v>
      </c>
      <c r="I30" s="60"/>
      <c r="J30" s="61" t="s">
        <v>85</v>
      </c>
      <c r="K30" s="165">
        <v>290</v>
      </c>
      <c r="L30" s="61"/>
      <c r="M30" s="49"/>
    </row>
    <row r="31" spans="1:15" ht="20.149999999999999" customHeight="1" thickTop="1" thickBot="1" x14ac:dyDescent="0.4">
      <c r="A31" s="53"/>
      <c r="B31" s="169">
        <v>1000000</v>
      </c>
      <c r="I31" s="28">
        <v>14</v>
      </c>
      <c r="J31" s="29" t="s">
        <v>91</v>
      </c>
      <c r="K31" s="155">
        <v>2000</v>
      </c>
      <c r="L31" s="56" t="s">
        <v>77</v>
      </c>
      <c r="M31" s="31"/>
    </row>
    <row r="32" spans="1:15" ht="20.149999999999999" customHeight="1" thickTop="1" thickBot="1" x14ac:dyDescent="0.4">
      <c r="A32" s="51">
        <v>7</v>
      </c>
      <c r="B32" s="52" t="s">
        <v>129</v>
      </c>
      <c r="I32" s="32">
        <v>15</v>
      </c>
      <c r="J32" s="38" t="s">
        <v>92</v>
      </c>
      <c r="K32" s="34">
        <v>10</v>
      </c>
      <c r="L32" s="35" t="s">
        <v>93</v>
      </c>
      <c r="M32" s="36"/>
    </row>
    <row r="33" spans="1:13" ht="20.149999999999999" customHeight="1" thickTop="1" thickBot="1" x14ac:dyDescent="0.4">
      <c r="B33" s="169">
        <v>5000</v>
      </c>
      <c r="I33" s="28">
        <v>16</v>
      </c>
      <c r="J33" s="55" t="s">
        <v>8</v>
      </c>
      <c r="K33" s="30"/>
      <c r="L33" s="30"/>
      <c r="M33" s="31"/>
    </row>
    <row r="34" spans="1:13" ht="20.149999999999999" customHeight="1" thickBot="1" x14ac:dyDescent="0.35">
      <c r="I34" s="64"/>
      <c r="J34" s="30" t="s">
        <v>95</v>
      </c>
      <c r="K34" s="155">
        <v>150</v>
      </c>
      <c r="L34" s="56" t="s">
        <v>77</v>
      </c>
      <c r="M34" s="31"/>
    </row>
    <row r="35" spans="1:13" ht="20.149999999999999" customHeight="1" thickTop="1" thickBot="1" x14ac:dyDescent="0.4">
      <c r="A35" s="51">
        <v>8</v>
      </c>
      <c r="B35" s="82" t="s">
        <v>137</v>
      </c>
      <c r="I35" s="64"/>
      <c r="J35" s="30" t="s">
        <v>60</v>
      </c>
      <c r="K35" s="155">
        <v>200</v>
      </c>
      <c r="L35" s="56" t="s">
        <v>77</v>
      </c>
      <c r="M35" s="31"/>
    </row>
    <row r="36" spans="1:13" ht="20.149999999999999" customHeight="1" thickTop="1" thickBot="1" x14ac:dyDescent="0.4">
      <c r="A36" s="53"/>
      <c r="B36" s="169">
        <v>1000</v>
      </c>
      <c r="I36" s="64"/>
      <c r="J36" s="30" t="s">
        <v>94</v>
      </c>
      <c r="K36" s="155">
        <v>200</v>
      </c>
      <c r="L36" s="56" t="s">
        <v>77</v>
      </c>
      <c r="M36" s="31"/>
    </row>
    <row r="37" spans="1:13" ht="20.149999999999999" customHeight="1" thickTop="1" thickBot="1" x14ac:dyDescent="0.4">
      <c r="A37" s="51">
        <v>9</v>
      </c>
      <c r="B37" s="84" t="s">
        <v>135</v>
      </c>
      <c r="I37" s="32">
        <v>17</v>
      </c>
      <c r="J37" s="33" t="s">
        <v>2</v>
      </c>
      <c r="K37" s="34"/>
      <c r="L37" s="35"/>
      <c r="M37" s="36"/>
    </row>
    <row r="38" spans="1:13" ht="20.149999999999999" customHeight="1" thickTop="1" thickBot="1" x14ac:dyDescent="0.35">
      <c r="B38" s="83" t="s">
        <v>136</v>
      </c>
      <c r="C38" s="1493">
        <v>0</v>
      </c>
      <c r="D38" s="1494"/>
      <c r="E38" s="1495"/>
      <c r="I38" s="65" t="s">
        <v>96</v>
      </c>
      <c r="J38" s="34">
        <v>1000</v>
      </c>
      <c r="K38" s="171">
        <v>10</v>
      </c>
      <c r="L38" s="66"/>
      <c r="M38" s="36"/>
    </row>
    <row r="39" spans="1:13" ht="20.149999999999999" customHeight="1" thickTop="1" thickBot="1" x14ac:dyDescent="0.4">
      <c r="A39" s="51">
        <v>10</v>
      </c>
      <c r="B39" s="62" t="s">
        <v>119</v>
      </c>
      <c r="D39" s="68" t="s">
        <v>78</v>
      </c>
      <c r="I39" s="65" t="s">
        <v>96</v>
      </c>
      <c r="J39" s="34">
        <v>2500</v>
      </c>
      <c r="K39" s="171">
        <v>15</v>
      </c>
      <c r="L39" s="66"/>
      <c r="M39" s="36"/>
    </row>
    <row r="40" spans="1:13" ht="17.149999999999999" customHeight="1" thickTop="1" thickBot="1" x14ac:dyDescent="0.4">
      <c r="A40" s="53"/>
      <c r="B40" s="63" t="s">
        <v>118</v>
      </c>
      <c r="C40" s="1493">
        <v>50000</v>
      </c>
      <c r="D40" s="1494"/>
      <c r="E40" s="1495"/>
      <c r="I40" s="65" t="s">
        <v>96</v>
      </c>
      <c r="J40" s="34">
        <v>5000</v>
      </c>
      <c r="K40" s="171">
        <v>20</v>
      </c>
      <c r="L40" s="66"/>
      <c r="M40" s="36"/>
    </row>
    <row r="41" spans="1:13" ht="17.149999999999999" customHeight="1" thickTop="1" thickBot="1" x14ac:dyDescent="0.35">
      <c r="B41" s="63" t="s">
        <v>130</v>
      </c>
      <c r="D41" s="68" t="s">
        <v>114</v>
      </c>
      <c r="I41" s="28">
        <v>18</v>
      </c>
      <c r="J41" s="55" t="s">
        <v>97</v>
      </c>
      <c r="K41" s="30"/>
      <c r="L41" s="30"/>
      <c r="M41" s="31"/>
    </row>
    <row r="42" spans="1:13" ht="17.149999999999999" customHeight="1" thickTop="1" thickBot="1" x14ac:dyDescent="0.35">
      <c r="B42" s="63" t="s">
        <v>159</v>
      </c>
      <c r="D42" s="68">
        <v>10</v>
      </c>
      <c r="I42" s="64"/>
      <c r="J42" s="67" t="s">
        <v>98</v>
      </c>
      <c r="K42" s="155">
        <v>4.5</v>
      </c>
      <c r="L42" s="30" t="s">
        <v>69</v>
      </c>
      <c r="M42" s="31"/>
    </row>
    <row r="43" spans="1:13" ht="17.149999999999999" customHeight="1" thickTop="1" thickBot="1" x14ac:dyDescent="0.4">
      <c r="A43" s="51">
        <v>11</v>
      </c>
      <c r="B43" s="1500" t="s">
        <v>131</v>
      </c>
      <c r="D43" s="68" t="s">
        <v>114</v>
      </c>
      <c r="I43" s="64"/>
      <c r="J43" s="67" t="s">
        <v>99</v>
      </c>
      <c r="K43" s="155">
        <v>5.25</v>
      </c>
      <c r="L43" s="30" t="s">
        <v>69</v>
      </c>
      <c r="M43" s="31"/>
    </row>
    <row r="44" spans="1:13" ht="17.149999999999999" customHeight="1" thickTop="1" thickBot="1" x14ac:dyDescent="0.35">
      <c r="B44" s="1500"/>
      <c r="I44" s="64"/>
      <c r="J44" s="67" t="s">
        <v>100</v>
      </c>
      <c r="K44" s="155">
        <v>6</v>
      </c>
      <c r="L44" s="30" t="s">
        <v>69</v>
      </c>
      <c r="M44" s="31"/>
    </row>
    <row r="45" spans="1:13" ht="17.149999999999999" customHeight="1" thickTop="1" thickBot="1" x14ac:dyDescent="0.4">
      <c r="A45" s="51">
        <v>12</v>
      </c>
      <c r="B45" s="63" t="s">
        <v>295</v>
      </c>
      <c r="D45" s="68" t="s">
        <v>114</v>
      </c>
      <c r="I45" s="64"/>
      <c r="J45" s="67" t="s">
        <v>101</v>
      </c>
      <c r="K45" s="155">
        <v>6.25</v>
      </c>
      <c r="L45" s="30" t="s">
        <v>69</v>
      </c>
      <c r="M45" s="31"/>
    </row>
    <row r="46" spans="1:13" ht="17.149999999999999" customHeight="1" thickTop="1" thickBot="1" x14ac:dyDescent="0.35">
      <c r="I46" s="64"/>
      <c r="J46" s="67" t="s">
        <v>102</v>
      </c>
      <c r="K46" s="155">
        <v>6.5</v>
      </c>
      <c r="L46" s="30" t="s">
        <v>69</v>
      </c>
      <c r="M46" s="31"/>
    </row>
    <row r="47" spans="1:13" ht="17.149999999999999" customHeight="1" thickTop="1" thickBot="1" x14ac:dyDescent="0.4">
      <c r="A47" s="51">
        <v>13</v>
      </c>
      <c r="B47" s="1492" t="s">
        <v>402</v>
      </c>
      <c r="D47" s="68" t="s">
        <v>114</v>
      </c>
      <c r="I47" s="64"/>
      <c r="J47" s="67" t="s">
        <v>103</v>
      </c>
      <c r="K47" s="155">
        <v>6.75</v>
      </c>
      <c r="L47" s="30" t="s">
        <v>69</v>
      </c>
      <c r="M47" s="31"/>
    </row>
    <row r="48" spans="1:13" ht="17.149999999999999" customHeight="1" thickTop="1" x14ac:dyDescent="0.3">
      <c r="B48" s="1492"/>
      <c r="I48" s="64"/>
      <c r="J48" s="67" t="s">
        <v>104</v>
      </c>
      <c r="K48" s="155">
        <v>7</v>
      </c>
      <c r="L48" s="30" t="s">
        <v>69</v>
      </c>
      <c r="M48" s="31"/>
    </row>
    <row r="49" spans="1:13" ht="17.149999999999999" customHeight="1" thickBot="1" x14ac:dyDescent="0.35">
      <c r="I49" s="64"/>
      <c r="J49" s="67" t="s">
        <v>105</v>
      </c>
      <c r="K49" s="155">
        <v>7</v>
      </c>
      <c r="L49" s="30" t="s">
        <v>69</v>
      </c>
      <c r="M49" s="31"/>
    </row>
    <row r="50" spans="1:13" ht="20.149999999999999" customHeight="1" thickTop="1" thickBot="1" x14ac:dyDescent="0.4">
      <c r="A50" s="51">
        <v>14</v>
      </c>
      <c r="B50" s="63" t="s">
        <v>264</v>
      </c>
      <c r="D50" s="68" t="s">
        <v>114</v>
      </c>
      <c r="I50" s="64"/>
      <c r="J50" s="67" t="s">
        <v>106</v>
      </c>
      <c r="K50" s="155">
        <v>7</v>
      </c>
      <c r="L50" s="30" t="s">
        <v>69</v>
      </c>
      <c r="M50" s="31"/>
    </row>
    <row r="51" spans="1:13" ht="17.149999999999999" customHeight="1" thickTop="1" thickBot="1" x14ac:dyDescent="0.35">
      <c r="I51" s="64"/>
      <c r="J51" s="67" t="s">
        <v>107</v>
      </c>
      <c r="K51" s="155">
        <v>7</v>
      </c>
      <c r="L51" s="30" t="s">
        <v>69</v>
      </c>
      <c r="M51" s="31"/>
    </row>
    <row r="52" spans="1:13" ht="17.149999999999999" customHeight="1" thickTop="1" thickBot="1" x14ac:dyDescent="0.4">
      <c r="A52" s="51">
        <v>15</v>
      </c>
      <c r="B52" s="272" t="str">
        <f>CONCATENATE("Allow Vehicle Above ",Administration!F29," Years")</f>
        <v>Allow Vehicle Above 19 Years</v>
      </c>
      <c r="D52" s="68" t="s">
        <v>78</v>
      </c>
      <c r="I52" s="32">
        <v>19</v>
      </c>
      <c r="J52" s="33" t="s">
        <v>40</v>
      </c>
      <c r="K52" s="35"/>
      <c r="L52" s="35"/>
      <c r="M52" s="36"/>
    </row>
    <row r="53" spans="1:13" ht="17.149999999999999" customHeight="1" thickTop="1" thickBot="1" x14ac:dyDescent="0.35">
      <c r="I53" s="60"/>
      <c r="J53" s="35" t="s">
        <v>4</v>
      </c>
      <c r="K53" s="172">
        <v>0.7</v>
      </c>
      <c r="L53" s="35" t="s">
        <v>122</v>
      </c>
      <c r="M53" s="36"/>
    </row>
    <row r="54" spans="1:13" ht="17.149999999999999" customHeight="1" thickTop="1" thickBot="1" x14ac:dyDescent="0.4">
      <c r="A54" s="51">
        <v>16</v>
      </c>
      <c r="B54" s="272" t="s">
        <v>294</v>
      </c>
      <c r="I54" s="60"/>
      <c r="J54" s="37" t="s">
        <v>5</v>
      </c>
      <c r="K54" s="173">
        <v>1.5</v>
      </c>
      <c r="L54" s="37" t="s">
        <v>122</v>
      </c>
      <c r="M54" s="36"/>
    </row>
    <row r="55" spans="1:13" ht="20.149999999999999" customHeight="1" thickTop="1" thickBot="1" x14ac:dyDescent="0.35">
      <c r="B55" s="1493">
        <v>15000</v>
      </c>
      <c r="C55" s="1494"/>
      <c r="D55" s="1495"/>
      <c r="I55" s="60"/>
      <c r="J55" s="37" t="s">
        <v>39</v>
      </c>
      <c r="K55" s="173">
        <v>3.5</v>
      </c>
      <c r="L55" s="37" t="s">
        <v>122</v>
      </c>
      <c r="M55" s="36"/>
    </row>
    <row r="56" spans="1:13" ht="20.149999999999999" customHeight="1" thickTop="1" thickBot="1" x14ac:dyDescent="0.35">
      <c r="I56" s="60"/>
      <c r="J56" s="37" t="s">
        <v>121</v>
      </c>
      <c r="K56" s="173">
        <v>1.5</v>
      </c>
      <c r="L56" s="37" t="s">
        <v>122</v>
      </c>
      <c r="M56" s="36"/>
    </row>
    <row r="57" spans="1:13" ht="20.149999999999999" customHeight="1" thickTop="1" thickBot="1" x14ac:dyDescent="0.45">
      <c r="A57" s="51">
        <v>17</v>
      </c>
      <c r="B57" s="428" t="s">
        <v>363</v>
      </c>
      <c r="I57" s="28">
        <v>20</v>
      </c>
      <c r="J57" s="55" t="s">
        <v>123</v>
      </c>
      <c r="K57" s="155">
        <v>33.33</v>
      </c>
      <c r="L57" s="30" t="s">
        <v>69</v>
      </c>
      <c r="M57" s="31"/>
    </row>
    <row r="58" spans="1:13" ht="20.149999999999999" customHeight="1" thickTop="1" thickBot="1" x14ac:dyDescent="0.35">
      <c r="B58" s="423" t="s">
        <v>367</v>
      </c>
      <c r="D58" s="68" t="s">
        <v>78</v>
      </c>
      <c r="I58" s="32">
        <v>21</v>
      </c>
      <c r="J58" s="33" t="s">
        <v>229</v>
      </c>
      <c r="K58" s="35"/>
      <c r="L58" s="35"/>
      <c r="M58" s="36"/>
    </row>
    <row r="59" spans="1:13" ht="20.149999999999999" customHeight="1" thickTop="1" thickBot="1" x14ac:dyDescent="0.35">
      <c r="B59" s="423" t="s">
        <v>364</v>
      </c>
      <c r="D59" s="251">
        <v>15</v>
      </c>
      <c r="E59" s="1" t="s">
        <v>368</v>
      </c>
      <c r="I59" s="60"/>
      <c r="J59" s="35" t="s">
        <v>230</v>
      </c>
      <c r="K59" s="172">
        <v>0</v>
      </c>
      <c r="L59" s="227" t="s">
        <v>77</v>
      </c>
      <c r="M59" s="36"/>
    </row>
    <row r="60" spans="1:13" ht="20.149999999999999" customHeight="1" thickBot="1" x14ac:dyDescent="0.35">
      <c r="B60" s="423" t="s">
        <v>365</v>
      </c>
      <c r="D60" s="251">
        <v>15</v>
      </c>
      <c r="E60" s="1" t="s">
        <v>368</v>
      </c>
      <c r="I60" s="60"/>
      <c r="J60" s="35" t="s">
        <v>231</v>
      </c>
      <c r="K60" s="173">
        <v>0</v>
      </c>
      <c r="L60" s="227" t="s">
        <v>77</v>
      </c>
      <c r="M60" s="36"/>
    </row>
    <row r="61" spans="1:13" ht="20.149999999999999" customHeight="1" thickTop="1" thickBot="1" x14ac:dyDescent="0.35">
      <c r="A61" s="454"/>
      <c r="B61" s="455" t="s">
        <v>369</v>
      </c>
      <c r="D61" s="68" t="s">
        <v>78</v>
      </c>
      <c r="I61" s="60"/>
      <c r="J61" s="37" t="s">
        <v>41</v>
      </c>
      <c r="K61" s="173">
        <v>0</v>
      </c>
      <c r="L61" s="227" t="s">
        <v>77</v>
      </c>
      <c r="M61" s="36"/>
    </row>
    <row r="62" spans="1:13" ht="20.149999999999999" customHeight="1" thickTop="1" thickBot="1" x14ac:dyDescent="0.35">
      <c r="I62" s="60"/>
      <c r="J62" s="37" t="s">
        <v>42</v>
      </c>
      <c r="K62" s="173">
        <v>6000</v>
      </c>
      <c r="L62" s="227" t="s">
        <v>77</v>
      </c>
      <c r="M62" s="36"/>
    </row>
    <row r="63" spans="1:13" ht="20.149999999999999" customHeight="1" thickTop="1" thickBot="1" x14ac:dyDescent="0.4">
      <c r="A63" s="51">
        <v>18</v>
      </c>
      <c r="B63" s="427" t="s">
        <v>366</v>
      </c>
      <c r="D63" s="68" t="s">
        <v>78</v>
      </c>
      <c r="I63" s="60"/>
      <c r="J63" s="37" t="s">
        <v>225</v>
      </c>
      <c r="K63" s="173">
        <v>0</v>
      </c>
      <c r="L63" s="227" t="s">
        <v>77</v>
      </c>
      <c r="M63" s="36"/>
    </row>
    <row r="64" spans="1:13" ht="20.149999999999999" customHeight="1" thickTop="1" thickBot="1" x14ac:dyDescent="0.35">
      <c r="B64" s="423" t="s">
        <v>367</v>
      </c>
      <c r="D64" s="68" t="s">
        <v>78</v>
      </c>
      <c r="I64" s="60"/>
      <c r="J64" s="37" t="s">
        <v>232</v>
      </c>
      <c r="K64" s="173">
        <v>2500</v>
      </c>
      <c r="L64" s="227" t="s">
        <v>77</v>
      </c>
      <c r="M64" s="36"/>
    </row>
    <row r="65" spans="1:13" ht="20.149999999999999" customHeight="1" thickTop="1" thickBot="1" x14ac:dyDescent="0.35">
      <c r="I65" s="60"/>
      <c r="J65" s="37" t="s">
        <v>228</v>
      </c>
      <c r="K65" s="173">
        <v>2000</v>
      </c>
      <c r="L65" s="227" t="s">
        <v>77</v>
      </c>
      <c r="M65" s="36"/>
    </row>
    <row r="66" spans="1:13" ht="20.149999999999999" customHeight="1" thickTop="1" thickBot="1" x14ac:dyDescent="0.45">
      <c r="A66" s="51">
        <v>19</v>
      </c>
      <c r="B66" s="428" t="s">
        <v>370</v>
      </c>
      <c r="I66" s="60"/>
      <c r="J66" s="37" t="s">
        <v>233</v>
      </c>
      <c r="K66" s="173">
        <v>5000</v>
      </c>
      <c r="L66" s="227" t="s">
        <v>77</v>
      </c>
      <c r="M66" s="36"/>
    </row>
    <row r="67" spans="1:13" ht="20.149999999999999" customHeight="1" thickTop="1" thickBot="1" x14ac:dyDescent="0.35">
      <c r="B67" s="426" t="s">
        <v>371</v>
      </c>
      <c r="D67" s="68" t="s">
        <v>78</v>
      </c>
      <c r="I67" s="60"/>
      <c r="J67" s="37" t="s">
        <v>220</v>
      </c>
      <c r="K67" s="173">
        <v>2500</v>
      </c>
      <c r="L67" s="227" t="s">
        <v>77</v>
      </c>
      <c r="M67" s="36"/>
    </row>
    <row r="68" spans="1:13" ht="20.149999999999999" customHeight="1" thickTop="1" x14ac:dyDescent="0.3">
      <c r="A68" s="1485" t="s">
        <v>435</v>
      </c>
      <c r="B68" s="1486"/>
      <c r="C68" s="1486"/>
      <c r="D68" s="1486"/>
      <c r="E68" s="1486"/>
      <c r="F68" s="1486"/>
      <c r="G68" s="1487"/>
      <c r="I68" s="60"/>
      <c r="J68" s="37" t="s">
        <v>270</v>
      </c>
      <c r="K68" s="173">
        <v>10</v>
      </c>
      <c r="L68" s="319">
        <v>5000</v>
      </c>
      <c r="M68" s="320" t="s">
        <v>283</v>
      </c>
    </row>
    <row r="69" spans="1:13" ht="20.149999999999999" customHeight="1" x14ac:dyDescent="0.3">
      <c r="A69" s="1488"/>
      <c r="B69" s="1489"/>
      <c r="C69" s="1489"/>
      <c r="D69" s="1489"/>
      <c r="E69" s="1489"/>
      <c r="F69" s="1489"/>
      <c r="G69" s="1490"/>
      <c r="I69" s="60"/>
      <c r="J69" s="37" t="s">
        <v>210</v>
      </c>
      <c r="K69" s="173">
        <v>0</v>
      </c>
      <c r="L69" s="227" t="s">
        <v>77</v>
      </c>
      <c r="M69" s="36"/>
    </row>
    <row r="70" spans="1:13" ht="20.149999999999999" customHeight="1" thickBot="1" x14ac:dyDescent="0.35">
      <c r="I70" s="60"/>
      <c r="J70" s="37" t="s">
        <v>271</v>
      </c>
      <c r="K70" s="173">
        <v>0</v>
      </c>
      <c r="L70" s="227" t="s">
        <v>77</v>
      </c>
      <c r="M70" s="36"/>
    </row>
    <row r="71" spans="1:13" ht="20.149999999999999" customHeight="1" thickTop="1" thickBot="1" x14ac:dyDescent="0.35">
      <c r="B71" s="426" t="s">
        <v>372</v>
      </c>
      <c r="D71" s="68" t="s">
        <v>114</v>
      </c>
      <c r="I71" s="60"/>
      <c r="J71" s="37" t="s">
        <v>209</v>
      </c>
      <c r="K71" s="173">
        <v>0</v>
      </c>
      <c r="L71" s="227" t="s">
        <v>77</v>
      </c>
      <c r="M71" s="36"/>
    </row>
    <row r="72" spans="1:13" ht="20.149999999999999" customHeight="1" thickTop="1" x14ac:dyDescent="0.3">
      <c r="A72" s="1485"/>
      <c r="B72" s="1486"/>
      <c r="C72" s="1486"/>
      <c r="D72" s="1486"/>
      <c r="E72" s="1486"/>
      <c r="F72" s="1486"/>
      <c r="G72" s="1487"/>
      <c r="I72" s="60"/>
      <c r="J72" s="37" t="s">
        <v>275</v>
      </c>
      <c r="K72" s="173">
        <v>0</v>
      </c>
      <c r="L72" s="227" t="s">
        <v>77</v>
      </c>
      <c r="M72" s="36"/>
    </row>
    <row r="73" spans="1:13" ht="20.149999999999999" customHeight="1" x14ac:dyDescent="0.3">
      <c r="A73" s="1488"/>
      <c r="B73" s="1489"/>
      <c r="C73" s="1489"/>
      <c r="D73" s="1489"/>
      <c r="E73" s="1489"/>
      <c r="F73" s="1489"/>
      <c r="G73" s="1490"/>
      <c r="I73" s="60"/>
      <c r="J73" s="37" t="s">
        <v>276</v>
      </c>
      <c r="K73" s="173">
        <v>0</v>
      </c>
      <c r="L73" s="227" t="s">
        <v>77</v>
      </c>
      <c r="M73" s="36"/>
    </row>
    <row r="74" spans="1:13" ht="20.149999999999999" customHeight="1" thickBot="1" x14ac:dyDescent="0.35">
      <c r="I74" s="60"/>
      <c r="J74" s="37" t="s">
        <v>211</v>
      </c>
      <c r="K74" s="173">
        <v>0</v>
      </c>
      <c r="L74" s="227" t="s">
        <v>77</v>
      </c>
      <c r="M74" s="36"/>
    </row>
    <row r="75" spans="1:13" ht="20.149999999999999" customHeight="1" thickTop="1" thickBot="1" x14ac:dyDescent="0.35">
      <c r="B75" s="426" t="s">
        <v>373</v>
      </c>
      <c r="D75" s="68" t="s">
        <v>114</v>
      </c>
      <c r="F75" s="425">
        <v>0.25</v>
      </c>
      <c r="I75" s="60"/>
      <c r="J75" s="37" t="s">
        <v>215</v>
      </c>
      <c r="K75" s="173">
        <v>0</v>
      </c>
      <c r="L75" s="227" t="s">
        <v>77</v>
      </c>
      <c r="M75" s="36"/>
    </row>
    <row r="76" spans="1:13" ht="20.149999999999999" customHeight="1" thickTop="1" thickBot="1" x14ac:dyDescent="0.35">
      <c r="B76" s="423" t="s">
        <v>367</v>
      </c>
      <c r="D76" s="68" t="str">
        <f>IF(OR(Working!H14="Yes",Working!M12="Corporate"),"Yes","No")</f>
        <v>Yes</v>
      </c>
      <c r="I76" s="60"/>
      <c r="J76" s="544" t="s">
        <v>212</v>
      </c>
      <c r="K76" s="173">
        <v>3000</v>
      </c>
      <c r="L76" s="227" t="s">
        <v>77</v>
      </c>
      <c r="M76" s="36"/>
    </row>
    <row r="77" spans="1:13" ht="20.149999999999999" customHeight="1" thickTop="1" x14ac:dyDescent="0.3">
      <c r="I77" s="28">
        <v>22</v>
      </c>
      <c r="J77" s="55" t="s">
        <v>306</v>
      </c>
      <c r="K77" s="30"/>
      <c r="L77" s="30"/>
      <c r="M77" s="31"/>
    </row>
    <row r="78" spans="1:13" ht="20.149999999999999" customHeight="1" thickBot="1" x14ac:dyDescent="0.35">
      <c r="I78" s="64"/>
      <c r="J78" s="67" t="s">
        <v>316</v>
      </c>
      <c r="K78" s="356">
        <v>0.125</v>
      </c>
      <c r="L78" s="30" t="s">
        <v>307</v>
      </c>
      <c r="M78" s="31"/>
    </row>
    <row r="79" spans="1:13" ht="20.149999999999999" customHeight="1" thickTop="1" thickBot="1" x14ac:dyDescent="0.45">
      <c r="A79" s="51">
        <v>20</v>
      </c>
      <c r="B79" s="428" t="s">
        <v>397</v>
      </c>
      <c r="D79" s="68" t="s">
        <v>78</v>
      </c>
      <c r="I79" s="64"/>
      <c r="J79" s="67" t="s">
        <v>308</v>
      </c>
      <c r="K79" s="356">
        <v>0.25</v>
      </c>
      <c r="L79" s="30" t="s">
        <v>307</v>
      </c>
      <c r="M79" s="31"/>
    </row>
    <row r="80" spans="1:13" ht="20.149999999999999" customHeight="1" thickTop="1" thickBot="1" x14ac:dyDescent="0.35">
      <c r="I80" s="64"/>
      <c r="J80" s="67" t="s">
        <v>309</v>
      </c>
      <c r="K80" s="356">
        <v>0.375</v>
      </c>
      <c r="L80" s="30" t="s">
        <v>307</v>
      </c>
      <c r="M80" s="31"/>
    </row>
    <row r="81" spans="1:13" ht="20.149999999999999" customHeight="1" thickTop="1" thickBot="1" x14ac:dyDescent="0.4">
      <c r="A81" s="51">
        <v>24</v>
      </c>
      <c r="B81" s="533" t="s">
        <v>407</v>
      </c>
      <c r="D81" s="68" t="s">
        <v>114</v>
      </c>
      <c r="F81" s="68">
        <v>1000</v>
      </c>
      <c r="I81" s="64"/>
      <c r="J81" s="67" t="s">
        <v>302</v>
      </c>
      <c r="K81" s="356">
        <v>0.5</v>
      </c>
      <c r="L81" s="30" t="s">
        <v>69</v>
      </c>
      <c r="M81" s="31"/>
    </row>
    <row r="82" spans="1:13" ht="20.149999999999999" customHeight="1" thickTop="1" thickBot="1" x14ac:dyDescent="0.35">
      <c r="B82" s="542" t="s">
        <v>409</v>
      </c>
      <c r="I82" s="64"/>
      <c r="J82" s="67" t="s">
        <v>310</v>
      </c>
      <c r="K82" s="356">
        <v>0.625</v>
      </c>
      <c r="L82" s="30" t="s">
        <v>69</v>
      </c>
      <c r="M82" s="31"/>
    </row>
    <row r="83" spans="1:13" ht="20.149999999999999" customHeight="1" thickTop="1" thickBot="1" x14ac:dyDescent="0.35">
      <c r="B83" s="543" t="s">
        <v>223</v>
      </c>
      <c r="D83" s="68">
        <v>2500</v>
      </c>
      <c r="I83" s="64"/>
      <c r="J83" s="67" t="s">
        <v>305</v>
      </c>
      <c r="K83" s="356">
        <v>0.75</v>
      </c>
      <c r="L83" s="30" t="s">
        <v>69</v>
      </c>
      <c r="M83" s="31"/>
    </row>
    <row r="84" spans="1:13" ht="20.149999999999999" customHeight="1" thickTop="1" x14ac:dyDescent="0.3">
      <c r="I84" s="64"/>
      <c r="J84" s="67" t="s">
        <v>311</v>
      </c>
      <c r="K84" s="356">
        <v>0.75</v>
      </c>
      <c r="L84" s="30" t="s">
        <v>69</v>
      </c>
      <c r="M84" s="31"/>
    </row>
    <row r="85" spans="1:13" ht="20.149999999999999" customHeight="1" thickBot="1" x14ac:dyDescent="0.35">
      <c r="I85" s="64"/>
      <c r="J85" s="67" t="s">
        <v>312</v>
      </c>
      <c r="K85" s="356">
        <v>0.875</v>
      </c>
      <c r="L85" s="30" t="s">
        <v>307</v>
      </c>
      <c r="M85" s="31"/>
    </row>
    <row r="86" spans="1:13" ht="20.149999999999999" customHeight="1" thickTop="1" thickBot="1" x14ac:dyDescent="0.4">
      <c r="A86" s="51">
        <v>25</v>
      </c>
      <c r="B86" s="533" t="s">
        <v>412</v>
      </c>
      <c r="D86" s="551" t="s">
        <v>414</v>
      </c>
      <c r="E86" s="551"/>
      <c r="F86" s="551" t="s">
        <v>0</v>
      </c>
      <c r="I86" s="64"/>
      <c r="J86" s="67" t="s">
        <v>304</v>
      </c>
      <c r="K86" s="356">
        <v>0.875</v>
      </c>
      <c r="L86" s="30" t="s">
        <v>307</v>
      </c>
      <c r="M86" s="31"/>
    </row>
    <row r="87" spans="1:13" ht="20.149999999999999" customHeight="1" thickTop="1" x14ac:dyDescent="0.3">
      <c r="B87" s="549" t="s">
        <v>60</v>
      </c>
      <c r="D87" s="552">
        <f>IF(OR(Working!K14=Working!F107,Working!K14=Working!F114),1,IF(Working!K14=Working!F99,0,IF(Working!K14=Working!F112,0,IF(Working!K14=Working!F97,Rates!D98,0))))</f>
        <v>0</v>
      </c>
      <c r="E87" s="553"/>
      <c r="F87" s="552">
        <f>IF(Working!K14=Working!F99,10,IF(Working!K14=Working!F112,10,IF(Working!K14=Working!F97,Rates!F98,15)))</f>
        <v>15</v>
      </c>
      <c r="I87" s="64"/>
      <c r="J87" s="67" t="s">
        <v>313</v>
      </c>
      <c r="K87" s="354">
        <v>1</v>
      </c>
      <c r="L87" s="30" t="s">
        <v>307</v>
      </c>
      <c r="M87" s="31"/>
    </row>
    <row r="88" spans="1:13" ht="20.149999999999999" customHeight="1" x14ac:dyDescent="0.3">
      <c r="B88" s="549" t="s">
        <v>413</v>
      </c>
      <c r="D88" s="552">
        <f>IF(OR(Working!K14=Working!F107,Working!K14=Working!F114),0,IF(Working!K14=Working!F112,D92,IF(OR(Working!K14=Working!F102,Working!K14=Working!F118),D104,0)))</f>
        <v>0</v>
      </c>
      <c r="E88" s="553"/>
      <c r="F88" s="552">
        <f>IF(OR(Working!K14=Working!F107,Working!K14=Working!F114),15,IF(Working!K14=Working!F112,F92,IF(OR(Working!K14=Working!F102,Working!K14=Working!F118),F104,15)))</f>
        <v>15</v>
      </c>
      <c r="I88" s="64"/>
      <c r="J88" s="67" t="s">
        <v>314</v>
      </c>
      <c r="K88" s="354">
        <v>1</v>
      </c>
      <c r="L88" s="30" t="s">
        <v>307</v>
      </c>
      <c r="M88" s="31"/>
    </row>
    <row r="89" spans="1:13" ht="20.149999999999999" customHeight="1" x14ac:dyDescent="0.3">
      <c r="I89" s="64"/>
      <c r="J89" s="67" t="s">
        <v>315</v>
      </c>
      <c r="K89" s="354">
        <v>1</v>
      </c>
      <c r="L89" s="30" t="s">
        <v>307</v>
      </c>
      <c r="M89" s="31"/>
    </row>
    <row r="90" spans="1:13" ht="20.149999999999999" customHeight="1" x14ac:dyDescent="0.3">
      <c r="B90" s="550"/>
      <c r="I90" s="64"/>
      <c r="J90" s="67" t="s">
        <v>303</v>
      </c>
      <c r="K90" s="354">
        <v>1</v>
      </c>
      <c r="L90" s="30" t="s">
        <v>307</v>
      </c>
      <c r="M90" s="31"/>
    </row>
    <row r="91" spans="1:13" ht="20.149999999999999" customHeight="1" x14ac:dyDescent="0.3">
      <c r="B91" s="564" t="s">
        <v>433</v>
      </c>
      <c r="C91" s="564"/>
      <c r="D91" s="565" t="s">
        <v>414</v>
      </c>
      <c r="E91" s="565"/>
      <c r="F91" s="565" t="s">
        <v>0</v>
      </c>
      <c r="I91" s="64"/>
      <c r="J91" s="67"/>
      <c r="K91" s="155"/>
      <c r="L91" s="30"/>
      <c r="M91" s="31"/>
    </row>
    <row r="92" spans="1:13" ht="20.149999999999999" customHeight="1" x14ac:dyDescent="0.3">
      <c r="B92" s="568" t="s">
        <v>434</v>
      </c>
      <c r="D92" s="552">
        <f>IF(Working!H9="Hiring",Rates!D95,Rates!F95)</f>
        <v>33.799999999999997</v>
      </c>
      <c r="E92" s="553"/>
      <c r="F92" s="552">
        <f>IF(Working!H9="Hiring",Rates!D96,Rates!F96)</f>
        <v>65</v>
      </c>
      <c r="I92" s="64"/>
      <c r="J92" s="67"/>
      <c r="K92" s="155"/>
      <c r="L92" s="30"/>
      <c r="M92" s="31"/>
    </row>
    <row r="93" spans="1:13" ht="20.149999999999999" customHeight="1" x14ac:dyDescent="0.3">
      <c r="I93" s="64"/>
      <c r="J93" s="67"/>
      <c r="K93" s="155"/>
      <c r="L93" s="30"/>
      <c r="M93" s="31"/>
    </row>
    <row r="94" spans="1:13" ht="20.149999999999999" customHeight="1" x14ac:dyDescent="0.3">
      <c r="D94" s="1" t="s">
        <v>41</v>
      </c>
      <c r="F94" s="1" t="s">
        <v>45</v>
      </c>
      <c r="I94" s="64"/>
      <c r="J94" s="67"/>
      <c r="K94" s="155"/>
      <c r="L94" s="30"/>
      <c r="M94" s="31"/>
    </row>
    <row r="95" spans="1:13" ht="20.149999999999999" customHeight="1" x14ac:dyDescent="0.25">
      <c r="B95" s="560" t="s">
        <v>414</v>
      </c>
      <c r="D95" s="1">
        <v>33.799999999999997</v>
      </c>
      <c r="F95" s="1">
        <v>10</v>
      </c>
    </row>
    <row r="96" spans="1:13" ht="20.149999999999999" customHeight="1" x14ac:dyDescent="0.25">
      <c r="B96" s="566" t="s">
        <v>0</v>
      </c>
      <c r="C96" s="19"/>
      <c r="D96" s="19">
        <v>65</v>
      </c>
      <c r="E96" s="19"/>
      <c r="F96" s="19">
        <v>38.32</v>
      </c>
    </row>
    <row r="97" spans="2:6" ht="20.149999999999999" customHeight="1" x14ac:dyDescent="0.3">
      <c r="B97" s="567" t="s">
        <v>437</v>
      </c>
      <c r="C97" s="564"/>
      <c r="D97" s="565" t="s">
        <v>414</v>
      </c>
      <c r="E97" s="565"/>
      <c r="F97" s="565" t="s">
        <v>0</v>
      </c>
    </row>
    <row r="98" spans="2:6" ht="20.149999999999999" customHeight="1" x14ac:dyDescent="0.3">
      <c r="B98" s="568" t="s">
        <v>436</v>
      </c>
      <c r="D98" s="552">
        <v>0</v>
      </c>
      <c r="E98" s="553"/>
      <c r="F98" s="552">
        <v>15</v>
      </c>
    </row>
    <row r="99" spans="2:6" ht="20.149999999999999" customHeight="1" x14ac:dyDescent="0.25">
      <c r="D99" s="570" t="s">
        <v>438</v>
      </c>
      <c r="F99" s="569" t="s">
        <v>439</v>
      </c>
    </row>
    <row r="100" spans="2:6" ht="20.149999999999999" customHeight="1" x14ac:dyDescent="0.25">
      <c r="B100" s="560" t="s">
        <v>444</v>
      </c>
      <c r="D100" s="1">
        <v>0</v>
      </c>
      <c r="F100" s="1">
        <v>0</v>
      </c>
    </row>
    <row r="101" spans="2:6" ht="20.149999999999999" customHeight="1" x14ac:dyDescent="0.25">
      <c r="B101" s="566" t="s">
        <v>445</v>
      </c>
      <c r="C101" s="19"/>
      <c r="D101" s="19">
        <v>15</v>
      </c>
      <c r="E101" s="19"/>
      <c r="F101" s="19">
        <v>15</v>
      </c>
    </row>
    <row r="102" spans="2:6" ht="20.149999999999999" customHeight="1" x14ac:dyDescent="0.25">
      <c r="B102" s="566"/>
      <c r="C102" s="19"/>
      <c r="D102" s="19"/>
      <c r="E102" s="19"/>
      <c r="F102" s="19"/>
    </row>
    <row r="103" spans="2:6" ht="23.25" customHeight="1" x14ac:dyDescent="0.3">
      <c r="B103" s="571" t="s">
        <v>442</v>
      </c>
      <c r="C103" s="564"/>
      <c r="D103" s="565" t="s">
        <v>414</v>
      </c>
      <c r="E103" s="565"/>
      <c r="F103" s="565" t="s">
        <v>0</v>
      </c>
    </row>
    <row r="104" spans="2:6" ht="20.149999999999999" customHeight="1" x14ac:dyDescent="0.3">
      <c r="B104" s="568" t="s">
        <v>434</v>
      </c>
      <c r="D104" s="552">
        <v>33</v>
      </c>
      <c r="E104" s="553"/>
      <c r="F104" s="552">
        <v>35</v>
      </c>
    </row>
  </sheetData>
  <mergeCells count="22">
    <mergeCell ref="N4:P4"/>
    <mergeCell ref="I2:J2"/>
    <mergeCell ref="M19:N19"/>
    <mergeCell ref="N6:P6"/>
    <mergeCell ref="N8:P8"/>
    <mergeCell ref="N5:P5"/>
    <mergeCell ref="N7:P7"/>
    <mergeCell ref="N3:P3"/>
    <mergeCell ref="N9:P9"/>
    <mergeCell ref="F27:G27"/>
    <mergeCell ref="G29:H29"/>
    <mergeCell ref="A68:G69"/>
    <mergeCell ref="A72:G73"/>
    <mergeCell ref="F1:F2"/>
    <mergeCell ref="B47:B48"/>
    <mergeCell ref="B55:D55"/>
    <mergeCell ref="C28:D28"/>
    <mergeCell ref="C29:D29"/>
    <mergeCell ref="C38:E38"/>
    <mergeCell ref="E29:F29"/>
    <mergeCell ref="B43:B44"/>
    <mergeCell ref="C40:E40"/>
  </mergeCells>
  <phoneticPr fontId="28" type="noConversion"/>
  <conditionalFormatting sqref="D59:D60">
    <cfRule type="cellIs" dxfId="341" priority="1" stopIfTrue="1" operator="equal">
      <formula>"No"</formula>
    </cfRule>
  </conditionalFormatting>
  <dataValidations count="17">
    <dataValidation type="list" allowBlank="1" showInputMessage="1" showErrorMessage="1" sqref="D63:D64 D58 O19 D47 D43 D41 C28 D39 D45 D50 F20 D52 D61 D67 D71 D75:D76 D79 D81" xr:uid="{00000000-0002-0000-0100-000000000000}">
      <formula1>"Yes,No"</formula1>
    </dataValidation>
    <dataValidation type="list" allowBlank="1" showInputMessage="1" showErrorMessage="1" sqref="M14:M15 M21" xr:uid="{00000000-0002-0000-0100-000001000000}">
      <formula1>"Free,Charge"</formula1>
    </dataValidation>
    <dataValidation type="whole" operator="greaterThan" allowBlank="1" showInputMessage="1" showErrorMessage="1" sqref="K7 R7 Q4:Q5 Q7:Q9" xr:uid="{00000000-0002-0000-0100-000002000000}">
      <formula1>0</formula1>
    </dataValidation>
    <dataValidation type="whole" operator="greaterThanOrEqual" allowBlank="1" showInputMessage="1" showErrorMessage="1" sqref="D42 G20:H20 D20" xr:uid="{00000000-0002-0000-0100-000003000000}">
      <formula1>0</formula1>
    </dataValidation>
    <dataValidation type="list" allowBlank="1" showInputMessage="1" showErrorMessage="1" sqref="C40:E40" xr:uid="{00000000-0002-0000-0100-000004000000}">
      <formula1>"0,25000,50000,75000,100000,125000,150000,175000,200000"</formula1>
    </dataValidation>
    <dataValidation type="whole" operator="greaterThan" allowBlank="1" showInputMessage="1" showErrorMessage="1" sqref="K8:K15 K91:K94 K59:K76 K3 K53:K57 K42:K51 J38:K40 K34:K36 K27:K32 M27:M29 K23:K25 K17:K21 M17:M18" xr:uid="{00000000-0002-0000-0100-000005000000}">
      <formula1>-1</formula1>
    </dataValidation>
    <dataValidation type="decimal" operator="greaterThan" allowBlank="1" showInputMessage="1" showErrorMessage="1" sqref="K4:K6 K78:K90" xr:uid="{00000000-0002-0000-0100-000006000000}">
      <formula1>-1</formula1>
    </dataValidation>
    <dataValidation type="whole" allowBlank="1" showInputMessage="1" showErrorMessage="1" sqref="B55:D55" xr:uid="{00000000-0002-0000-0100-000007000000}">
      <formula1>0</formula1>
      <formula2>100000</formula2>
    </dataValidation>
    <dataValidation type="decimal" operator="greaterThan" allowBlank="1" showInputMessage="1" showErrorMessage="1" sqref="R8:R9 R4:R6" xr:uid="{00000000-0002-0000-0100-000008000000}">
      <formula1>0</formula1>
    </dataValidation>
    <dataValidation type="decimal" operator="greaterThanOrEqual" allowBlank="1" showInputMessage="1" showErrorMessage="1" sqref="D19 D21" xr:uid="{00000000-0002-0000-0100-000009000000}">
      <formula1>0</formula1>
    </dataValidation>
    <dataValidation type="decimal" allowBlank="1" showInputMessage="1" showErrorMessage="1" sqref="D59:D60" xr:uid="{00000000-0002-0000-0100-00000A000000}">
      <formula1>0</formula1>
      <formula2>100</formula2>
    </dataValidation>
    <dataValidation type="decimal" allowBlank="1" showInputMessage="1" showErrorMessage="1" sqref="F75" xr:uid="{00000000-0002-0000-0100-00000B000000}">
      <formula1>0</formula1>
      <formula2>25</formula2>
    </dataValidation>
    <dataValidation type="decimal" allowBlank="1" showInputMessage="1" showErrorMessage="1" sqref="F81 D83" xr:uid="{00000000-0002-0000-0100-00000C000000}">
      <formula1>0</formula1>
      <formula2>10000</formula2>
    </dataValidation>
    <dataValidation type="decimal" allowBlank="1" showInputMessage="1" showErrorMessage="1" sqref="D92 D87:D88 D98 D104" xr:uid="{00000000-0002-0000-0100-00000D000000}">
      <formula1>0</formula1>
      <formula2>50</formula2>
    </dataValidation>
    <dataValidation type="decimal" allowBlank="1" showInputMessage="1" showErrorMessage="1" sqref="F92 F98" xr:uid="{00000000-0002-0000-0100-00000E000000}">
      <formula1>0</formula1>
      <formula2>80</formula2>
    </dataValidation>
    <dataValidation type="decimal" allowBlank="1" showInputMessage="1" showErrorMessage="1" sqref="F87:F88 F104" xr:uid="{00000000-0002-0000-0100-00000F000000}">
      <formula1>0</formula1>
      <formula2>65</formula2>
    </dataValidation>
    <dataValidation operator="greaterThan" allowBlank="1" showInputMessage="1" showErrorMessage="1" sqref="Q6" xr:uid="{00000000-0002-0000-0100-000010000000}"/>
  </dataValidations>
  <pageMargins left="0.25" right="0" top="0.25" bottom="0" header="0.5" footer="0"/>
  <pageSetup scale="69" orientation="portrait" verticalDpi="18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43"/>
  <sheetViews>
    <sheetView workbookViewId="0">
      <selection activeCell="J17" sqref="J17"/>
    </sheetView>
  </sheetViews>
  <sheetFormatPr defaultColWidth="9.1796875" defaultRowHeight="20.149999999999999" customHeight="1" x14ac:dyDescent="0.25"/>
  <cols>
    <col min="1" max="1" width="5.1796875" style="381" customWidth="1"/>
    <col min="2" max="3" width="10.26953125" style="381" customWidth="1"/>
    <col min="4" max="4" width="1.7265625" style="381" customWidth="1"/>
    <col min="5" max="5" width="3.54296875" style="381" customWidth="1"/>
    <col min="6" max="6" width="10.1796875" style="381" customWidth="1"/>
    <col min="7" max="7" width="5.453125" style="381" customWidth="1"/>
    <col min="8" max="8" width="4.1796875" style="381" customWidth="1"/>
    <col min="9" max="9" width="3.7265625" style="381" customWidth="1"/>
    <col min="10" max="10" width="10.1796875" style="381" customWidth="1"/>
    <col min="11" max="11" width="6.54296875" style="381" customWidth="1"/>
    <col min="12" max="12" width="9.54296875" style="381" customWidth="1"/>
    <col min="13" max="13" width="2.26953125" style="381" customWidth="1"/>
    <col min="14" max="14" width="10.7265625" style="381" customWidth="1"/>
    <col min="15" max="15" width="13.54296875" style="381" customWidth="1"/>
    <col min="16" max="16" width="9.453125" style="381" bestFit="1" customWidth="1"/>
    <col min="17" max="19" width="9.1796875" style="381"/>
    <col min="20" max="20" width="11.453125" style="381" customWidth="1"/>
    <col min="21" max="21" width="10.453125" style="381" bestFit="1" customWidth="1"/>
    <col min="22" max="16384" width="9.1796875" style="381"/>
  </cols>
  <sheetData>
    <row r="1" spans="1:24" ht="20.149999999999999" customHeight="1" x14ac:dyDescent="0.3">
      <c r="A1" s="1524"/>
      <c r="B1" s="1525"/>
      <c r="C1" s="1525"/>
      <c r="D1" s="1525"/>
      <c r="E1" s="1525"/>
      <c r="F1" s="1525"/>
      <c r="G1" s="1525"/>
      <c r="H1" s="1525"/>
      <c r="I1" s="1525"/>
      <c r="J1" s="419"/>
      <c r="K1" s="419"/>
      <c r="L1" s="419"/>
      <c r="M1" s="420"/>
      <c r="R1" s="404" t="s">
        <v>327</v>
      </c>
      <c r="S1" s="404">
        <f>IF(O3&gt;DATE(Working!I4,2,28),K3,Working!I4)</f>
        <v>2014</v>
      </c>
      <c r="T1" s="381">
        <f>IF(OR(S1=2008,S1=2012,S1=2016,S1=2020),366,365)</f>
        <v>365</v>
      </c>
      <c r="U1" s="421" t="s">
        <v>222</v>
      </c>
      <c r="V1" s="421" t="s">
        <v>328</v>
      </c>
      <c r="W1" s="394" t="s">
        <v>329</v>
      </c>
    </row>
    <row r="2" spans="1:24" ht="20.149999999999999" customHeight="1" thickBot="1" x14ac:dyDescent="0.3">
      <c r="A2" s="402"/>
      <c r="B2" s="403"/>
      <c r="C2" s="403"/>
      <c r="D2" s="403"/>
      <c r="E2" s="403"/>
      <c r="F2" s="403"/>
      <c r="G2" s="403"/>
      <c r="H2" s="404"/>
      <c r="I2" s="404"/>
      <c r="J2" s="404"/>
      <c r="K2" s="404"/>
      <c r="L2" s="404"/>
      <c r="M2" s="405"/>
      <c r="O2" s="394" t="s">
        <v>206</v>
      </c>
      <c r="P2" s="394" t="s">
        <v>205</v>
      </c>
      <c r="Q2" s="394"/>
      <c r="R2" s="381" t="s">
        <v>330</v>
      </c>
      <c r="S2" s="381">
        <f>IF(OR(Working!I4=2008,Working!I4=2012,Working!I4=2016,Working!I4=2020),29,28)</f>
        <v>28</v>
      </c>
      <c r="T2" s="381">
        <f>IF(OR(K3=2008,K3=2012,K3=2016,K3=2020),29,28)</f>
        <v>28</v>
      </c>
      <c r="U2" s="394">
        <f>IF(AND(Working!G4=1,Working!H4="January"),Working!I4,Working!I4+1)</f>
        <v>2014</v>
      </c>
      <c r="V2" s="381" t="str">
        <f>IF(Working!G4-1=0,V4,Working!H4)</f>
        <v>August</v>
      </c>
      <c r="W2" s="381">
        <f>IF(Working!G4-1=0,W4,Working!G4-1)</f>
        <v>23</v>
      </c>
    </row>
    <row r="3" spans="1:24" ht="15.75" customHeight="1" thickBot="1" x14ac:dyDescent="0.3">
      <c r="A3" s="402"/>
      <c r="B3" s="403"/>
      <c r="C3" s="403"/>
      <c r="D3" s="403"/>
      <c r="E3" s="403"/>
      <c r="F3" s="403"/>
      <c r="G3" s="403"/>
      <c r="H3" s="406" t="s">
        <v>331</v>
      </c>
      <c r="I3" s="407">
        <f>W2</f>
        <v>23</v>
      </c>
      <c r="J3" s="407" t="str">
        <f>V2</f>
        <v>August</v>
      </c>
      <c r="K3" s="407">
        <f>U2</f>
        <v>2014</v>
      </c>
      <c r="L3" s="404"/>
      <c r="M3" s="405"/>
      <c r="O3" s="395">
        <f>DATE(Working!I4,P3,Working!G4)</f>
        <v>41510</v>
      </c>
      <c r="P3" s="381">
        <f>IF(Working!H4="January",1,IF(Working!H4="February",2,IF(Working!H4="March",3,IF(Working!H4="April",4,IF(Working!H4="May",5,IF(Working!H4="June",6,IF(Working!H4="July",7,IF(Working!H4="August",8,Q3))))))))</f>
        <v>8</v>
      </c>
      <c r="Q3" s="381">
        <f>IF(Working!H4="September",9,IF(Working!H4="October",10,IF(Working!H4="November",11,12)))</f>
        <v>12</v>
      </c>
      <c r="R3" s="381" t="s">
        <v>332</v>
      </c>
      <c r="S3" s="381">
        <f>IF(AND(P3=2,Working!G4&gt;S2),0,IF(AND(P3=4,Working!G4&gt;30),0,IF(AND(P3=6,Working!G4&gt;30),0,IF(AND(P3=9,Working!G4&gt;30),0,IF(AND(P3=11,Working!G4&gt;30),0,1)))))</f>
        <v>1</v>
      </c>
    </row>
    <row r="4" spans="1:24" ht="15.75" customHeight="1" x14ac:dyDescent="0.25">
      <c r="A4" s="402"/>
      <c r="B4" s="403"/>
      <c r="C4" s="403"/>
      <c r="D4" s="403"/>
      <c r="E4" s="403"/>
      <c r="F4" s="403"/>
      <c r="G4" s="403"/>
      <c r="H4" s="404"/>
      <c r="I4" s="408"/>
      <c r="J4" s="408"/>
      <c r="K4" s="408"/>
      <c r="L4" s="408"/>
      <c r="M4" s="409"/>
      <c r="N4" s="396"/>
      <c r="O4" s="395">
        <f>DATE(K3,P4,I3)</f>
        <v>41874</v>
      </c>
      <c r="P4" s="381">
        <f>IF(J3="January",1,IF(J3="February",2,IF(J3="March",3,IF(J3="April",4,IF(J3="May",5,IF(J3="June",6,IF(J3="July",7,IF(J3="August",8,Q4))))))))</f>
        <v>8</v>
      </c>
      <c r="Q4" s="381">
        <f>IF(J3="September",9,IF(J3="October",10,IF(J3="November",11,12)))</f>
        <v>12</v>
      </c>
      <c r="R4" s="381" t="s">
        <v>332</v>
      </c>
      <c r="S4" s="381">
        <f>IF(AND(P4=2,I3&gt;S2),0,IF(AND(P4=4,I3&gt;30),0,IF(AND(P4=6,I3&gt;30),0,IF(AND(P4=9,I3&gt;30),0,IF(AND(P4=11,I3&gt;30),0,1)))))</f>
        <v>1</v>
      </c>
      <c r="T4" s="397" t="s">
        <v>333</v>
      </c>
      <c r="U4" s="381">
        <f>IF(Working!$H$4="January",31,IF(Working!$H$4="February",S2,IF(Working!$H$4="March",31,IF(Working!$H$4="April",30,IF(Working!$H$4="May",31,IF(Working!$H$4="June",30,IF(Working!$H$4="July",31,IF(Working!$H$4="August",31,U5))))))))</f>
        <v>31</v>
      </c>
      <c r="V4" s="381" t="str">
        <f>IF(Working!$H$4="January","December",IF(Working!$H$4="February","January",IF(Working!$H$4="March","February",IF(Working!$H$4="April","March",IF(Working!$H$4="May","April",IF(Working!$H$4="June","May",IF(Working!$H$4="July","June",IF(Working!$H$4="August","July",V5))))))))</f>
        <v>July</v>
      </c>
      <c r="W4" s="381">
        <f>IF(V4="January",31,IF(V4="February",T2,IF(V4="March",31,IF(V4="April",30,IF(V4="May",31,IF(V4="June",30,IF(V4="July",31,IF(V4="August",31,W5))))))))</f>
        <v>31</v>
      </c>
    </row>
    <row r="5" spans="1:24" ht="12.75" customHeight="1" thickBot="1" x14ac:dyDescent="0.3">
      <c r="A5" s="402"/>
      <c r="B5" s="403"/>
      <c r="C5" s="403"/>
      <c r="D5" s="403"/>
      <c r="E5" s="403"/>
      <c r="F5" s="403"/>
      <c r="G5" s="403"/>
      <c r="H5" s="410"/>
      <c r="I5" s="1528" t="str">
        <f>IF(Working!H3="Short period","Period Used (only for Short Period)","")</f>
        <v/>
      </c>
      <c r="J5" s="1528"/>
      <c r="K5" s="1528"/>
      <c r="L5" s="1528"/>
      <c r="M5" s="409"/>
      <c r="N5" s="398"/>
      <c r="O5" s="395"/>
      <c r="U5" s="381">
        <f>IF(Working!$H$4="September",30,IF(Working!$H$4="October",31,IF(Working!$H$4="November",30,31)))</f>
        <v>31</v>
      </c>
      <c r="V5" s="381" t="str">
        <f>IF(Working!$H$4="September","August",IF(Working!$H$4="October","September",IF(Working!$H$4="November","October","November")))</f>
        <v>November</v>
      </c>
      <c r="W5" s="381">
        <f>IF(V4="September",30,IF(V4="October",31,IF(V4="November",30,31)))</f>
        <v>31</v>
      </c>
    </row>
    <row r="6" spans="1:24" ht="13.5" customHeight="1" thickBot="1" x14ac:dyDescent="0.3">
      <c r="A6" s="402"/>
      <c r="B6" s="403"/>
      <c r="C6" s="403"/>
      <c r="D6" s="403"/>
      <c r="E6" s="403"/>
      <c r="F6" s="403"/>
      <c r="G6" s="403"/>
      <c r="H6" s="411"/>
      <c r="I6" s="1529" t="str">
        <f>IF(AND(O6&gt;=O3,O6&lt;=U10),"Not Exceeding 1 Week",IF(AND(O6&gt;U10,O6&lt;U11),"Not Exceeding 1 Month",IF(AND(O6&gt;=U11,O6&lt;U12),"Not Exceeding 2 Months",IF(AND(O6&gt;=U12,O6&lt;U13),"Not Exceeding 3 Months",IF(AND(O6&gt;=U13,O6&lt;U14),"Not Exceeding 4 Months",IF(AND(O6&gt;=U14,O6&lt;U15),"Not Exceeding 6 Months",IF(AND(O6&gt;=U15,O6&lt;U16),"Not Exceeding 8 Months",U18)))))))</f>
        <v>Not Exceeding 4 Months</v>
      </c>
      <c r="J6" s="1530"/>
      <c r="K6" s="1530"/>
      <c r="L6" s="1531"/>
      <c r="M6" s="405"/>
      <c r="O6" s="395">
        <f>DATE(Working!I5,P6,Working!G5)</f>
        <v>41606</v>
      </c>
      <c r="P6" s="381">
        <f>IF(Working!H5="January",1,IF(Working!H5="February",2,IF(Working!H5="March",3,IF(Working!H5="April",4,IF(Working!H5="May",5,IF(Working!H5="June",6,IF(Working!H5="July",7,IF(Working!H5="August",8,Q6))))))))</f>
        <v>11</v>
      </c>
      <c r="Q6" s="381">
        <f>IF(Working!H5="September",9,IF(Working!H5="October",10,IF(Working!H5="November",11,12)))</f>
        <v>11</v>
      </c>
      <c r="R6" s="381" t="s">
        <v>332</v>
      </c>
      <c r="S6" s="381">
        <f>IF(AND(P6=2,Working!G5&gt;S2),0,IF(AND(P6=4,Working!G5&gt;30),0,IF(AND(P6=6,Working!G5&gt;30),0,IF(AND(P6=9,Working!G5&gt;30),0,IF(AND(P6=11,Working!G5&gt;30),0,1)))))</f>
        <v>1</v>
      </c>
    </row>
    <row r="7" spans="1:24" ht="15" customHeight="1" thickBot="1" x14ac:dyDescent="0.3">
      <c r="A7" s="402"/>
      <c r="B7" s="403"/>
      <c r="C7" s="403"/>
      <c r="D7" s="403"/>
      <c r="E7" s="403"/>
      <c r="F7" s="403"/>
      <c r="G7" s="403"/>
      <c r="H7" s="411"/>
      <c r="I7" s="404"/>
      <c r="J7" s="411"/>
      <c r="K7" s="404"/>
      <c r="L7" s="404"/>
      <c r="M7" s="405"/>
      <c r="O7" s="394" t="s">
        <v>335</v>
      </c>
    </row>
    <row r="8" spans="1:24" ht="16.5" customHeight="1" thickBot="1" x14ac:dyDescent="0.3">
      <c r="A8" s="402"/>
      <c r="B8" s="403"/>
      <c r="C8" s="403"/>
      <c r="D8" s="412"/>
      <c r="E8" s="412" t="s">
        <v>336</v>
      </c>
      <c r="F8" s="404"/>
      <c r="G8" s="411"/>
      <c r="H8" s="413">
        <f>T1-P8</f>
        <v>268</v>
      </c>
      <c r="I8" s="412" t="s">
        <v>337</v>
      </c>
      <c r="J8" s="411"/>
      <c r="K8" s="404"/>
      <c r="L8" s="404"/>
      <c r="M8" s="405"/>
      <c r="O8" s="399">
        <f>((O4-O3))*S3*S4</f>
        <v>364</v>
      </c>
      <c r="P8" s="399">
        <f>(O6-O3)+1</f>
        <v>97</v>
      </c>
    </row>
    <row r="9" spans="1:24" ht="14.25" customHeight="1" thickBot="1" x14ac:dyDescent="0.3">
      <c r="A9" s="402"/>
      <c r="B9" s="403"/>
      <c r="C9" s="403"/>
      <c r="D9" s="404"/>
      <c r="E9" s="412" t="s">
        <v>356</v>
      </c>
      <c r="F9" s="411"/>
      <c r="G9" s="411"/>
      <c r="H9" s="414">
        <f>P8</f>
        <v>97</v>
      </c>
      <c r="I9" s="412"/>
      <c r="J9" s="415">
        <f>IF(Working!H3="Short Period",Calculation!O12,Calculation!O14)*Calculation!S3*Calculation!S4*Calculation!S6*Calculation!N11</f>
        <v>0.26575342465753427</v>
      </c>
      <c r="K9" s="404"/>
      <c r="L9" s="404"/>
      <c r="M9" s="405"/>
      <c r="N9" s="400" t="s">
        <v>332</v>
      </c>
      <c r="O9" s="381">
        <f>IF(OR(O8&lt;1,O8&gt;90),0,1)</f>
        <v>0</v>
      </c>
      <c r="V9" s="394" t="s">
        <v>204</v>
      </c>
      <c r="W9" s="381" t="s">
        <v>205</v>
      </c>
      <c r="X9" s="381" t="s">
        <v>206</v>
      </c>
    </row>
    <row r="10" spans="1:24" ht="20.149999999999999" customHeight="1" x14ac:dyDescent="0.25">
      <c r="A10" s="402"/>
      <c r="B10" s="416"/>
      <c r="C10" s="416"/>
      <c r="D10" s="403"/>
      <c r="E10" s="403"/>
      <c r="F10" s="403"/>
      <c r="G10" s="403"/>
      <c r="H10" s="403"/>
      <c r="I10" s="403"/>
      <c r="J10" s="403"/>
      <c r="K10" s="404"/>
      <c r="L10" s="404"/>
      <c r="M10" s="405"/>
      <c r="T10" s="381" t="s">
        <v>338</v>
      </c>
      <c r="U10" s="395">
        <f>O3+6</f>
        <v>41516</v>
      </c>
    </row>
    <row r="11" spans="1:24" ht="15" customHeight="1" x14ac:dyDescent="0.25">
      <c r="A11" s="402"/>
      <c r="B11" s="403"/>
      <c r="C11" s="403"/>
      <c r="D11" s="403"/>
      <c r="E11" s="403"/>
      <c r="F11" s="403"/>
      <c r="G11" s="403"/>
      <c r="H11" s="403"/>
      <c r="I11" s="403"/>
      <c r="J11" s="403"/>
      <c r="K11" s="403"/>
      <c r="L11" s="403"/>
      <c r="M11" s="403"/>
      <c r="N11" s="381">
        <f>IF(OR(S6=0,OR(O6&lt;O3,O6&gt;=O4)),0,1)</f>
        <v>1</v>
      </c>
      <c r="O11" s="401"/>
      <c r="T11" s="381" t="s">
        <v>339</v>
      </c>
      <c r="U11" s="395">
        <f>DATE(YEAR($O$3),MONTH($O$3)+1,DAY($O$3))</f>
        <v>41541</v>
      </c>
      <c r="V11" s="381">
        <v>2008</v>
      </c>
      <c r="W11" s="394">
        <f>MONTH(O3)</f>
        <v>8</v>
      </c>
      <c r="X11" s="382">
        <f>IF(Working!G4-1=0,W2,Working!G4-1)</f>
        <v>23</v>
      </c>
    </row>
    <row r="12" spans="1:24" ht="15" customHeight="1" x14ac:dyDescent="0.25">
      <c r="A12" s="402"/>
      <c r="B12" s="403"/>
      <c r="C12" s="403"/>
      <c r="D12" s="403"/>
      <c r="E12" s="403"/>
      <c r="F12" s="403"/>
      <c r="G12" s="403"/>
      <c r="H12" s="403"/>
      <c r="I12" s="403"/>
      <c r="J12" s="403"/>
      <c r="K12" s="403"/>
      <c r="L12" s="403"/>
      <c r="M12" s="403"/>
      <c r="N12" s="1534" t="s">
        <v>340</v>
      </c>
      <c r="O12" s="1532">
        <f>IF(I6="Not Exceeding 1 week",1/8,IF(I6="Not Exceeding 1 Month",1/4,IF(I6="Not Exceeding 2 Months",3/8,IF(I6="Not Exceeding 3 Months",1/2,IF(I6="Not Exceeding 4 Months",5/8,IF(I6="Not Exceeding 6 Months",3/4,IF(I6="Not Exceeding 8 Months",7/8,1)))))))</f>
        <v>0.625</v>
      </c>
      <c r="P12" s="381" t="s">
        <v>341</v>
      </c>
      <c r="Q12" s="382">
        <v>31</v>
      </c>
      <c r="T12" s="381" t="s">
        <v>342</v>
      </c>
      <c r="U12" s="395">
        <f>DATE(YEAR($O$3),MONTH($O$3)+2,DAY($O$3))</f>
        <v>41571</v>
      </c>
    </row>
    <row r="13" spans="1:24" ht="15" customHeight="1" x14ac:dyDescent="0.25">
      <c r="A13" s="402"/>
      <c r="B13" s="403"/>
      <c r="C13" s="403"/>
      <c r="D13" s="403"/>
      <c r="E13" s="403"/>
      <c r="F13" s="403"/>
      <c r="G13" s="403"/>
      <c r="H13" s="403"/>
      <c r="I13" s="403"/>
      <c r="J13" s="403"/>
      <c r="K13" s="403"/>
      <c r="L13" s="403"/>
      <c r="M13" s="403"/>
      <c r="N13" s="1534"/>
      <c r="O13" s="1532"/>
      <c r="P13" s="381" t="s">
        <v>330</v>
      </c>
      <c r="Q13" s="382">
        <f>S2</f>
        <v>28</v>
      </c>
      <c r="T13" s="381" t="s">
        <v>343</v>
      </c>
      <c r="U13" s="395">
        <f>DATE(YEAR($O$3),MONTH($O$3)+3,DAY($O$3))</f>
        <v>41602</v>
      </c>
    </row>
    <row r="14" spans="1:24" ht="15" customHeight="1" x14ac:dyDescent="0.25">
      <c r="A14" s="402"/>
      <c r="B14" s="403"/>
      <c r="C14" s="403"/>
      <c r="D14" s="403"/>
      <c r="E14" s="403"/>
      <c r="F14" s="403"/>
      <c r="G14" s="403"/>
      <c r="H14" s="403"/>
      <c r="I14" s="403"/>
      <c r="J14" s="403"/>
      <c r="K14" s="403"/>
      <c r="L14" s="403"/>
      <c r="M14" s="403"/>
      <c r="N14" s="1534" t="s">
        <v>344</v>
      </c>
      <c r="O14" s="1533">
        <f>P8/365</f>
        <v>0.26575342465753427</v>
      </c>
      <c r="P14" s="381" t="s">
        <v>322</v>
      </c>
      <c r="Q14" s="382">
        <v>31</v>
      </c>
      <c r="T14" s="381" t="s">
        <v>345</v>
      </c>
      <c r="U14" s="395">
        <f>DATE(YEAR($O$3),MONTH($O$3)+4,DAY($O$3))</f>
        <v>41632</v>
      </c>
    </row>
    <row r="15" spans="1:24" ht="15" customHeight="1" x14ac:dyDescent="0.25">
      <c r="A15" s="402"/>
      <c r="B15" s="403"/>
      <c r="C15" s="403"/>
      <c r="D15" s="403"/>
      <c r="E15" s="403"/>
      <c r="F15" s="403"/>
      <c r="G15" s="403"/>
      <c r="H15" s="403"/>
      <c r="I15" s="403"/>
      <c r="J15" s="403"/>
      <c r="K15" s="403"/>
      <c r="L15" s="403"/>
      <c r="M15" s="403"/>
      <c r="N15" s="1534"/>
      <c r="O15" s="1533"/>
      <c r="P15" s="381" t="s">
        <v>346</v>
      </c>
      <c r="Q15" s="382">
        <v>30</v>
      </c>
      <c r="T15" s="381" t="s">
        <v>347</v>
      </c>
      <c r="U15" s="395">
        <f>DATE(YEAR($O$3),MONTH($O$3)+6,DAY($O$3))</f>
        <v>41694</v>
      </c>
    </row>
    <row r="16" spans="1:24" ht="15" customHeight="1" x14ac:dyDescent="0.25">
      <c r="A16" s="402"/>
      <c r="B16" s="403"/>
      <c r="C16" s="403"/>
      <c r="D16" s="403"/>
      <c r="E16" s="403"/>
      <c r="F16" s="403"/>
      <c r="G16" s="403"/>
      <c r="H16" s="403"/>
      <c r="I16" s="403"/>
      <c r="J16" s="403"/>
      <c r="K16" s="403"/>
      <c r="L16" s="403"/>
      <c r="M16" s="403"/>
      <c r="O16" s="401"/>
      <c r="P16" s="381" t="s">
        <v>348</v>
      </c>
      <c r="Q16" s="382">
        <v>31</v>
      </c>
      <c r="T16" s="381" t="s">
        <v>349</v>
      </c>
      <c r="U16" s="395">
        <f>DATE(YEAR($O$3),MONTH($O$3)+8,DAY($O$3))</f>
        <v>41753</v>
      </c>
    </row>
    <row r="17" spans="1:21" ht="15" customHeight="1" x14ac:dyDescent="0.25">
      <c r="A17" s="402"/>
      <c r="B17" s="403"/>
      <c r="C17" s="403"/>
      <c r="D17" s="403"/>
      <c r="E17" s="403"/>
      <c r="F17" s="403"/>
      <c r="G17" s="403"/>
      <c r="H17" s="403"/>
      <c r="I17" s="403"/>
      <c r="J17" s="403"/>
      <c r="K17" s="403"/>
      <c r="L17" s="403"/>
      <c r="M17" s="403"/>
      <c r="O17" s="401"/>
      <c r="P17" s="381" t="s">
        <v>350</v>
      </c>
      <c r="Q17" s="382">
        <v>30</v>
      </c>
    </row>
    <row r="18" spans="1:21" ht="15" customHeight="1" x14ac:dyDescent="0.25">
      <c r="A18" s="402"/>
      <c r="B18" s="403"/>
      <c r="C18" s="403"/>
      <c r="D18" s="403"/>
      <c r="E18" s="403"/>
      <c r="F18" s="403"/>
      <c r="G18" s="403"/>
      <c r="H18" s="403"/>
      <c r="I18" s="403"/>
      <c r="J18" s="403"/>
      <c r="K18" s="403"/>
      <c r="L18" s="403"/>
      <c r="M18" s="403"/>
      <c r="N18" s="400"/>
      <c r="O18" s="401"/>
      <c r="P18" s="381" t="s">
        <v>334</v>
      </c>
      <c r="Q18" s="382">
        <v>31</v>
      </c>
      <c r="U18" s="381" t="str">
        <f>IF(AND(O6&gt;U16,O6&lt;=O4),"Exceeding 8 Months","Out of Period")</f>
        <v>Out of Period</v>
      </c>
    </row>
    <row r="19" spans="1:21" ht="15" customHeight="1" x14ac:dyDescent="0.25">
      <c r="A19" s="402"/>
      <c r="B19" s="403"/>
      <c r="C19" s="403"/>
      <c r="D19" s="403"/>
      <c r="E19" s="403"/>
      <c r="F19" s="403"/>
      <c r="G19" s="403"/>
      <c r="H19" s="403"/>
      <c r="I19" s="403"/>
      <c r="J19" s="403"/>
      <c r="K19" s="404"/>
      <c r="L19" s="404">
        <f>100-L18</f>
        <v>100</v>
      </c>
      <c r="M19" s="405"/>
      <c r="N19" s="400"/>
      <c r="O19" s="401"/>
      <c r="P19" s="381" t="s">
        <v>351</v>
      </c>
      <c r="Q19" s="382">
        <v>31</v>
      </c>
    </row>
    <row r="20" spans="1:21" ht="15" customHeight="1" x14ac:dyDescent="0.25">
      <c r="A20" s="402"/>
      <c r="B20" s="403"/>
      <c r="C20" s="403"/>
      <c r="D20" s="403"/>
      <c r="E20" s="403"/>
      <c r="F20" s="403"/>
      <c r="G20" s="403"/>
      <c r="H20" s="403"/>
      <c r="I20" s="403"/>
      <c r="J20" s="403"/>
      <c r="K20" s="404"/>
      <c r="L20" s="404"/>
      <c r="M20" s="405"/>
      <c r="O20" s="401"/>
      <c r="P20" s="381" t="s">
        <v>352</v>
      </c>
      <c r="Q20" s="382">
        <v>30</v>
      </c>
    </row>
    <row r="21" spans="1:21" ht="15" customHeight="1" x14ac:dyDescent="0.25">
      <c r="A21" s="402"/>
      <c r="B21" s="403"/>
      <c r="C21" s="403"/>
      <c r="D21" s="403"/>
      <c r="E21" s="403"/>
      <c r="F21" s="403"/>
      <c r="G21" s="403"/>
      <c r="H21" s="403"/>
      <c r="I21" s="403"/>
      <c r="J21" s="403"/>
      <c r="K21" s="404"/>
      <c r="L21" s="404"/>
      <c r="M21" s="405"/>
      <c r="O21" s="401"/>
      <c r="P21" s="381" t="s">
        <v>353</v>
      </c>
      <c r="Q21" s="382">
        <v>31</v>
      </c>
    </row>
    <row r="22" spans="1:21" ht="15" customHeight="1" x14ac:dyDescent="0.25">
      <c r="A22" s="402"/>
      <c r="B22" s="403"/>
      <c r="C22" s="403"/>
      <c r="D22" s="403"/>
      <c r="E22" s="403"/>
      <c r="F22" s="403"/>
      <c r="G22" s="403"/>
      <c r="H22" s="403"/>
      <c r="I22" s="403"/>
      <c r="J22" s="403"/>
      <c r="K22" s="404"/>
      <c r="L22" s="404"/>
      <c r="M22" s="405"/>
      <c r="P22" s="381" t="s">
        <v>354</v>
      </c>
      <c r="Q22" s="382">
        <v>30</v>
      </c>
    </row>
    <row r="23" spans="1:21" ht="15" customHeight="1" x14ac:dyDescent="0.25">
      <c r="A23" s="402"/>
      <c r="B23" s="403"/>
      <c r="C23" s="403"/>
      <c r="D23" s="403"/>
      <c r="E23" s="403"/>
      <c r="F23" s="403"/>
      <c r="G23" s="403"/>
      <c r="H23" s="403"/>
      <c r="I23" s="403"/>
      <c r="J23" s="403"/>
      <c r="K23" s="404"/>
      <c r="L23" s="404"/>
      <c r="M23" s="405"/>
      <c r="P23" s="381" t="s">
        <v>355</v>
      </c>
      <c r="Q23" s="382">
        <v>31</v>
      </c>
    </row>
    <row r="24" spans="1:21" ht="15" customHeight="1" x14ac:dyDescent="0.25">
      <c r="A24" s="402"/>
      <c r="B24" s="403"/>
      <c r="C24" s="403"/>
      <c r="D24" s="403"/>
      <c r="E24" s="403"/>
      <c r="F24" s="403"/>
      <c r="G24" s="403"/>
      <c r="H24" s="403"/>
      <c r="I24" s="403"/>
      <c r="J24" s="403"/>
      <c r="K24" s="410"/>
      <c r="L24" s="404"/>
      <c r="M24" s="405"/>
    </row>
    <row r="25" spans="1:21" ht="15" customHeight="1" x14ac:dyDescent="0.25">
      <c r="A25" s="402"/>
      <c r="B25" s="403"/>
      <c r="C25" s="403"/>
      <c r="D25" s="403"/>
      <c r="E25" s="403"/>
      <c r="F25" s="403"/>
      <c r="G25" s="403"/>
      <c r="H25" s="403"/>
      <c r="I25" s="403"/>
      <c r="J25" s="403"/>
      <c r="K25" s="410"/>
      <c r="L25" s="404"/>
      <c r="M25" s="405"/>
    </row>
    <row r="26" spans="1:21" ht="15" customHeight="1" x14ac:dyDescent="0.25">
      <c r="A26" s="402"/>
      <c r="B26" s="403"/>
      <c r="C26" s="403"/>
      <c r="D26" s="403"/>
      <c r="E26" s="403"/>
      <c r="F26" s="403"/>
      <c r="G26" s="403"/>
      <c r="H26" s="403"/>
      <c r="I26" s="403"/>
      <c r="J26" s="403"/>
      <c r="K26" s="404"/>
      <c r="L26" s="404"/>
      <c r="M26" s="405"/>
    </row>
    <row r="27" spans="1:21" ht="15" customHeight="1" x14ac:dyDescent="0.25">
      <c r="A27" s="402"/>
      <c r="B27" s="403"/>
      <c r="C27" s="403"/>
      <c r="D27" s="403"/>
      <c r="E27" s="403"/>
      <c r="F27" s="403"/>
      <c r="G27" s="403"/>
      <c r="H27" s="403"/>
      <c r="I27" s="403"/>
      <c r="J27" s="403"/>
      <c r="K27" s="404"/>
      <c r="L27" s="404"/>
      <c r="M27" s="405"/>
    </row>
    <row r="28" spans="1:21" ht="15" customHeight="1" x14ac:dyDescent="0.25">
      <c r="A28" s="402"/>
      <c r="B28" s="403"/>
      <c r="C28" s="403"/>
      <c r="D28" s="403"/>
      <c r="E28" s="403"/>
      <c r="F28" s="403"/>
      <c r="G28" s="403"/>
      <c r="H28" s="403"/>
      <c r="I28" s="403"/>
      <c r="J28" s="403"/>
      <c r="K28" s="404"/>
      <c r="L28" s="404"/>
      <c r="M28" s="405"/>
    </row>
    <row r="29" spans="1:21" ht="15" customHeight="1" x14ac:dyDescent="0.25">
      <c r="A29" s="402"/>
      <c r="B29" s="403"/>
      <c r="C29" s="403"/>
      <c r="D29" s="403"/>
      <c r="E29" s="403"/>
      <c r="F29" s="403"/>
      <c r="G29" s="403"/>
      <c r="H29" s="403"/>
      <c r="I29" s="403"/>
      <c r="J29" s="403"/>
      <c r="K29" s="404"/>
      <c r="L29" s="404"/>
      <c r="M29" s="405"/>
    </row>
    <row r="30" spans="1:21" ht="15" customHeight="1" x14ac:dyDescent="0.25">
      <c r="A30" s="402"/>
      <c r="B30" s="403"/>
      <c r="C30" s="403"/>
      <c r="D30" s="403"/>
      <c r="E30" s="403"/>
      <c r="F30" s="403"/>
      <c r="G30" s="403"/>
      <c r="H30" s="403"/>
      <c r="I30" s="403"/>
      <c r="J30" s="403"/>
      <c r="K30" s="404"/>
      <c r="L30" s="404"/>
      <c r="M30" s="405"/>
    </row>
    <row r="31" spans="1:21" ht="15" customHeight="1" x14ac:dyDescent="0.25">
      <c r="A31" s="402"/>
      <c r="B31" s="403"/>
      <c r="C31" s="403"/>
      <c r="D31" s="403"/>
      <c r="E31" s="403"/>
      <c r="F31" s="403"/>
      <c r="G31" s="403"/>
      <c r="H31" s="403"/>
      <c r="I31" s="403"/>
      <c r="J31" s="403"/>
      <c r="K31" s="404"/>
      <c r="L31" s="404"/>
      <c r="M31" s="405"/>
    </row>
    <row r="32" spans="1:21" ht="15" customHeight="1" x14ac:dyDescent="0.25">
      <c r="A32" s="402"/>
      <c r="B32" s="403"/>
      <c r="C32" s="403"/>
      <c r="D32" s="403"/>
      <c r="E32" s="403"/>
      <c r="F32" s="403"/>
      <c r="G32" s="403"/>
      <c r="H32" s="403"/>
      <c r="I32" s="403"/>
      <c r="J32" s="403"/>
      <c r="K32" s="404"/>
      <c r="L32" s="404"/>
      <c r="M32" s="405"/>
    </row>
    <row r="33" spans="1:13" ht="15" customHeight="1" x14ac:dyDescent="0.25">
      <c r="A33" s="402"/>
      <c r="B33" s="403"/>
      <c r="C33" s="403"/>
      <c r="D33" s="403"/>
      <c r="E33" s="403"/>
      <c r="F33" s="403"/>
      <c r="G33" s="403"/>
      <c r="H33" s="403"/>
      <c r="I33" s="403"/>
      <c r="J33" s="403"/>
      <c r="K33" s="404"/>
      <c r="L33" s="404"/>
      <c r="M33" s="405"/>
    </row>
    <row r="34" spans="1:13" ht="15" customHeight="1" x14ac:dyDescent="0.25">
      <c r="A34" s="402"/>
      <c r="B34" s="403"/>
      <c r="C34" s="403"/>
      <c r="D34" s="403"/>
      <c r="E34" s="403"/>
      <c r="F34" s="403"/>
      <c r="G34" s="403"/>
      <c r="H34" s="403"/>
      <c r="I34" s="403"/>
      <c r="J34" s="403"/>
      <c r="K34" s="404"/>
      <c r="L34" s="404"/>
      <c r="M34" s="405"/>
    </row>
    <row r="35" spans="1:13" ht="15" customHeight="1" x14ac:dyDescent="0.25">
      <c r="A35" s="402"/>
      <c r="B35" s="403"/>
      <c r="C35" s="403"/>
      <c r="D35" s="403"/>
      <c r="E35" s="403"/>
      <c r="F35" s="403"/>
      <c r="G35" s="403"/>
      <c r="H35" s="403"/>
      <c r="I35" s="403"/>
      <c r="J35" s="403"/>
      <c r="K35" s="404"/>
      <c r="L35" s="404"/>
      <c r="M35" s="405"/>
    </row>
    <row r="36" spans="1:13" ht="15" customHeight="1" x14ac:dyDescent="0.25">
      <c r="A36" s="402"/>
      <c r="B36" s="403"/>
      <c r="C36" s="403"/>
      <c r="D36" s="403"/>
      <c r="E36" s="403"/>
      <c r="F36" s="403"/>
      <c r="G36" s="403"/>
      <c r="H36" s="403"/>
      <c r="I36" s="403"/>
      <c r="J36" s="403"/>
      <c r="K36" s="404"/>
      <c r="L36" s="404"/>
      <c r="M36" s="405"/>
    </row>
    <row r="37" spans="1:13" ht="15" customHeight="1" x14ac:dyDescent="0.25">
      <c r="A37" s="402"/>
      <c r="B37" s="403"/>
      <c r="C37" s="403"/>
      <c r="D37" s="403"/>
      <c r="E37" s="403"/>
      <c r="F37" s="403"/>
      <c r="G37" s="403"/>
      <c r="H37" s="403"/>
      <c r="I37" s="403"/>
      <c r="J37" s="403"/>
      <c r="K37" s="404"/>
      <c r="L37" s="404"/>
      <c r="M37" s="405"/>
    </row>
    <row r="38" spans="1:13" ht="15" customHeight="1" x14ac:dyDescent="0.25">
      <c r="A38" s="402"/>
      <c r="B38" s="403"/>
      <c r="C38" s="403"/>
      <c r="D38" s="403"/>
      <c r="E38" s="403"/>
      <c r="F38" s="403"/>
      <c r="G38" s="403"/>
      <c r="H38" s="403"/>
      <c r="I38" s="403"/>
      <c r="J38" s="403"/>
      <c r="K38" s="404"/>
      <c r="L38" s="404"/>
      <c r="M38" s="405"/>
    </row>
    <row r="39" spans="1:13" ht="15" customHeight="1" x14ac:dyDescent="0.25">
      <c r="A39" s="402"/>
      <c r="B39" s="403"/>
      <c r="C39" s="403"/>
      <c r="D39" s="403"/>
      <c r="E39" s="403"/>
      <c r="F39" s="403"/>
      <c r="G39" s="403"/>
      <c r="H39" s="403"/>
      <c r="I39" s="403"/>
      <c r="J39" s="403"/>
      <c r="K39" s="412"/>
      <c r="L39" s="1526"/>
      <c r="M39" s="1527"/>
    </row>
    <row r="40" spans="1:13" ht="20.25" customHeight="1" x14ac:dyDescent="0.25">
      <c r="A40" s="402"/>
      <c r="B40" s="403"/>
      <c r="C40" s="403"/>
      <c r="D40" s="403"/>
      <c r="E40" s="403"/>
      <c r="F40" s="403"/>
      <c r="G40" s="403"/>
      <c r="H40" s="403"/>
      <c r="I40" s="403"/>
      <c r="J40" s="403"/>
      <c r="K40" s="1518"/>
      <c r="L40" s="1518"/>
      <c r="M40" s="1519"/>
    </row>
    <row r="41" spans="1:13" ht="15" customHeight="1" x14ac:dyDescent="0.25">
      <c r="A41" s="402"/>
      <c r="B41" s="403"/>
      <c r="C41" s="403"/>
      <c r="D41" s="403"/>
      <c r="E41" s="403"/>
      <c r="F41" s="403"/>
      <c r="G41" s="403"/>
      <c r="H41" s="403"/>
      <c r="I41" s="403"/>
      <c r="J41" s="403"/>
      <c r="K41" s="1520"/>
      <c r="L41" s="1520"/>
      <c r="M41" s="1521"/>
    </row>
    <row r="42" spans="1:13" ht="15" customHeight="1" x14ac:dyDescent="0.25">
      <c r="A42" s="402"/>
      <c r="B42" s="403"/>
      <c r="C42" s="403"/>
      <c r="D42" s="403"/>
      <c r="E42" s="403"/>
      <c r="F42" s="403"/>
      <c r="G42" s="403"/>
      <c r="H42" s="403"/>
      <c r="I42" s="403"/>
      <c r="J42" s="403"/>
      <c r="K42" s="1522"/>
      <c r="L42" s="1522"/>
      <c r="M42" s="1523"/>
    </row>
    <row r="43" spans="1:13" ht="20.149999999999999" customHeight="1" x14ac:dyDescent="0.25">
      <c r="A43" s="417"/>
      <c r="B43" s="418"/>
      <c r="C43" s="418"/>
      <c r="D43" s="418"/>
      <c r="E43" s="418"/>
      <c r="F43" s="418"/>
      <c r="G43" s="418"/>
      <c r="H43" s="418"/>
      <c r="I43" s="418"/>
      <c r="J43" s="418"/>
      <c r="K43" s="1515"/>
      <c r="L43" s="1516"/>
      <c r="M43" s="1517"/>
    </row>
  </sheetData>
  <sheetProtection password="9298" sheet="1" objects="1" scenarios="1"/>
  <mergeCells count="12">
    <mergeCell ref="O12:O13"/>
    <mergeCell ref="O14:O15"/>
    <mergeCell ref="N12:N13"/>
    <mergeCell ref="N14:N15"/>
    <mergeCell ref="K43:M43"/>
    <mergeCell ref="K40:M40"/>
    <mergeCell ref="K41:M41"/>
    <mergeCell ref="K42:M42"/>
    <mergeCell ref="A1:I1"/>
    <mergeCell ref="L39:M39"/>
    <mergeCell ref="I5:L5"/>
    <mergeCell ref="I6:L6"/>
  </mergeCells>
  <phoneticPr fontId="28" type="noConversion"/>
  <conditionalFormatting sqref="H8">
    <cfRule type="cellIs" dxfId="340" priority="1" stopIfTrue="1" operator="greaterThan">
      <formula>T1</formula>
    </cfRule>
    <cfRule type="cellIs" dxfId="339" priority="2" stopIfTrue="1" operator="lessThan">
      <formula>0</formula>
    </cfRule>
  </conditionalFormatting>
  <conditionalFormatting sqref="H9">
    <cfRule type="cellIs" dxfId="338" priority="3" stopIfTrue="1" operator="greaterThan">
      <formula>T1</formula>
    </cfRule>
    <cfRule type="cellIs" dxfId="337" priority="4" stopIfTrue="1" operator="lessThan">
      <formula>0</formula>
    </cfRule>
  </conditionalFormatting>
  <conditionalFormatting sqref="I6:L6">
    <cfRule type="expression" dxfId="336" priority="5" stopIfTrue="1">
      <formula>#REF!="Pro Rata"</formula>
    </cfRule>
  </conditionalFormatting>
  <printOptions horizontalCentered="1"/>
  <pageMargins left="1.25" right="1.25" top="0.75" bottom="1" header="0.5" footer="0.5"/>
  <pageSetup scale="80" orientation="portrait" verticalDpi="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23"/>
  <sheetViews>
    <sheetView showGridLines="0" workbookViewId="0">
      <selection activeCell="C8" sqref="C8"/>
    </sheetView>
  </sheetViews>
  <sheetFormatPr defaultColWidth="0" defaultRowHeight="12.5" zeroHeight="1" x14ac:dyDescent="0.25"/>
  <cols>
    <col min="1" max="1" width="9.1796875" customWidth="1"/>
    <col min="2" max="2" width="15.26953125" customWidth="1"/>
    <col min="3" max="3" width="14.54296875" bestFit="1" customWidth="1"/>
    <col min="4" max="6" width="9.1796875" customWidth="1"/>
    <col min="7" max="7" width="21.81640625" customWidth="1"/>
    <col min="8" max="8" width="10.81640625" bestFit="1" customWidth="1"/>
    <col min="9" max="9" width="32.81640625" customWidth="1"/>
    <col min="10" max="10" width="15.7265625" customWidth="1"/>
    <col min="11" max="14" width="9.1796875" customWidth="1"/>
    <col min="15" max="15" width="11.81640625" customWidth="1"/>
    <col min="16" max="17" width="9.1796875" customWidth="1"/>
    <col min="18" max="18" width="13.54296875" customWidth="1"/>
    <col min="19" max="19" width="13.1796875" customWidth="1"/>
    <col min="20" max="16384" width="9.1796875" hidden="1"/>
  </cols>
  <sheetData>
    <row r="1" spans="1:31" x14ac:dyDescent="0.25">
      <c r="A1" s="740"/>
      <c r="B1" s="740"/>
      <c r="C1" s="740"/>
      <c r="D1" s="740"/>
      <c r="E1" s="740"/>
      <c r="F1" s="740"/>
      <c r="G1" s="740"/>
      <c r="H1" s="740"/>
      <c r="I1" s="740"/>
      <c r="J1" s="740"/>
      <c r="K1" s="740"/>
      <c r="L1" s="740"/>
      <c r="M1" s="740"/>
      <c r="N1" s="740"/>
      <c r="O1" s="740"/>
      <c r="P1" s="740"/>
      <c r="Q1" s="740"/>
      <c r="R1" s="740"/>
      <c r="S1" s="740"/>
      <c r="T1" s="740"/>
      <c r="U1" s="740"/>
      <c r="V1" s="740"/>
      <c r="W1" s="740"/>
      <c r="X1" s="740"/>
      <c r="Y1" s="740"/>
      <c r="Z1" s="740"/>
      <c r="AA1" s="740"/>
      <c r="AB1" s="740"/>
      <c r="AC1" s="740"/>
      <c r="AD1" s="740"/>
      <c r="AE1" s="740"/>
    </row>
    <row r="2" spans="1:31" x14ac:dyDescent="0.25">
      <c r="A2" s="740"/>
      <c r="B2" s="740"/>
      <c r="C2" s="740"/>
      <c r="D2" s="740"/>
      <c r="E2" s="740"/>
      <c r="F2" s="740"/>
      <c r="G2" s="741" t="s">
        <v>540</v>
      </c>
      <c r="H2" s="742">
        <f>C4*1.75%</f>
        <v>13825.000000000002</v>
      </c>
      <c r="I2" s="740"/>
      <c r="J2" s="740"/>
      <c r="K2" s="740"/>
      <c r="L2" s="740"/>
      <c r="M2" s="740"/>
      <c r="N2" s="740"/>
      <c r="O2" s="740"/>
      <c r="P2" s="740"/>
      <c r="Q2" s="740"/>
      <c r="R2" s="740"/>
      <c r="S2" s="740"/>
      <c r="T2" s="740"/>
      <c r="U2" s="740"/>
      <c r="V2" s="740"/>
      <c r="W2" s="740"/>
      <c r="X2" s="740"/>
      <c r="Y2" s="740"/>
      <c r="Z2" s="740"/>
      <c r="AA2" s="740"/>
      <c r="AB2" s="740"/>
      <c r="AC2" s="740"/>
      <c r="AD2" s="740"/>
      <c r="AE2" s="740"/>
    </row>
    <row r="3" spans="1:31" ht="14" x14ac:dyDescent="0.25">
      <c r="A3" s="740"/>
      <c r="B3" s="740"/>
      <c r="C3" s="740"/>
      <c r="D3" s="740"/>
      <c r="E3" s="740"/>
      <c r="F3" s="743">
        <f>H3/H2</f>
        <v>-0.12533909642893903</v>
      </c>
      <c r="G3" s="741" t="s">
        <v>30</v>
      </c>
      <c r="H3" s="742">
        <f>H4-H2</f>
        <v>-1732.8130081300824</v>
      </c>
      <c r="I3" s="740"/>
      <c r="J3" s="740"/>
      <c r="K3" s="740"/>
      <c r="L3" s="740"/>
      <c r="M3" s="740"/>
      <c r="N3" s="740"/>
      <c r="O3" s="740"/>
      <c r="P3" s="740"/>
      <c r="Q3" s="740"/>
      <c r="R3" s="1535" t="s">
        <v>550</v>
      </c>
      <c r="S3" s="1535"/>
      <c r="T3" s="740"/>
      <c r="U3" s="740"/>
      <c r="V3" s="740"/>
      <c r="W3" s="740"/>
      <c r="X3" s="740"/>
      <c r="Y3" s="740"/>
      <c r="Z3" s="740"/>
      <c r="AA3" s="740"/>
      <c r="AB3" s="740"/>
      <c r="AC3" s="740"/>
      <c r="AD3" s="740"/>
      <c r="AE3" s="740"/>
    </row>
    <row r="4" spans="1:31" ht="15.5" x14ac:dyDescent="0.25">
      <c r="A4" s="740"/>
      <c r="B4" s="744" t="s">
        <v>541</v>
      </c>
      <c r="C4" s="1457">
        <f>'TW Quote'!Q16</f>
        <v>790000</v>
      </c>
      <c r="D4" s="740"/>
      <c r="E4" s="740"/>
      <c r="F4" s="740"/>
      <c r="G4" s="741"/>
      <c r="H4" s="745">
        <f>H8-H7-H5-H6</f>
        <v>12092.186991869919</v>
      </c>
      <c r="I4" s="740"/>
      <c r="J4" s="740"/>
      <c r="K4" s="740">
        <v>100</v>
      </c>
      <c r="L4" s="740"/>
      <c r="M4" s="740"/>
      <c r="N4" s="740"/>
      <c r="O4" s="740"/>
      <c r="P4" s="740"/>
      <c r="Q4" s="1463">
        <v>1.1007804878048779E-2</v>
      </c>
      <c r="R4" s="1456">
        <v>500000</v>
      </c>
      <c r="S4" s="756">
        <v>1.1007804878048779E-2</v>
      </c>
      <c r="T4" s="740"/>
      <c r="U4" s="740"/>
      <c r="V4" s="740"/>
      <c r="W4" s="740"/>
      <c r="X4" s="740"/>
      <c r="Y4" s="740"/>
      <c r="Z4" s="740"/>
      <c r="AA4" s="740"/>
      <c r="AB4" s="740"/>
      <c r="AC4" s="740"/>
      <c r="AD4" s="740"/>
      <c r="AE4" s="740"/>
    </row>
    <row r="5" spans="1:31" ht="15.5" x14ac:dyDescent="0.25">
      <c r="A5" s="740"/>
      <c r="B5" s="744"/>
      <c r="C5" s="744"/>
      <c r="D5" s="740"/>
      <c r="E5" s="740"/>
      <c r="G5" s="741" t="s">
        <v>38</v>
      </c>
      <c r="H5" s="755">
        <f>Working!M29</f>
        <v>0</v>
      </c>
      <c r="I5" s="746"/>
      <c r="J5" s="740"/>
      <c r="K5" s="740">
        <v>25</v>
      </c>
      <c r="L5" s="740"/>
      <c r="M5" s="740"/>
      <c r="N5" s="740"/>
      <c r="O5" s="740"/>
      <c r="P5" s="740"/>
      <c r="Q5" s="1465">
        <v>1.0842838137472279E-2</v>
      </c>
      <c r="R5" s="1456">
        <v>550000</v>
      </c>
      <c r="S5" s="1462">
        <v>1.1007804878048779E-2</v>
      </c>
      <c r="T5" s="740"/>
      <c r="U5" s="740"/>
      <c r="V5" s="740"/>
      <c r="W5" s="740"/>
      <c r="X5" s="740"/>
      <c r="Y5" s="740"/>
      <c r="Z5" s="740"/>
      <c r="AA5" s="740"/>
      <c r="AB5" s="740"/>
      <c r="AC5" s="740"/>
      <c r="AD5" s="740"/>
      <c r="AE5" s="740"/>
    </row>
    <row r="6" spans="1:31" ht="15.5" x14ac:dyDescent="0.25">
      <c r="A6" s="1466"/>
      <c r="B6" s="744" t="s">
        <v>542</v>
      </c>
      <c r="C6" s="747">
        <f ca="1">H18*Administration!IR9</f>
        <v>8783.515447154472</v>
      </c>
      <c r="D6" s="740"/>
      <c r="E6" s="740"/>
      <c r="G6" s="741" t="s">
        <v>17</v>
      </c>
      <c r="H6" s="755">
        <f>Working!M25</f>
        <v>0</v>
      </c>
      <c r="J6" s="740"/>
      <c r="K6" s="740">
        <v>75</v>
      </c>
      <c r="L6" s="740"/>
      <c r="M6" s="740"/>
      <c r="N6" s="740"/>
      <c r="O6" s="740"/>
      <c r="P6" s="740"/>
      <c r="Q6" s="1465">
        <v>1.0867967479674796E-2</v>
      </c>
      <c r="R6" s="1456">
        <v>600000</v>
      </c>
      <c r="S6" s="1462">
        <v>1.1007804878048779E-2</v>
      </c>
      <c r="T6" s="740"/>
      <c r="U6" s="740"/>
      <c r="V6" s="740"/>
      <c r="W6" s="740"/>
      <c r="X6" s="740"/>
      <c r="Y6" s="740"/>
      <c r="Z6" s="740"/>
      <c r="AA6" s="740"/>
      <c r="AB6" s="740"/>
      <c r="AC6" s="740"/>
      <c r="AD6" s="740"/>
      <c r="AE6" s="740"/>
    </row>
    <row r="7" spans="1:31" ht="15.5" x14ac:dyDescent="0.25">
      <c r="A7" s="740"/>
      <c r="B7" s="744" t="s">
        <v>543</v>
      </c>
      <c r="C7" s="748">
        <f ca="1">MAX(C6*2.5%,750)+250</f>
        <v>1000</v>
      </c>
      <c r="D7" s="740"/>
      <c r="E7" s="740"/>
      <c r="F7" s="743">
        <f>H7/H4</f>
        <v>-0.65</v>
      </c>
      <c r="G7" s="741" t="s">
        <v>0</v>
      </c>
      <c r="H7" s="742">
        <f>-H8/35*65</f>
        <v>-7859.9215447154484</v>
      </c>
      <c r="I7" s="740"/>
      <c r="J7" s="740"/>
      <c r="K7" s="740"/>
      <c r="L7" s="740"/>
      <c r="M7" s="740"/>
      <c r="N7" s="740"/>
      <c r="O7" s="740"/>
      <c r="P7" s="740"/>
      <c r="Q7" s="1465">
        <v>1.0964277673545969E-2</v>
      </c>
      <c r="R7" s="1456">
        <f>R6+50000</f>
        <v>650000</v>
      </c>
      <c r="S7" s="1462">
        <v>1.1007804878048779E-2</v>
      </c>
      <c r="T7" s="740"/>
      <c r="U7" s="740"/>
      <c r="V7" s="740"/>
      <c r="W7" s="740"/>
      <c r="X7" s="740"/>
      <c r="Y7" s="740"/>
      <c r="Z7" s="740"/>
      <c r="AA7" s="740"/>
      <c r="AB7" s="740"/>
      <c r="AC7" s="740"/>
      <c r="AD7" s="740"/>
      <c r="AE7" s="740"/>
    </row>
    <row r="8" spans="1:31" ht="15.5" x14ac:dyDescent="0.25">
      <c r="A8" s="1458">
        <v>0.32451379466304847</v>
      </c>
      <c r="B8" s="1459" t="s">
        <v>549</v>
      </c>
      <c r="C8" s="1460">
        <f ca="1">MIN(2000,D8)</f>
        <v>2000</v>
      </c>
      <c r="D8" s="1461">
        <f ca="1">ROUNDDOWN((C6*33%)/50,0)*50</f>
        <v>2850</v>
      </c>
      <c r="E8" s="740"/>
      <c r="F8" s="740"/>
      <c r="G8" s="741"/>
      <c r="H8" s="745">
        <f>H18-SUM(H10:H16)</f>
        <v>4232.265447154472</v>
      </c>
      <c r="I8" s="740"/>
      <c r="J8" s="740"/>
      <c r="K8" s="740"/>
      <c r="L8" s="740"/>
      <c r="M8" s="740"/>
      <c r="N8" s="740"/>
      <c r="O8" s="740"/>
      <c r="P8" s="740"/>
      <c r="Q8" s="1463">
        <v>1.1046829268292683E-2</v>
      </c>
      <c r="R8" s="1456">
        <f>R7+50000</f>
        <v>700000</v>
      </c>
      <c r="S8" s="756">
        <v>1.1046829268292683E-2</v>
      </c>
      <c r="T8" s="740"/>
      <c r="U8" s="740"/>
      <c r="V8" s="740"/>
      <c r="W8" s="740"/>
      <c r="X8" s="740"/>
      <c r="Y8" s="740"/>
      <c r="Z8" s="740"/>
      <c r="AA8" s="740"/>
      <c r="AB8" s="740"/>
      <c r="AC8" s="740"/>
      <c r="AD8" s="740"/>
      <c r="AE8" s="740"/>
    </row>
    <row r="9" spans="1:31" ht="15.5" x14ac:dyDescent="0.25">
      <c r="A9" s="1458"/>
      <c r="B9" s="1459" t="s">
        <v>575</v>
      </c>
      <c r="C9" s="1460">
        <f ca="1">SUM(C6:C8)*2.5%</f>
        <v>294.58788617886182</v>
      </c>
      <c r="D9" s="1461"/>
      <c r="E9" s="740"/>
      <c r="F9" s="740"/>
      <c r="G9" s="741"/>
      <c r="H9" s="745"/>
      <c r="I9" s="740"/>
      <c r="J9" s="740"/>
      <c r="K9" s="740"/>
      <c r="L9" s="740"/>
      <c r="M9" s="740"/>
      <c r="N9" s="740"/>
      <c r="O9" s="740"/>
      <c r="P9" s="740"/>
      <c r="Q9" s="1463"/>
      <c r="R9" s="1456"/>
      <c r="S9" s="756"/>
      <c r="T9" s="740"/>
      <c r="U9" s="740"/>
      <c r="V9" s="740"/>
      <c r="W9" s="740"/>
      <c r="X9" s="740"/>
      <c r="Y9" s="740"/>
      <c r="Z9" s="740"/>
      <c r="AA9" s="740"/>
      <c r="AB9" s="740"/>
      <c r="AC9" s="740"/>
      <c r="AD9" s="740"/>
      <c r="AE9" s="740"/>
    </row>
    <row r="10" spans="1:31" ht="15.5" x14ac:dyDescent="0.25">
      <c r="A10" s="1472">
        <v>0.18</v>
      </c>
      <c r="B10" s="744" t="s">
        <v>1</v>
      </c>
      <c r="C10" s="747">
        <f ca="1">(C6+C7+C9+C8)*18%</f>
        <v>2174.0586000000003</v>
      </c>
      <c r="D10" s="740"/>
      <c r="E10" s="740"/>
      <c r="F10" s="740"/>
      <c r="G10" s="741" t="s">
        <v>544</v>
      </c>
      <c r="H10" s="742">
        <f>C4*0.25%</f>
        <v>1975</v>
      </c>
      <c r="I10" s="740"/>
      <c r="J10" s="740"/>
      <c r="K10" s="740"/>
      <c r="L10" s="740"/>
      <c r="M10" s="740"/>
      <c r="N10" s="740"/>
      <c r="O10" s="740"/>
      <c r="P10" s="740"/>
      <c r="Q10" s="1464">
        <v>1.1118373983739839E-2</v>
      </c>
      <c r="R10" s="1456">
        <f>R8+50000</f>
        <v>750000</v>
      </c>
      <c r="S10" s="756">
        <v>1.1118373983739839E-2</v>
      </c>
      <c r="T10" s="740"/>
      <c r="U10" s="740"/>
      <c r="V10" s="740"/>
      <c r="W10" s="740"/>
      <c r="X10" s="740"/>
      <c r="Y10" s="740"/>
      <c r="Z10" s="740"/>
      <c r="AA10" s="740"/>
      <c r="AB10" s="740"/>
      <c r="AC10" s="740"/>
      <c r="AD10" s="740"/>
      <c r="AE10" s="740"/>
    </row>
    <row r="11" spans="1:31" ht="15.5" x14ac:dyDescent="0.25">
      <c r="A11" s="740"/>
      <c r="B11" s="744" t="s">
        <v>546</v>
      </c>
      <c r="C11" s="749">
        <f ca="1">SUM(C6:C10)*Administration!IR9</f>
        <v>14252.161933333335</v>
      </c>
      <c r="D11" s="740"/>
      <c r="E11" s="740"/>
      <c r="F11" s="740"/>
      <c r="G11" s="741" t="s">
        <v>545</v>
      </c>
      <c r="H11" s="742">
        <f>C4*0.0625%</f>
        <v>493.75</v>
      </c>
      <c r="I11" s="740"/>
      <c r="J11" s="740"/>
      <c r="K11" s="740"/>
      <c r="L11" s="740"/>
      <c r="M11" s="740"/>
      <c r="N11" s="740"/>
      <c r="O11" s="740"/>
      <c r="P11" s="740"/>
      <c r="Q11" s="1464">
        <v>1.1180975609756094E-2</v>
      </c>
      <c r="R11" s="1456">
        <f t="shared" ref="R11:R20" si="0">R10+50000</f>
        <v>800000</v>
      </c>
      <c r="S11" s="756">
        <v>1.1180975609756094E-2</v>
      </c>
      <c r="T11" s="740"/>
      <c r="U11" s="740"/>
      <c r="V11" s="740"/>
      <c r="W11" s="740"/>
      <c r="X11" s="740"/>
      <c r="Y11" s="740"/>
      <c r="Z11" s="740"/>
      <c r="AA11" s="740"/>
      <c r="AB11" s="740"/>
      <c r="AC11" s="740"/>
      <c r="AD11" s="740"/>
      <c r="AE11" s="740"/>
    </row>
    <row r="12" spans="1:31" ht="15.5" x14ac:dyDescent="0.25">
      <c r="A12" s="740"/>
      <c r="B12" s="744"/>
      <c r="C12" s="744"/>
      <c r="D12" s="740"/>
      <c r="E12" s="740"/>
      <c r="F12" s="740"/>
      <c r="G12" s="741" t="s">
        <v>553</v>
      </c>
      <c r="H12" s="742">
        <f>IF('TW Quote'!L35="Yes",600,0)</f>
        <v>0</v>
      </c>
      <c r="J12" s="740"/>
      <c r="K12" s="740"/>
      <c r="L12" s="740">
        <v>300000</v>
      </c>
      <c r="M12" s="740">
        <v>700</v>
      </c>
      <c r="N12" s="740"/>
      <c r="O12" s="740"/>
      <c r="P12" s="740"/>
      <c r="Q12" s="1464">
        <v>1.1236212338593971E-2</v>
      </c>
      <c r="R12" s="1456">
        <f t="shared" si="0"/>
        <v>850000</v>
      </c>
      <c r="S12" s="756">
        <v>1.1236212338593971E-2</v>
      </c>
      <c r="T12" s="740"/>
      <c r="U12" s="740"/>
      <c r="V12" s="740"/>
      <c r="W12" s="740"/>
      <c r="X12" s="740"/>
      <c r="Y12" s="740"/>
      <c r="Z12" s="740"/>
      <c r="AA12" s="740"/>
      <c r="AB12" s="740"/>
      <c r="AC12" s="740"/>
      <c r="AD12" s="740"/>
      <c r="AE12" s="740"/>
    </row>
    <row r="13" spans="1:31" ht="15.5" x14ac:dyDescent="0.25">
      <c r="A13" s="740"/>
      <c r="B13" s="744"/>
      <c r="C13" s="744"/>
      <c r="D13" s="740"/>
      <c r="E13" s="740"/>
      <c r="F13" s="740"/>
      <c r="G13" s="741" t="s">
        <v>547</v>
      </c>
      <c r="H13" s="742">
        <f>H2*10%</f>
        <v>1382.5000000000002</v>
      </c>
      <c r="I13" s="740"/>
      <c r="J13" s="753" t="s">
        <v>552</v>
      </c>
      <c r="K13" s="740"/>
      <c r="L13" s="740">
        <v>500000</v>
      </c>
      <c r="M13" s="740">
        <v>1100</v>
      </c>
      <c r="N13" s="740"/>
      <c r="O13" s="740"/>
      <c r="P13" s="740"/>
      <c r="Q13" s="1464">
        <v>1.1285311653116531E-2</v>
      </c>
      <c r="R13" s="1456">
        <f t="shared" si="0"/>
        <v>900000</v>
      </c>
      <c r="S13" s="756">
        <v>1.1285311653116531E-2</v>
      </c>
      <c r="T13" s="740"/>
      <c r="U13" s="740"/>
      <c r="V13" s="740"/>
      <c r="W13" s="740"/>
      <c r="X13" s="740"/>
      <c r="Y13" s="740"/>
      <c r="Z13" s="740"/>
      <c r="AA13" s="740"/>
      <c r="AB13" s="740"/>
      <c r="AC13" s="740"/>
      <c r="AD13" s="740"/>
      <c r="AE13" s="740"/>
    </row>
    <row r="14" spans="1:31" ht="15.5" x14ac:dyDescent="0.25">
      <c r="A14" s="740"/>
      <c r="B14" s="740"/>
      <c r="C14" s="740"/>
      <c r="D14" s="740"/>
      <c r="E14" s="740"/>
      <c r="G14" s="741" t="s">
        <v>548</v>
      </c>
      <c r="H14" s="742"/>
      <c r="I14" s="758" t="s">
        <v>551</v>
      </c>
      <c r="J14" s="747">
        <f>(C4*O14)</f>
        <v>8783.515447154472</v>
      </c>
      <c r="K14" s="740"/>
      <c r="L14" s="740">
        <v>1000000</v>
      </c>
      <c r="M14" s="740">
        <v>2200</v>
      </c>
      <c r="N14" s="740"/>
      <c r="O14" s="757">
        <f>IF(C4&lt;500000,O19,VLOOKUP(C4,R4:S20,2,1))</f>
        <v>1.1118373983739839E-2</v>
      </c>
      <c r="P14" s="740"/>
      <c r="Q14" s="1464">
        <v>1.1329242618741976E-2</v>
      </c>
      <c r="R14" s="1456">
        <f t="shared" si="0"/>
        <v>950000</v>
      </c>
      <c r="S14" s="756">
        <v>1.1329242618741976E-2</v>
      </c>
      <c r="T14" s="740"/>
      <c r="U14" s="740"/>
      <c r="V14" s="740"/>
      <c r="W14" s="740"/>
      <c r="X14" s="740"/>
      <c r="Y14" s="740"/>
      <c r="Z14" s="740"/>
      <c r="AA14" s="740"/>
      <c r="AB14" s="740"/>
      <c r="AC14" s="740"/>
      <c r="AD14" s="740"/>
      <c r="AE14" s="740"/>
    </row>
    <row r="15" spans="1:31" ht="15.5" x14ac:dyDescent="0.25">
      <c r="A15" s="740"/>
      <c r="B15" s="740"/>
      <c r="C15" s="740"/>
      <c r="D15" s="740"/>
      <c r="E15" s="740"/>
      <c r="F15" s="740"/>
      <c r="G15" s="741" t="s">
        <v>37</v>
      </c>
      <c r="H15" s="750">
        <f>VLOOKUP('TW Quote'!R33,'TW Working'!L12:M14,2,FALSE)</f>
        <v>700</v>
      </c>
      <c r="I15" s="740"/>
      <c r="J15" s="740"/>
      <c r="K15" s="740"/>
      <c r="L15" s="740"/>
      <c r="M15" s="740"/>
      <c r="N15" s="740"/>
      <c r="O15" s="740"/>
      <c r="P15" s="740"/>
      <c r="Q15" s="1464">
        <v>1.1368780487804875E-2</v>
      </c>
      <c r="R15" s="1456">
        <f t="shared" si="0"/>
        <v>1000000</v>
      </c>
      <c r="S15" s="756">
        <v>1.1368780487804875E-2</v>
      </c>
      <c r="T15" s="740"/>
      <c r="U15" s="740"/>
      <c r="V15" s="740"/>
      <c r="W15" s="740"/>
      <c r="X15" s="740"/>
      <c r="Y15" s="740"/>
      <c r="Z15" s="740"/>
      <c r="AA15" s="740"/>
      <c r="AB15" s="740"/>
      <c r="AC15" s="740"/>
      <c r="AD15" s="740"/>
      <c r="AE15" s="740"/>
    </row>
    <row r="16" spans="1:31" ht="15.5" x14ac:dyDescent="0.25">
      <c r="A16" s="1469">
        <f ca="1">TODAY()</f>
        <v>45346</v>
      </c>
      <c r="B16" s="1471">
        <f ca="1">IF(YEAR(A16)&gt;2023,0.25%*C4,IF(MONTH(A16)=8,0.04%*C4,IF(MONTH(A16)=9,0.08%*C4,IF(MONTH(A16)=10,0.12%*C4,IF(MONTH(A16)=11,0.16%*C4,IF(MONTH(A16)=12,0.25%*C4,0))))))</f>
        <v>1975</v>
      </c>
      <c r="C16" s="740"/>
      <c r="D16" s="740"/>
      <c r="E16" s="740"/>
      <c r="F16" s="740"/>
      <c r="G16" s="741" t="s">
        <v>549</v>
      </c>
      <c r="H16" s="750"/>
      <c r="I16" s="740"/>
      <c r="J16" s="746"/>
      <c r="K16" s="740"/>
      <c r="L16" s="740"/>
      <c r="M16" s="740"/>
      <c r="N16" s="740">
        <v>500000</v>
      </c>
      <c r="O16" s="1467">
        <v>5503.9024390243894</v>
      </c>
      <c r="P16" s="740"/>
      <c r="Q16" s="1464">
        <v>1.1404552845528453E-2</v>
      </c>
      <c r="R16" s="1456">
        <f t="shared" si="0"/>
        <v>1050000</v>
      </c>
      <c r="S16" s="756">
        <v>1.1404552845528453E-2</v>
      </c>
      <c r="T16" s="740"/>
      <c r="U16" s="740"/>
      <c r="V16" s="740"/>
      <c r="W16" s="740"/>
      <c r="X16" s="740"/>
      <c r="Y16" s="740"/>
      <c r="Z16" s="740"/>
      <c r="AA16" s="740"/>
      <c r="AB16" s="740"/>
      <c r="AC16" s="740"/>
      <c r="AD16" s="740"/>
      <c r="AE16" s="740"/>
    </row>
    <row r="17" spans="1:31" ht="15.5" x14ac:dyDescent="0.3">
      <c r="A17" s="740"/>
      <c r="B17" s="740"/>
      <c r="C17" s="740"/>
      <c r="D17" s="740"/>
      <c r="E17" s="740"/>
      <c r="F17" s="740"/>
      <c r="G17" s="741" t="s">
        <v>577</v>
      </c>
      <c r="H17" s="1470"/>
      <c r="I17" s="1471"/>
      <c r="J17" s="740"/>
      <c r="K17" s="740"/>
      <c r="L17" s="740"/>
      <c r="M17" s="740"/>
      <c r="N17" s="740">
        <f>IF(C4&lt;500000,N16-C4,0)</f>
        <v>0</v>
      </c>
      <c r="O17" s="740">
        <f>(N17/10000)*50</f>
        <v>0</v>
      </c>
      <c r="P17" s="740"/>
      <c r="Q17" s="1464">
        <v>1.1437073170731706E-2</v>
      </c>
      <c r="R17" s="1456">
        <f t="shared" si="0"/>
        <v>1100000</v>
      </c>
      <c r="S17" s="756">
        <v>1.1437073170731706E-2</v>
      </c>
      <c r="T17" s="740"/>
      <c r="U17" s="740"/>
      <c r="V17" s="740"/>
      <c r="W17" s="740"/>
      <c r="X17" s="740"/>
      <c r="Y17" s="740"/>
      <c r="Z17" s="740"/>
      <c r="AA17" s="740"/>
      <c r="AB17" s="740"/>
      <c r="AC17" s="740"/>
      <c r="AD17" s="740"/>
      <c r="AE17" s="740"/>
    </row>
    <row r="18" spans="1:31" ht="15.5" x14ac:dyDescent="0.25">
      <c r="A18" s="740"/>
      <c r="B18" s="740"/>
      <c r="C18" s="740"/>
      <c r="D18" s="740"/>
      <c r="E18" s="740"/>
      <c r="F18" s="740"/>
      <c r="G18" s="741"/>
      <c r="H18" s="751">
        <f>J14+(H15-700)+H6+H5+H12+H17</f>
        <v>8783.515447154472</v>
      </c>
      <c r="I18" s="740"/>
      <c r="J18" s="740"/>
      <c r="K18" s="740"/>
      <c r="L18" s="740"/>
      <c r="M18" s="740"/>
      <c r="N18" s="740"/>
      <c r="O18" s="1467">
        <f>O16-O17</f>
        <v>5503.9024390243894</v>
      </c>
      <c r="P18" s="740"/>
      <c r="Q18" s="1464">
        <v>1.1466765641569459E-2</v>
      </c>
      <c r="R18" s="1456">
        <f t="shared" si="0"/>
        <v>1150000</v>
      </c>
      <c r="S18" s="756">
        <v>1.1466765641569459E-2</v>
      </c>
      <c r="T18" s="740"/>
      <c r="U18" s="740"/>
      <c r="V18" s="740"/>
      <c r="W18" s="740"/>
      <c r="X18" s="740"/>
      <c r="Y18" s="740"/>
      <c r="Z18" s="740"/>
      <c r="AA18" s="740"/>
      <c r="AB18" s="740"/>
      <c r="AC18" s="740"/>
      <c r="AD18" s="740"/>
      <c r="AE18" s="740"/>
    </row>
    <row r="19" spans="1:31" ht="15.5" x14ac:dyDescent="0.25">
      <c r="A19" s="740"/>
      <c r="B19" s="740"/>
      <c r="C19" s="740"/>
      <c r="D19" s="740"/>
      <c r="E19" s="740"/>
      <c r="F19" s="740"/>
      <c r="G19" s="744" t="s">
        <v>546</v>
      </c>
      <c r="H19" s="752">
        <f ca="1">C11</f>
        <v>14252.161933333335</v>
      </c>
      <c r="I19" s="740"/>
      <c r="J19" s="740"/>
      <c r="K19" s="740"/>
      <c r="L19" s="740"/>
      <c r="M19" s="740"/>
      <c r="N19" s="740"/>
      <c r="O19" s="1468">
        <f>O18/C4</f>
        <v>6.9669651126891005E-3</v>
      </c>
      <c r="P19" s="740"/>
      <c r="Q19" s="1464">
        <v>1.1493983739837399E-2</v>
      </c>
      <c r="R19" s="1456">
        <f t="shared" si="0"/>
        <v>1200000</v>
      </c>
      <c r="S19" s="756">
        <v>1.1493983739837399E-2</v>
      </c>
      <c r="T19" s="740"/>
      <c r="U19" s="740"/>
      <c r="V19" s="740"/>
      <c r="W19" s="740"/>
      <c r="X19" s="740"/>
      <c r="Y19" s="740"/>
      <c r="Z19" s="740"/>
      <c r="AA19" s="740"/>
      <c r="AB19" s="740"/>
      <c r="AC19" s="740"/>
      <c r="AD19" s="740"/>
      <c r="AE19" s="740"/>
    </row>
    <row r="20" spans="1:31" ht="15.5" x14ac:dyDescent="0.25">
      <c r="A20" s="740"/>
      <c r="B20" s="740"/>
      <c r="C20" s="740"/>
      <c r="D20" s="740"/>
      <c r="E20" s="740"/>
      <c r="F20" s="740"/>
      <c r="G20" s="740"/>
      <c r="H20" s="740"/>
      <c r="I20" s="740"/>
      <c r="J20" s="740"/>
      <c r="K20" s="740"/>
      <c r="L20" s="740"/>
      <c r="M20" s="740"/>
      <c r="N20" s="740"/>
      <c r="O20" s="740"/>
      <c r="P20" s="740"/>
      <c r="Q20" s="1464">
        <v>1.1519024390243904E-2</v>
      </c>
      <c r="R20" s="1456">
        <f t="shared" si="0"/>
        <v>1250000</v>
      </c>
      <c r="S20" s="756">
        <v>1.1519024390243904E-2</v>
      </c>
      <c r="T20" s="740"/>
      <c r="U20" s="740"/>
      <c r="V20" s="740"/>
      <c r="W20" s="740"/>
      <c r="X20" s="740"/>
      <c r="Y20" s="740"/>
      <c r="Z20" s="740"/>
      <c r="AA20" s="740"/>
      <c r="AB20" s="740"/>
      <c r="AC20" s="740"/>
      <c r="AD20" s="740"/>
      <c r="AE20" s="740"/>
    </row>
    <row r="21" spans="1:31" hidden="1" x14ac:dyDescent="0.25">
      <c r="A21" s="740"/>
      <c r="B21" s="740"/>
      <c r="C21" s="740"/>
      <c r="D21" s="740"/>
      <c r="E21" s="740"/>
      <c r="F21" s="740"/>
      <c r="G21" s="740"/>
      <c r="H21" s="740"/>
      <c r="I21" s="740"/>
      <c r="J21" s="740"/>
      <c r="K21" s="740"/>
      <c r="L21" s="740"/>
      <c r="M21" s="740"/>
      <c r="N21" s="740"/>
      <c r="O21" s="740"/>
      <c r="P21" s="740"/>
      <c r="Q21" s="740"/>
      <c r="R21" s="740"/>
      <c r="S21" s="740"/>
      <c r="T21" s="740"/>
      <c r="U21" s="740"/>
      <c r="V21" s="740"/>
      <c r="W21" s="740"/>
      <c r="X21" s="740"/>
      <c r="Y21" s="740"/>
      <c r="Z21" s="740"/>
      <c r="AA21" s="740"/>
      <c r="AB21" s="740"/>
      <c r="AC21" s="740"/>
      <c r="AD21" s="740"/>
      <c r="AE21" s="740"/>
    </row>
    <row r="22" spans="1:31" hidden="1" x14ac:dyDescent="0.25">
      <c r="A22" s="740"/>
      <c r="B22" s="740"/>
      <c r="C22" s="740"/>
      <c r="D22" s="740"/>
      <c r="E22" s="740"/>
      <c r="F22" s="740"/>
      <c r="G22" s="740"/>
      <c r="H22" s="740"/>
      <c r="I22" s="740"/>
      <c r="J22" s="740"/>
      <c r="K22" s="740"/>
      <c r="L22" s="740"/>
      <c r="M22" s="740"/>
      <c r="N22" s="740"/>
      <c r="O22" s="740"/>
      <c r="P22" s="740"/>
      <c r="Q22" s="740"/>
      <c r="R22" s="740"/>
      <c r="S22" s="740"/>
      <c r="T22" s="740"/>
      <c r="U22" s="740"/>
      <c r="V22" s="740"/>
      <c r="W22" s="740"/>
      <c r="X22" s="740"/>
      <c r="Y22" s="740"/>
      <c r="Z22" s="740"/>
      <c r="AA22" s="740"/>
      <c r="AB22" s="740"/>
      <c r="AC22" s="740"/>
      <c r="AD22" s="740"/>
      <c r="AE22" s="740"/>
    </row>
    <row r="23" spans="1:31" hidden="1" x14ac:dyDescent="0.25">
      <c r="G23" s="740"/>
      <c r="H23" s="740"/>
    </row>
  </sheetData>
  <sheetProtection algorithmName="SHA-512" hashValue="GGHpozVNMqlGBvWcmnz1F6TArhUJHc+a/Z8izR2ZxUpr5cUdt6EVnZxFurF1t0kZH+jmWSNb0LPYBpVWHXVflw==" saltValue="Bu+TRRtNS98KU0ZK+5eqxQ==" spinCount="100000" sheet="1" objects="1" scenarios="1"/>
  <mergeCells count="1">
    <mergeCell ref="R3:S3"/>
  </mergeCells>
  <conditionalFormatting sqref="H17">
    <cfRule type="expression" dxfId="335" priority="1" stopIfTrue="1">
      <formula>G17=1</formula>
    </cfRule>
  </conditionalFormatting>
  <dataValidations disablePrompts="1" count="1">
    <dataValidation type="decimal" operator="greaterThanOrEqual" allowBlank="1" showInputMessage="1" showErrorMessage="1" sqref="C4" xr:uid="{00000000-0002-0000-0300-000000000000}">
      <formula1>500000</formula1>
    </dataValidation>
  </dataValidations>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44"/>
    <pageSetUpPr fitToPage="1"/>
  </sheetPr>
  <dimension ref="A1:IU173"/>
  <sheetViews>
    <sheetView showGridLines="0" tabSelected="1" showOutlineSymbols="0" topLeftCell="A13" zoomScale="80" zoomScaleNormal="80" workbookViewId="0">
      <selection activeCell="L24" sqref="L24:R25"/>
    </sheetView>
  </sheetViews>
  <sheetFormatPr defaultColWidth="0" defaultRowHeight="12.5" zeroHeight="1" x14ac:dyDescent="0.25"/>
  <cols>
    <col min="1" max="1" width="2.453125" style="142" customWidth="1"/>
    <col min="2" max="2" width="1.26953125" style="142" customWidth="1"/>
    <col min="3" max="3" width="4.26953125" style="142" customWidth="1"/>
    <col min="4" max="4" width="10.453125" style="142" customWidth="1"/>
    <col min="5" max="5" width="4.453125" style="142" customWidth="1"/>
    <col min="6" max="6" width="13.26953125" style="142" customWidth="1"/>
    <col min="7" max="7" width="4.26953125" style="142" customWidth="1"/>
    <col min="8" max="8" width="1.54296875" style="142" customWidth="1"/>
    <col min="9" max="9" width="16.81640625" style="142" customWidth="1"/>
    <col min="10" max="11" width="1.81640625" style="142" customWidth="1"/>
    <col min="12" max="12" width="4.81640625" style="142" customWidth="1"/>
    <col min="13" max="13" width="9.81640625" style="142" customWidth="1"/>
    <col min="14" max="14" width="5.1796875" style="142" customWidth="1"/>
    <col min="15" max="15" width="8.7265625" style="142" customWidth="1"/>
    <col min="16" max="16" width="3.7265625" style="142" customWidth="1"/>
    <col min="17" max="17" width="7.26953125" style="142" customWidth="1"/>
    <col min="18" max="18" width="24.81640625" style="142" customWidth="1"/>
    <col min="19" max="19" width="4.7265625" style="142" customWidth="1"/>
    <col min="20" max="20" width="8.7265625" style="142" customWidth="1"/>
    <col min="21" max="21" width="3.54296875" style="142" hidden="1" customWidth="1"/>
    <col min="22" max="22" width="6.81640625" style="559" hidden="1" customWidth="1"/>
    <col min="23" max="24" width="6.453125" style="559" hidden="1" customWidth="1"/>
    <col min="25" max="25" width="4.453125" style="559" hidden="1" customWidth="1"/>
    <col min="26" max="26" width="6.81640625" style="559" hidden="1" customWidth="1"/>
    <col min="27" max="27" width="3.453125" style="559" hidden="1" customWidth="1"/>
    <col min="28" max="28" width="8.81640625" style="559" hidden="1" customWidth="1"/>
    <col min="29" max="29" width="10.1796875" style="559" hidden="1" customWidth="1"/>
    <col min="30" max="253" width="8.81640625" style="142" hidden="1" customWidth="1"/>
    <col min="254" max="254" width="5.7265625" style="142" hidden="1" customWidth="1"/>
    <col min="255" max="255" width="5.1796875" style="142" hidden="1" customWidth="1"/>
    <col min="256" max="16384" width="0.1796875" style="142" hidden="1"/>
  </cols>
  <sheetData>
    <row r="1" spans="1:28" ht="45" customHeight="1" thickTop="1" x14ac:dyDescent="0.25">
      <c r="A1" s="2"/>
      <c r="B1" s="119"/>
      <c r="C1" s="3"/>
      <c r="D1" s="3"/>
      <c r="E1" s="3"/>
      <c r="F1" s="3"/>
      <c r="G1" s="3"/>
      <c r="H1" s="3"/>
      <c r="I1" s="3"/>
      <c r="J1" s="3"/>
      <c r="K1" s="3"/>
      <c r="L1" s="3"/>
      <c r="M1" s="1539"/>
      <c r="N1" s="1539"/>
      <c r="O1" s="1539"/>
      <c r="P1" s="1539"/>
      <c r="Q1" s="1539"/>
      <c r="R1" s="1539"/>
      <c r="S1" s="1540"/>
      <c r="U1" s="139"/>
      <c r="V1" s="633"/>
      <c r="W1" s="633"/>
      <c r="X1" s="633"/>
      <c r="Y1" s="633"/>
      <c r="Z1" s="633"/>
      <c r="AA1" s="633"/>
      <c r="AB1" s="633"/>
    </row>
    <row r="2" spans="1:28" ht="33.75" customHeight="1" x14ac:dyDescent="0.25">
      <c r="A2" s="120"/>
      <c r="B2" s="15"/>
      <c r="C2" s="16"/>
      <c r="D2" s="16"/>
      <c r="E2" s="16"/>
      <c r="F2" s="16"/>
      <c r="G2" s="16"/>
      <c r="H2" s="16"/>
      <c r="I2" s="16"/>
      <c r="J2" s="16"/>
      <c r="K2" s="16"/>
      <c r="L2" s="16"/>
      <c r="M2" s="1541" t="str">
        <f>IF(U3=0,CONCATENATE("Print  ",Working!Y48,"  Sheet"),"")</f>
        <v/>
      </c>
      <c r="N2" s="1541"/>
      <c r="O2" s="1541"/>
      <c r="P2" s="1541"/>
      <c r="Q2" s="1541"/>
      <c r="R2" s="1541"/>
      <c r="S2" s="121"/>
      <c r="U2" s="139"/>
      <c r="V2" s="633"/>
      <c r="W2" s="633"/>
      <c r="X2" s="633"/>
      <c r="Y2" s="633"/>
      <c r="Z2" s="633"/>
      <c r="AA2" s="633"/>
      <c r="AB2" s="633"/>
    </row>
    <row r="3" spans="1:28" ht="13" customHeight="1" x14ac:dyDescent="0.25">
      <c r="A3" s="120"/>
      <c r="B3" s="15"/>
      <c r="C3" s="16"/>
      <c r="D3" s="16"/>
      <c r="E3" s="16"/>
      <c r="F3" s="16"/>
      <c r="G3" s="16"/>
      <c r="H3" s="16"/>
      <c r="I3" s="16"/>
      <c r="J3" s="16"/>
      <c r="K3" s="16"/>
      <c r="L3" s="16"/>
      <c r="M3" s="323"/>
      <c r="N3" s="323"/>
      <c r="O3" s="323"/>
      <c r="P3" s="323"/>
      <c r="Q3" s="323"/>
      <c r="R3" s="323"/>
      <c r="S3" s="121"/>
      <c r="U3" s="142">
        <v>1</v>
      </c>
      <c r="V3" s="633"/>
      <c r="W3" s="633"/>
      <c r="X3" s="633"/>
      <c r="Y3" s="633"/>
      <c r="Z3" s="633"/>
      <c r="AA3" s="633"/>
      <c r="AB3" s="633"/>
    </row>
    <row r="4" spans="1:28" ht="20.25" customHeight="1" x14ac:dyDescent="0.35">
      <c r="A4" s="120"/>
      <c r="B4" s="7"/>
      <c r="C4" s="335" t="s">
        <v>529</v>
      </c>
      <c r="D4" s="9"/>
      <c r="E4" s="295"/>
      <c r="F4" s="355"/>
      <c r="G4" s="7"/>
      <c r="H4" s="9"/>
      <c r="I4" s="9"/>
      <c r="J4" s="9"/>
      <c r="K4" s="9"/>
      <c r="L4" s="11"/>
      <c r="M4" s="326"/>
      <c r="N4" s="326"/>
      <c r="O4" s="335"/>
      <c r="P4" s="1549">
        <f ca="1">TODAY()</f>
        <v>45346</v>
      </c>
      <c r="Q4" s="1549"/>
      <c r="R4" s="1549"/>
      <c r="S4" s="122"/>
      <c r="W4" s="634">
        <f ca="1">IF(Working!$M$37&lt;0,Working!$G$37*2,0)</f>
        <v>50</v>
      </c>
      <c r="X4" s="634">
        <f ca="1">IF(Working!$M$36&lt;0,Working!$H$36*2,0)</f>
        <v>0</v>
      </c>
      <c r="Y4" s="635" t="str">
        <f>IF(Working!$B$21="Free","000","111")</f>
        <v>000</v>
      </c>
      <c r="Z4" s="636">
        <f ca="1">IF(Working!$M$23&lt;0,Working!$H$23*2,0)</f>
        <v>154.28399999999999</v>
      </c>
      <c r="AA4" s="637">
        <f>Working!$N$60</f>
        <v>0</v>
      </c>
      <c r="AB4" s="559" t="str">
        <f>IF(Working!$C$2="Yes","GUD)","ATI)")</f>
        <v>ATI)</v>
      </c>
    </row>
    <row r="5" spans="1:28" ht="13.5" customHeight="1" x14ac:dyDescent="0.3">
      <c r="A5" s="120"/>
      <c r="B5" s="7"/>
      <c r="C5" s="355" t="s">
        <v>425</v>
      </c>
      <c r="D5" s="295"/>
      <c r="E5" s="295"/>
      <c r="F5" s="355"/>
      <c r="G5" s="7"/>
      <c r="H5" s="7"/>
      <c r="I5" s="7"/>
      <c r="J5" s="7"/>
      <c r="K5" s="7"/>
      <c r="L5" s="7"/>
      <c r="M5" s="326"/>
      <c r="N5" s="326"/>
      <c r="O5" s="335"/>
      <c r="P5" s="335"/>
      <c r="Q5" s="337"/>
      <c r="R5" s="336"/>
      <c r="S5" s="124"/>
      <c r="W5" s="633"/>
      <c r="X5" s="638"/>
      <c r="Y5" s="639"/>
      <c r="Z5" s="640"/>
      <c r="AA5" s="641"/>
      <c r="AB5" s="633"/>
    </row>
    <row r="6" spans="1:28" ht="5.15" customHeight="1" x14ac:dyDescent="0.35">
      <c r="A6" s="120"/>
      <c r="B6" s="7"/>
      <c r="C6" s="17"/>
      <c r="D6" s="18"/>
      <c r="E6" s="18"/>
      <c r="F6" s="18"/>
      <c r="G6" s="18"/>
      <c r="H6" s="18"/>
      <c r="I6" s="18"/>
      <c r="J6" s="18"/>
      <c r="K6" s="18"/>
      <c r="L6" s="18"/>
      <c r="M6" s="325"/>
      <c r="N6" s="325"/>
      <c r="O6" s="325"/>
      <c r="P6" s="325"/>
      <c r="Q6" s="325"/>
      <c r="R6" s="325"/>
      <c r="S6" s="124"/>
    </row>
    <row r="7" spans="1:28" ht="18" customHeight="1" x14ac:dyDescent="0.3">
      <c r="A7" s="120"/>
      <c r="B7" s="7"/>
      <c r="C7" s="331" t="s">
        <v>297</v>
      </c>
      <c r="D7" s="80"/>
      <c r="E7" s="80"/>
      <c r="F7" s="80"/>
      <c r="G7" s="80"/>
      <c r="H7" s="80"/>
      <c r="I7" s="80"/>
      <c r="J7" s="80"/>
      <c r="K7" s="9"/>
      <c r="L7" s="280" t="s">
        <v>25</v>
      </c>
      <c r="M7" s="262"/>
      <c r="N7" s="9"/>
      <c r="O7" s="105"/>
      <c r="P7" s="725" t="str">
        <f>IF(AND(U3=1,Working!U2=1),UPPER(Working!H8),"")</f>
        <v>THREE WHEELER</v>
      </c>
      <c r="Q7" s="723"/>
      <c r="R7" s="723"/>
      <c r="S7" s="724"/>
    </row>
    <row r="8" spans="1:28" ht="18" customHeight="1" x14ac:dyDescent="0.25">
      <c r="A8" s="120"/>
      <c r="B8" s="7"/>
      <c r="C8" s="1542" t="s">
        <v>526</v>
      </c>
      <c r="D8" s="1543"/>
      <c r="E8" s="1543"/>
      <c r="F8" s="1543"/>
      <c r="G8" s="1543"/>
      <c r="H8" s="1543"/>
      <c r="I8" s="1543"/>
      <c r="J8" s="1544"/>
      <c r="K8" s="273"/>
      <c r="L8" s="280" t="s">
        <v>108</v>
      </c>
      <c r="M8" s="104"/>
      <c r="N8" s="105"/>
      <c r="O8" s="105"/>
      <c r="P8" s="1542" t="s">
        <v>526</v>
      </c>
      <c r="Q8" s="1543"/>
      <c r="R8" s="1544"/>
      <c r="S8" s="353"/>
    </row>
    <row r="9" spans="1:28" ht="18" customHeight="1" x14ac:dyDescent="0.3">
      <c r="A9" s="120"/>
      <c r="B9" s="7"/>
      <c r="C9" s="476" t="str">
        <f>IF(AND(Working!H12="HYBRID",Working!H14="No",Working!B12="Corporate"),CONCATENATE("(",Working!B12," CUSTOMER)"),"")</f>
        <v/>
      </c>
      <c r="D9" s="457"/>
      <c r="E9" s="457"/>
      <c r="F9" s="457"/>
      <c r="G9" s="457"/>
      <c r="H9" s="457"/>
      <c r="I9" s="457"/>
      <c r="J9" s="457"/>
      <c r="K9" s="273"/>
      <c r="L9" s="280" t="s">
        <v>377</v>
      </c>
      <c r="M9" s="258"/>
      <c r="N9" s="105"/>
      <c r="O9" s="105"/>
      <c r="P9" s="1542" t="s">
        <v>522</v>
      </c>
      <c r="Q9" s="1543"/>
      <c r="R9" s="1544"/>
      <c r="S9" s="645"/>
    </row>
    <row r="10" spans="1:28" ht="18" customHeight="1" x14ac:dyDescent="0.3">
      <c r="A10" s="120"/>
      <c r="B10" s="7"/>
      <c r="C10" s="331" t="s">
        <v>296</v>
      </c>
      <c r="D10" s="80"/>
      <c r="E10" s="80"/>
      <c r="F10" s="80"/>
      <c r="G10" s="348"/>
      <c r="H10" s="348"/>
      <c r="I10" s="348"/>
      <c r="J10" s="348"/>
      <c r="K10" s="103"/>
      <c r="L10" s="280" t="s">
        <v>357</v>
      </c>
      <c r="M10" s="258"/>
      <c r="N10" s="106"/>
      <c r="O10" s="106"/>
      <c r="P10" s="1560" t="s">
        <v>525</v>
      </c>
      <c r="Q10" s="1568"/>
      <c r="R10" s="1568"/>
      <c r="S10" s="350"/>
      <c r="X10" s="707" t="s">
        <v>527</v>
      </c>
    </row>
    <row r="11" spans="1:28" ht="18" customHeight="1" x14ac:dyDescent="0.25">
      <c r="A11" s="120"/>
      <c r="B11" s="7"/>
      <c r="C11" s="1542" t="s">
        <v>526</v>
      </c>
      <c r="D11" s="1543"/>
      <c r="E11" s="1543"/>
      <c r="F11" s="1543"/>
      <c r="G11" s="1543"/>
      <c r="H11" s="1543"/>
      <c r="I11" s="1543"/>
      <c r="J11" s="1544"/>
      <c r="K11" s="273"/>
      <c r="L11" s="280" t="s">
        <v>34</v>
      </c>
      <c r="M11" s="104"/>
      <c r="N11" s="107"/>
      <c r="O11" s="106"/>
      <c r="P11" s="1542" t="s">
        <v>528</v>
      </c>
      <c r="Q11" s="1543"/>
      <c r="R11" s="1544"/>
      <c r="S11" s="351"/>
    </row>
    <row r="12" spans="1:28" ht="18" customHeight="1" x14ac:dyDescent="0.3">
      <c r="A12" s="120"/>
      <c r="B12" s="7"/>
      <c r="C12" s="332" t="s">
        <v>298</v>
      </c>
      <c r="D12" s="80"/>
      <c r="E12" s="80"/>
      <c r="F12" s="80"/>
      <c r="G12" s="349"/>
      <c r="H12" s="349"/>
      <c r="I12" s="349"/>
      <c r="J12" s="349"/>
      <c r="K12" s="125"/>
      <c r="L12" s="280" t="s">
        <v>35</v>
      </c>
      <c r="M12" s="104"/>
      <c r="N12" s="108"/>
      <c r="O12" s="108"/>
      <c r="P12" s="1552" t="str">
        <f>IF(Working!U2=1,UPPER(V12),"")</f>
        <v>HIRING</v>
      </c>
      <c r="Q12" s="1552"/>
      <c r="R12" s="1552"/>
      <c r="S12" s="352"/>
      <c r="V12" s="559" t="str">
        <f>IF(Working!H9="Private Use","Private Use Only",Working!H9)</f>
        <v>Hiring</v>
      </c>
    </row>
    <row r="13" spans="1:28" ht="22.5" customHeight="1" x14ac:dyDescent="0.3">
      <c r="A13" s="120"/>
      <c r="B13" s="703">
        <f>IF(OR(C13=I86,C13=I87,C13=I88,C13=I89,C13=I90,C13=I91,C13=I92,C13=I93,C13=I94,C13=I95,C13=I96,C13=I97,C13=I98),1,0)</f>
        <v>0</v>
      </c>
      <c r="C13" s="1555" t="s">
        <v>574</v>
      </c>
      <c r="D13" s="1556"/>
      <c r="E13" s="1556"/>
      <c r="F13" s="1556"/>
      <c r="G13" s="1556"/>
      <c r="H13" s="1556"/>
      <c r="I13" s="1556"/>
      <c r="J13" s="1557"/>
      <c r="K13" s="274"/>
      <c r="L13" s="280" t="s">
        <v>408</v>
      </c>
      <c r="M13" s="104"/>
      <c r="N13" s="108"/>
      <c r="O13" s="108"/>
      <c r="P13" s="1560">
        <v>2021</v>
      </c>
      <c r="Q13" s="1561"/>
      <c r="R13" s="310">
        <f>IF(U3=1,Working!T12,"")</f>
        <v>4</v>
      </c>
      <c r="S13" s="352"/>
      <c r="T13" s="705">
        <f>IF(I13="Ijarah","Ijarah",I13)</f>
        <v>0</v>
      </c>
      <c r="V13" s="559" t="str">
        <f>IF(AND(Working!K14="",Working!B21="No"),"NOT APPLICABLE",IF(AND(Working!K14="",OR(Working!B21="Yes",Working!B21="Free")),"APPLICABLE  - TO BE ADVISED",Working!K14))</f>
        <v>ALLIANZ FINANCE</v>
      </c>
    </row>
    <row r="14" spans="1:28" ht="14.5" customHeight="1" x14ac:dyDescent="0.3">
      <c r="A14" s="120"/>
      <c r="B14" s="7"/>
      <c r="C14" s="19"/>
      <c r="D14" s="19"/>
      <c r="E14" s="19"/>
      <c r="F14" s="19"/>
      <c r="G14" s="19"/>
      <c r="H14" s="19"/>
      <c r="I14" s="704"/>
      <c r="J14" s="20"/>
      <c r="K14" s="20"/>
      <c r="L14" s="19"/>
      <c r="M14" s="19"/>
      <c r="N14" s="19"/>
      <c r="O14" s="19"/>
      <c r="P14" s="19"/>
      <c r="Q14" s="19"/>
      <c r="R14" s="19"/>
      <c r="S14" s="126"/>
    </row>
    <row r="15" spans="1:28" ht="6.75" customHeight="1" thickBot="1" x14ac:dyDescent="0.35">
      <c r="A15" s="120"/>
      <c r="B15" s="7"/>
      <c r="C15" s="7"/>
      <c r="D15" s="7"/>
      <c r="E15" s="7"/>
      <c r="F15" s="7"/>
      <c r="G15" s="7"/>
      <c r="H15" s="7"/>
      <c r="I15" s="7"/>
      <c r="J15" s="9"/>
      <c r="K15" s="9"/>
      <c r="L15" s="7"/>
      <c r="M15" s="7"/>
      <c r="N15" s="7"/>
      <c r="O15" s="7"/>
      <c r="P15" s="7"/>
      <c r="Q15" s="7"/>
      <c r="R15" s="7"/>
      <c r="S15" s="127"/>
    </row>
    <row r="16" spans="1:28" ht="13.15" customHeight="1" x14ac:dyDescent="0.3">
      <c r="A16" s="120"/>
      <c r="B16" s="7"/>
      <c r="C16" s="385" t="s">
        <v>301</v>
      </c>
      <c r="D16" s="7"/>
      <c r="E16" s="7"/>
      <c r="F16" s="190" t="str">
        <f>IF(Working!H3="One Year",": One Year",CONCATENATE(": ",Calculation!H9," Days"))</f>
        <v>: One Year</v>
      </c>
      <c r="G16" s="7"/>
      <c r="H16" s="7"/>
      <c r="I16" s="276" t="str">
        <f>IF(Working!H3="One Year","",CONCATENATE("(",Working!H3," Basis)"))</f>
        <v/>
      </c>
      <c r="J16" s="9"/>
      <c r="K16" s="9"/>
      <c r="L16" s="7"/>
      <c r="M16" s="7"/>
      <c r="N16" s="7"/>
      <c r="O16" s="7"/>
      <c r="P16" s="708"/>
      <c r="Q16" s="1562">
        <v>790000</v>
      </c>
      <c r="R16" s="1563"/>
      <c r="S16" s="127"/>
    </row>
    <row r="17" spans="1:32" ht="13.15" customHeight="1" thickBot="1" x14ac:dyDescent="0.35">
      <c r="A17" s="120"/>
      <c r="B17" s="7"/>
      <c r="C17" s="1567" t="str">
        <f>IF(Working!H3="One Year","",CONCATENATE("(From ",Working!G4," ",Working!H4," ",Working!I4," to ",Working!G5," ",Working!H5," ",Working!I5,")"))</f>
        <v/>
      </c>
      <c r="D17" s="1567"/>
      <c r="E17" s="1567"/>
      <c r="F17" s="1567"/>
      <c r="G17" s="1567"/>
      <c r="H17" s="1567"/>
      <c r="I17" s="1567"/>
      <c r="J17" s="9"/>
      <c r="K17" s="9"/>
      <c r="L17" s="709" t="s">
        <v>168</v>
      </c>
      <c r="M17" s="258"/>
      <c r="N17" s="7"/>
      <c r="O17" s="7"/>
      <c r="P17" s="708"/>
      <c r="Q17" s="1564"/>
      <c r="R17" s="1565"/>
      <c r="S17" s="127"/>
    </row>
    <row r="18" spans="1:32" ht="17.149999999999999" customHeight="1" x14ac:dyDescent="0.3">
      <c r="A18" s="120"/>
      <c r="B18" s="7"/>
      <c r="C18" s="1567"/>
      <c r="D18" s="1567"/>
      <c r="E18" s="1567"/>
      <c r="F18" s="1567"/>
      <c r="G18" s="1567"/>
      <c r="H18" s="1567"/>
      <c r="I18" s="1567"/>
      <c r="J18" s="9"/>
      <c r="K18" s="9"/>
      <c r="L18" s="77" t="s">
        <v>13</v>
      </c>
      <c r="M18" s="7"/>
      <c r="N18" s="7"/>
      <c r="O18" s="7"/>
      <c r="P18" s="7"/>
      <c r="Q18" s="261" t="s">
        <v>26</v>
      </c>
      <c r="R18" s="266">
        <f ca="1">'TW Working'!C6-'TW Working'!H11-'TW Working'!H10</f>
        <v>6314.765447154472</v>
      </c>
      <c r="S18" s="127"/>
    </row>
    <row r="19" spans="1:32" ht="15" customHeight="1" x14ac:dyDescent="0.3">
      <c r="A19" s="120"/>
      <c r="B19" s="7"/>
      <c r="C19" s="712" t="s">
        <v>518</v>
      </c>
      <c r="D19" s="710"/>
      <c r="E19" s="710"/>
      <c r="F19" s="710"/>
      <c r="G19" s="710"/>
      <c r="H19" s="710"/>
      <c r="I19" s="710"/>
      <c r="J19" s="9"/>
      <c r="K19" s="9"/>
      <c r="L19" s="77" t="s">
        <v>23</v>
      </c>
      <c r="M19" s="258"/>
      <c r="N19" s="7"/>
      <c r="O19" s="7"/>
      <c r="P19" s="7"/>
      <c r="Q19" s="261" t="s">
        <v>26</v>
      </c>
      <c r="R19" s="266">
        <f ca="1">'TW Working'!H10*Administration!IR9</f>
        <v>1975</v>
      </c>
      <c r="S19" s="127"/>
      <c r="T19" s="646" t="s">
        <v>58</v>
      </c>
    </row>
    <row r="20" spans="1:32" ht="17.149999999999999" customHeight="1" x14ac:dyDescent="0.3">
      <c r="A20" s="120"/>
      <c r="B20" s="7"/>
      <c r="C20" s="1566" t="s">
        <v>519</v>
      </c>
      <c r="D20" s="1566"/>
      <c r="E20" s="1566"/>
      <c r="F20" s="1566"/>
      <c r="G20" s="1566"/>
      <c r="H20" s="1566"/>
      <c r="I20" s="1566"/>
      <c r="J20" s="1566"/>
      <c r="K20" s="9"/>
      <c r="L20" s="265" t="s">
        <v>24</v>
      </c>
      <c r="M20" s="7"/>
      <c r="N20" s="7"/>
      <c r="O20" s="7"/>
      <c r="P20" s="7"/>
      <c r="Q20" s="261" t="s">
        <v>26</v>
      </c>
      <c r="R20" s="266">
        <f ca="1">'TW Working'!H11*Administration!IR9</f>
        <v>493.75</v>
      </c>
      <c r="S20" s="127"/>
      <c r="T20" s="754" t="s">
        <v>78</v>
      </c>
    </row>
    <row r="21" spans="1:32" ht="17.149999999999999" customHeight="1" x14ac:dyDescent="0.3">
      <c r="A21" s="120"/>
      <c r="B21" s="7"/>
      <c r="C21" s="1566"/>
      <c r="D21" s="1566"/>
      <c r="E21" s="1566"/>
      <c r="F21" s="1566"/>
      <c r="G21" s="1566"/>
      <c r="H21" s="1566"/>
      <c r="I21" s="1566"/>
      <c r="J21" s="1566"/>
      <c r="K21" s="9"/>
      <c r="L21" s="265" t="s">
        <v>146</v>
      </c>
      <c r="M21" s="7"/>
      <c r="N21" s="7"/>
      <c r="O21" s="7"/>
      <c r="P21" s="7"/>
      <c r="Q21" s="261" t="s">
        <v>26</v>
      </c>
      <c r="R21" s="266">
        <f ca="1">'TW Working'!C7+'TW Working'!C8+'TW Working'!C9</f>
        <v>3294.5878861788619</v>
      </c>
      <c r="S21" s="127"/>
      <c r="T21" s="646" t="str">
        <f>IF(Q16&gt;=700000,"Terrorism","")</f>
        <v>Terrorism</v>
      </c>
    </row>
    <row r="22" spans="1:32" ht="17.149999999999999" customHeight="1" thickBot="1" x14ac:dyDescent="0.35">
      <c r="A22" s="120"/>
      <c r="B22" s="7"/>
      <c r="C22" s="1566"/>
      <c r="D22" s="1566"/>
      <c r="E22" s="1566"/>
      <c r="F22" s="1566"/>
      <c r="G22" s="1566"/>
      <c r="H22" s="1566"/>
      <c r="I22" s="1566"/>
      <c r="J22" s="1566"/>
      <c r="K22" s="9"/>
      <c r="L22" s="265" t="str">
        <f>IF(Rates!$F$20="Yes","Nation Building Levy (NBL)","VAT")</f>
        <v>VAT</v>
      </c>
      <c r="M22" s="7"/>
      <c r="N22" s="7"/>
      <c r="O22" s="7"/>
      <c r="P22" s="7"/>
      <c r="Q22" s="261" t="s">
        <v>26</v>
      </c>
      <c r="R22" s="266">
        <f ca="1">'TW Working'!C10</f>
        <v>2174.0586000000003</v>
      </c>
      <c r="S22" s="127"/>
      <c r="T22" s="754" t="str">
        <f>IF(Q16&lt;700000,T20,"Yes")</f>
        <v>Yes</v>
      </c>
    </row>
    <row r="23" spans="1:32" ht="17.149999999999999" customHeight="1" thickTop="1" thickBot="1" x14ac:dyDescent="0.35">
      <c r="A23" s="120"/>
      <c r="B23" s="7"/>
      <c r="C23" s="1566"/>
      <c r="D23" s="1566"/>
      <c r="E23" s="1566"/>
      <c r="F23" s="1566"/>
      <c r="G23" s="1566"/>
      <c r="H23" s="1566"/>
      <c r="I23" s="1566"/>
      <c r="J23" s="1566"/>
      <c r="K23" s="9"/>
      <c r="L23" s="77" t="str">
        <f>IF(Rates!$F$20="Yes","VAT","Total Contribution")</f>
        <v>Total Contribution</v>
      </c>
      <c r="M23" s="7"/>
      <c r="N23" s="7"/>
      <c r="O23" s="7"/>
      <c r="P23" s="7"/>
      <c r="Q23" s="261" t="s">
        <v>26</v>
      </c>
      <c r="R23" s="722">
        <f ca="1">SUM(R18:R22)*Administration!IR9</f>
        <v>14252.161933333335</v>
      </c>
      <c r="S23" s="127"/>
      <c r="Y23" s="642"/>
    </row>
    <row r="24" spans="1:32" ht="17.149999999999999" customHeight="1" thickTop="1" x14ac:dyDescent="0.3">
      <c r="A24" s="120"/>
      <c r="B24" s="7"/>
      <c r="C24" s="1566"/>
      <c r="D24" s="1566"/>
      <c r="E24" s="1566"/>
      <c r="F24" s="1566"/>
      <c r="G24" s="1566"/>
      <c r="H24" s="1566"/>
      <c r="I24" s="1566"/>
      <c r="J24" s="1566"/>
      <c r="K24" s="9"/>
      <c r="L24" s="1569" t="str">
        <f ca="1">IF(Administration!IR9=1,CONCATENATE("         ** Special Leasing Promotion        Exclusively for ",C13),"Quotation Expired")</f>
        <v xml:space="preserve">         ** Special Leasing Promotion        Exclusively for ALLIANZ FINANCE</v>
      </c>
      <c r="M24" s="1569"/>
      <c r="N24" s="1569"/>
      <c r="O24" s="1569"/>
      <c r="P24" s="1569"/>
      <c r="Q24" s="1569"/>
      <c r="R24" s="1569"/>
      <c r="S24" s="127"/>
    </row>
    <row r="25" spans="1:32" ht="25.15" customHeight="1" x14ac:dyDescent="0.3">
      <c r="A25" s="120"/>
      <c r="B25" s="7"/>
      <c r="C25" s="711"/>
      <c r="D25" s="711"/>
      <c r="E25" s="711"/>
      <c r="F25" s="711"/>
      <c r="G25" s="711"/>
      <c r="H25" s="711"/>
      <c r="I25" s="711"/>
      <c r="J25" s="711"/>
      <c r="K25" s="9"/>
      <c r="L25" s="1569"/>
      <c r="M25" s="1569"/>
      <c r="N25" s="1569"/>
      <c r="O25" s="1569"/>
      <c r="P25" s="1569"/>
      <c r="Q25" s="1569"/>
      <c r="R25" s="1569"/>
      <c r="S25" s="739"/>
      <c r="X25" s="642"/>
      <c r="AB25" s="643"/>
    </row>
    <row r="26" spans="1:32" ht="14.25" hidden="1" customHeight="1" x14ac:dyDescent="0.3">
      <c r="A26" s="120"/>
      <c r="B26" s="7"/>
      <c r="C26" s="334"/>
      <c r="D26" s="334"/>
      <c r="E26" s="334"/>
      <c r="F26" s="334"/>
      <c r="G26" s="334"/>
      <c r="H26" s="334"/>
      <c r="I26" s="334"/>
      <c r="J26" s="334"/>
      <c r="K26" s="334"/>
      <c r="L26" s="334"/>
      <c r="M26" s="334"/>
      <c r="N26" s="334"/>
      <c r="O26" s="334"/>
      <c r="P26" s="334"/>
      <c r="Q26" s="334"/>
      <c r="R26" s="334"/>
      <c r="S26" s="127"/>
    </row>
    <row r="27" spans="1:32" ht="14.25" hidden="1" customHeight="1" x14ac:dyDescent="0.3">
      <c r="A27" s="120"/>
      <c r="B27" s="7"/>
      <c r="C27" s="334"/>
      <c r="D27" s="334"/>
      <c r="E27" s="334"/>
      <c r="F27" s="334"/>
      <c r="G27" s="334"/>
      <c r="H27" s="334"/>
      <c r="I27" s="334"/>
      <c r="J27" s="334"/>
      <c r="K27" s="334"/>
      <c r="L27" s="334"/>
      <c r="M27" s="334"/>
      <c r="N27" s="334"/>
      <c r="O27" s="334"/>
      <c r="P27" s="334"/>
      <c r="Q27" s="334"/>
      <c r="R27" s="334"/>
      <c r="S27" s="129"/>
    </row>
    <row r="28" spans="1:32" ht="18" customHeight="1" x14ac:dyDescent="0.3">
      <c r="A28" s="120"/>
      <c r="B28" s="7"/>
      <c r="C28" s="324" t="s">
        <v>293</v>
      </c>
      <c r="D28" s="333"/>
      <c r="E28" s="333"/>
      <c r="F28" s="333"/>
      <c r="G28" s="333"/>
      <c r="H28" s="333"/>
      <c r="I28" s="333"/>
      <c r="J28" s="333"/>
      <c r="K28" s="333"/>
      <c r="L28" s="333"/>
      <c r="M28" s="333"/>
      <c r="N28" s="333"/>
      <c r="O28" s="333"/>
      <c r="P28" s="333"/>
      <c r="Q28" s="333"/>
      <c r="R28" s="651"/>
      <c r="S28" s="129"/>
      <c r="V28" s="714"/>
      <c r="W28" s="714"/>
      <c r="X28" s="714"/>
      <c r="Y28" s="714"/>
      <c r="Z28" s="714"/>
      <c r="AA28" s="714"/>
      <c r="AB28" s="714"/>
      <c r="AC28" s="714"/>
      <c r="AD28" s="545"/>
      <c r="AE28" s="545"/>
      <c r="AF28" s="545"/>
    </row>
    <row r="29" spans="1:32" ht="18" customHeight="1" x14ac:dyDescent="0.3">
      <c r="A29" s="120"/>
      <c r="B29" s="7"/>
      <c r="C29" s="327" t="s">
        <v>291</v>
      </c>
      <c r="D29" s="329" t="s">
        <v>319</v>
      </c>
      <c r="E29" s="334"/>
      <c r="F29" s="334"/>
      <c r="G29" s="334"/>
      <c r="H29" s="334"/>
      <c r="I29" s="334"/>
      <c r="J29" s="334"/>
      <c r="K29" s="334"/>
      <c r="L29" s="334"/>
      <c r="M29" s="334"/>
      <c r="N29" s="334"/>
      <c r="O29" s="334"/>
      <c r="P29" s="334"/>
      <c r="Q29" s="334"/>
      <c r="R29" s="652"/>
      <c r="S29" s="129"/>
      <c r="V29" s="714"/>
      <c r="W29" s="715"/>
      <c r="X29" s="714"/>
      <c r="Y29" s="714"/>
      <c r="Z29" s="714"/>
      <c r="AA29" s="714"/>
      <c r="AB29" s="716"/>
      <c r="AC29" s="714"/>
      <c r="AD29" s="545"/>
      <c r="AE29" s="545"/>
      <c r="AF29" s="545"/>
    </row>
    <row r="30" spans="1:32" ht="18" customHeight="1" x14ac:dyDescent="0.3">
      <c r="A30" s="120"/>
      <c r="B30" s="7"/>
      <c r="C30" s="327" t="s">
        <v>292</v>
      </c>
      <c r="D30" s="329" t="str">
        <f>CONCATENATE("Third Party Liability"," (Property Damage limited to Rs.",FIXED(MAX(Rates!B55,R33),0),")")</f>
        <v>Third Party Liability (Property Damage limited to Rs.300,000)</v>
      </c>
      <c r="E30" s="334"/>
      <c r="F30" s="334"/>
      <c r="G30" s="334"/>
      <c r="H30" s="334"/>
      <c r="I30" s="334"/>
      <c r="J30" s="334"/>
      <c r="K30" s="334"/>
      <c r="L30" s="334"/>
      <c r="M30" s="334"/>
      <c r="N30" s="334"/>
      <c r="O30" s="334"/>
      <c r="P30" s="334"/>
      <c r="Q30" s="334"/>
      <c r="R30" s="652"/>
      <c r="S30" s="129"/>
      <c r="V30" s="714"/>
      <c r="W30" s="714"/>
      <c r="X30" s="714"/>
      <c r="Y30" s="714"/>
      <c r="Z30" s="714"/>
      <c r="AA30" s="714"/>
      <c r="AB30" s="714"/>
      <c r="AC30" s="714"/>
      <c r="AD30" s="545"/>
      <c r="AE30" s="545"/>
      <c r="AF30" s="545"/>
    </row>
    <row r="31" spans="1:32" ht="18" customHeight="1" x14ac:dyDescent="0.3">
      <c r="A31" s="120"/>
      <c r="B31" s="7"/>
      <c r="C31" s="327" t="s">
        <v>290</v>
      </c>
      <c r="D31" s="329" t="s">
        <v>299</v>
      </c>
      <c r="E31" s="334"/>
      <c r="F31" s="334"/>
      <c r="G31" s="334"/>
      <c r="H31" s="334"/>
      <c r="I31" s="334"/>
      <c r="J31" s="334"/>
      <c r="K31" s="334"/>
      <c r="L31" s="334"/>
      <c r="M31" s="334"/>
      <c r="N31" s="334"/>
      <c r="O31" s="334"/>
      <c r="P31" s="334"/>
      <c r="Q31" s="334"/>
      <c r="R31" s="719"/>
      <c r="S31" s="129"/>
      <c r="V31" s="714"/>
      <c r="W31" s="714"/>
      <c r="X31" s="714"/>
      <c r="Y31" s="714"/>
      <c r="Z31" s="714"/>
      <c r="AA31" s="714"/>
      <c r="AB31" s="714"/>
      <c r="AC31" s="714"/>
      <c r="AD31" s="545"/>
      <c r="AE31" s="545"/>
      <c r="AF31" s="545"/>
    </row>
    <row r="32" spans="1:32" ht="19" customHeight="1" thickBot="1" x14ac:dyDescent="0.45">
      <c r="A32" s="120"/>
      <c r="B32" s="7"/>
      <c r="C32" s="648"/>
      <c r="D32" s="605"/>
      <c r="E32" s="631"/>
      <c r="F32" s="631"/>
      <c r="G32" s="290"/>
      <c r="H32" s="632" t="str">
        <f>IF(Working!B21="Free","FREE",IF(Working!B21="No","N/A","Yes"))</f>
        <v>FREE</v>
      </c>
      <c r="I32" s="607"/>
      <c r="J32" s="279"/>
      <c r="K32" s="9"/>
      <c r="L32" s="647"/>
      <c r="M32" s="605"/>
      <c r="N32" s="24"/>
      <c r="O32" s="79"/>
      <c r="P32" s="9"/>
      <c r="Q32" s="7"/>
      <c r="R32" s="605"/>
      <c r="S32" s="128"/>
      <c r="T32" s="654" t="s">
        <v>520</v>
      </c>
      <c r="U32" s="281" t="str">
        <f>Working!B21</f>
        <v>Free</v>
      </c>
      <c r="V32" s="714" t="s">
        <v>17</v>
      </c>
      <c r="W32" s="713">
        <f>IF(OR(Working!R25=2,Working!AA25=1),1,0)</f>
        <v>0</v>
      </c>
      <c r="X32" s="714"/>
      <c r="Y32" s="714"/>
      <c r="Z32" s="717">
        <f>IF(AND(Working!AA25=1,Working!R25=2),MAX(Working!H25,Rates!C40),IF(AND(Working!AA25=1,Working!R25&lt;2),Rates!C40,IF(AND(Working!AA25=0,Working!R25=2),Working!H25,0)))</f>
        <v>0</v>
      </c>
      <c r="AA32" s="714"/>
      <c r="AB32" s="714"/>
      <c r="AC32" s="714"/>
      <c r="AD32" s="545"/>
      <c r="AE32" s="545"/>
      <c r="AF32" s="545"/>
    </row>
    <row r="33" spans="1:32" ht="19" customHeight="1" thickBot="1" x14ac:dyDescent="0.4">
      <c r="A33" s="120"/>
      <c r="B33" s="7"/>
      <c r="C33" s="21" t="s">
        <v>9</v>
      </c>
      <c r="D33" s="77" t="s">
        <v>530</v>
      </c>
      <c r="E33" s="10"/>
      <c r="F33" s="10"/>
      <c r="G33" s="10"/>
      <c r="H33" s="9"/>
      <c r="I33" s="9"/>
      <c r="J33" s="279"/>
      <c r="K33" s="9"/>
      <c r="L33" s="21" t="s">
        <v>9</v>
      </c>
      <c r="M33" s="609" t="s">
        <v>6</v>
      </c>
      <c r="N33" s="8"/>
      <c r="O33" s="11"/>
      <c r="P33" s="11"/>
      <c r="Q33" s="11"/>
      <c r="R33" s="696">
        <v>300000</v>
      </c>
      <c r="S33" s="126"/>
      <c r="T33" s="655" t="s">
        <v>0</v>
      </c>
      <c r="U33" s="287" t="str">
        <f>Working!B39</f>
        <v>Yes</v>
      </c>
      <c r="V33" s="714" t="s">
        <v>38</v>
      </c>
      <c r="W33" s="713">
        <f>Working!R29</f>
        <v>1</v>
      </c>
      <c r="X33" s="714"/>
      <c r="Y33" s="714"/>
      <c r="Z33" s="714"/>
      <c r="AA33" s="714"/>
      <c r="AB33" s="714"/>
      <c r="AC33" s="714"/>
      <c r="AD33" s="545"/>
      <c r="AE33" s="545"/>
      <c r="AF33" s="545"/>
    </row>
    <row r="34" spans="1:32" ht="19" customHeight="1" thickBot="1" x14ac:dyDescent="0.4">
      <c r="A34" s="120"/>
      <c r="B34" s="7"/>
      <c r="C34" s="21" t="s">
        <v>9</v>
      </c>
      <c r="D34" s="77" t="s">
        <v>265</v>
      </c>
      <c r="E34" s="10"/>
      <c r="F34" s="10"/>
      <c r="G34" s="10"/>
      <c r="H34" s="9"/>
      <c r="I34" s="9"/>
      <c r="J34" s="279"/>
      <c r="K34" s="9"/>
      <c r="L34" s="21" t="s">
        <v>9</v>
      </c>
      <c r="M34" s="609" t="s">
        <v>536</v>
      </c>
      <c r="N34" s="11"/>
      <c r="O34" s="11"/>
      <c r="P34" s="117"/>
      <c r="Q34" s="11"/>
      <c r="R34" s="698">
        <v>0</v>
      </c>
      <c r="S34" s="126"/>
      <c r="T34" s="720">
        <v>0</v>
      </c>
      <c r="U34" s="281" t="str">
        <f>Working!B40</f>
        <v>Yes</v>
      </c>
      <c r="V34" s="714" t="s">
        <v>37</v>
      </c>
      <c r="W34" s="713">
        <f>Working!T48</f>
        <v>1</v>
      </c>
      <c r="X34" s="714"/>
      <c r="Y34" s="714"/>
      <c r="Z34" s="714"/>
      <c r="AA34" s="714"/>
      <c r="AB34" s="714"/>
      <c r="AC34" s="714"/>
      <c r="AD34" s="545"/>
      <c r="AE34" s="545"/>
      <c r="AF34" s="545"/>
    </row>
    <row r="35" spans="1:32" ht="19" customHeight="1" thickBot="1" x14ac:dyDescent="0.4">
      <c r="A35" s="120"/>
      <c r="B35" s="7"/>
      <c r="C35" s="21" t="s">
        <v>9</v>
      </c>
      <c r="D35" s="77" t="s">
        <v>266</v>
      </c>
      <c r="E35" s="291"/>
      <c r="F35" s="76"/>
      <c r="G35" s="69"/>
      <c r="H35" s="22"/>
      <c r="I35" s="69"/>
      <c r="J35" s="279"/>
      <c r="K35" s="9"/>
      <c r="L35" s="760" t="s">
        <v>114</v>
      </c>
      <c r="M35" s="77" t="s">
        <v>554</v>
      </c>
      <c r="N35" s="11"/>
      <c r="O35" s="11"/>
      <c r="P35" s="11"/>
      <c r="Q35" s="11"/>
      <c r="R35" s="650"/>
      <c r="S35" s="126"/>
      <c r="U35" s="281">
        <f>IF(Working!Y42&gt;0,1,0)</f>
        <v>0</v>
      </c>
      <c r="V35" s="714" t="s">
        <v>18</v>
      </c>
      <c r="W35" s="713">
        <f>IF(Working!Z42&gt;0,1,0)</f>
        <v>0</v>
      </c>
      <c r="X35" s="714" t="s">
        <v>16</v>
      </c>
      <c r="Y35" s="713">
        <f>IF(Working!X42&gt;0,1,0)</f>
        <v>0</v>
      </c>
      <c r="Z35" s="714" t="s">
        <v>33</v>
      </c>
      <c r="AA35" s="713">
        <f>IF(Working!T47=0,0,Working!O47)</f>
        <v>1</v>
      </c>
      <c r="AB35" s="714"/>
      <c r="AC35" s="714"/>
      <c r="AD35" s="545"/>
      <c r="AE35" s="545"/>
      <c r="AF35" s="545"/>
    </row>
    <row r="36" spans="1:32" ht="19" customHeight="1" thickBot="1" x14ac:dyDescent="0.4">
      <c r="A36" s="120"/>
      <c r="B36" s="7"/>
      <c r="C36" s="21" t="s">
        <v>9</v>
      </c>
      <c r="D36" s="116" t="str">
        <f ca="1">IF(AND(Working!$M$36&lt;0,Working!$I$38="Reveal"),CONCATENATE(K38," - ",MIN(Working!$H$36%,Working!$R$36%)*100,"%"),K38)</f>
        <v>No Claim Bonus (*)</v>
      </c>
      <c r="E36" s="629"/>
      <c r="F36" s="76"/>
      <c r="G36" s="630"/>
      <c r="H36" s="22"/>
      <c r="I36" s="75" t="str">
        <f>IF(I12="Ijarah Leasing","NCB Protection","")</f>
        <v/>
      </c>
      <c r="J36" s="279"/>
      <c r="K36" s="9"/>
      <c r="L36" s="21" t="s">
        <v>9</v>
      </c>
      <c r="M36" s="609" t="s">
        <v>47</v>
      </c>
      <c r="N36" s="11"/>
      <c r="O36" s="11"/>
      <c r="P36" s="11"/>
      <c r="Q36" s="11"/>
      <c r="R36" s="698">
        <v>0</v>
      </c>
      <c r="S36" s="129"/>
      <c r="U36" s="281" t="str">
        <f>Working!B41</f>
        <v>Yes</v>
      </c>
      <c r="V36" s="714" t="s">
        <v>32</v>
      </c>
      <c r="W36" s="713">
        <f>Working!O52</f>
        <v>0</v>
      </c>
      <c r="X36" s="714"/>
      <c r="Y36" s="713"/>
      <c r="Z36" s="714"/>
      <c r="AA36" s="713"/>
      <c r="AB36" s="714"/>
      <c r="AC36" s="714"/>
      <c r="AD36" s="545"/>
      <c r="AE36" s="545"/>
      <c r="AF36" s="545"/>
    </row>
    <row r="37" spans="1:32" ht="19" hidden="1" customHeight="1" x14ac:dyDescent="0.35">
      <c r="A37" s="120"/>
      <c r="B37" s="7"/>
      <c r="C37" s="77"/>
      <c r="D37" s="77"/>
      <c r="E37" s="77"/>
      <c r="F37" s="77"/>
      <c r="G37" s="706" t="s">
        <v>9</v>
      </c>
      <c r="H37" s="706" t="s">
        <v>9</v>
      </c>
      <c r="I37" s="75" t="str">
        <f>IF(I13="Ijarah Leasing","NCB Protection","")</f>
        <v/>
      </c>
      <c r="J37" s="279"/>
      <c r="K37" s="9"/>
      <c r="L37" s="21" t="s">
        <v>9</v>
      </c>
      <c r="M37" s="582"/>
      <c r="N37" s="123"/>
      <c r="O37" s="9"/>
      <c r="P37" s="9"/>
      <c r="Q37" s="74"/>
      <c r="R37" s="376"/>
      <c r="S37" s="129"/>
      <c r="U37" s="281">
        <f>IF(Working!Y43&gt;0,1,0)</f>
        <v>0</v>
      </c>
      <c r="V37" s="714" t="s">
        <v>18</v>
      </c>
      <c r="W37" s="713">
        <f>IF(Working!Z43&gt;0,1,0)</f>
        <v>0</v>
      </c>
      <c r="X37" s="714" t="s">
        <v>16</v>
      </c>
      <c r="Y37" s="713">
        <f>IF(Working!X43&gt;0,1,0)</f>
        <v>0</v>
      </c>
      <c r="Z37" s="714" t="s">
        <v>31</v>
      </c>
      <c r="AA37" s="713">
        <f>IF(OR(Working!Q49&gt;0,Working!H49&gt;0),1,0)</f>
        <v>1</v>
      </c>
      <c r="AB37" s="714">
        <f>IF(AND(Working!T47=1,Working!H49&lt;7500),7500,Working!H49)</f>
        <v>7500</v>
      </c>
      <c r="AC37" s="714"/>
      <c r="AD37" s="545"/>
      <c r="AE37" s="545"/>
      <c r="AF37" s="545"/>
    </row>
    <row r="38" spans="1:32" ht="19" hidden="1" customHeight="1" x14ac:dyDescent="0.35">
      <c r="A38" s="120"/>
      <c r="B38" s="7"/>
      <c r="C38" s="77"/>
      <c r="D38" s="77"/>
      <c r="E38" s="77"/>
      <c r="F38" s="77"/>
      <c r="G38" s="10"/>
      <c r="H38" s="9"/>
      <c r="I38" s="9"/>
      <c r="J38" s="279"/>
      <c r="K38" s="23" t="str">
        <f ca="1">IF(Working!M37&lt;0,"No Claim Bonus (*)","Earned NCB")</f>
        <v>No Claim Bonus (*)</v>
      </c>
      <c r="L38" s="21" t="s">
        <v>9</v>
      </c>
      <c r="M38" s="77"/>
      <c r="N38" s="123"/>
      <c r="O38" s="607"/>
      <c r="P38" s="607"/>
      <c r="Q38" s="606"/>
      <c r="R38" s="649"/>
      <c r="S38" s="129"/>
      <c r="U38" s="281">
        <f>Working!O50</f>
        <v>0</v>
      </c>
      <c r="V38" s="713" t="s">
        <v>30</v>
      </c>
      <c r="W38" s="713">
        <f ca="1">Working!P23</f>
        <v>1</v>
      </c>
      <c r="X38" s="714"/>
      <c r="Y38" s="714"/>
      <c r="Z38" s="714"/>
      <c r="AA38" s="714"/>
      <c r="AB38" s="714"/>
      <c r="AC38" s="714"/>
      <c r="AD38" s="545"/>
      <c r="AE38" s="545"/>
      <c r="AF38" s="545"/>
    </row>
    <row r="39" spans="1:32" ht="19" hidden="1" customHeight="1" x14ac:dyDescent="0.35">
      <c r="A39" s="120"/>
      <c r="B39" s="7"/>
      <c r="C39" s="77"/>
      <c r="D39" s="77"/>
      <c r="E39" s="77"/>
      <c r="F39" s="77"/>
      <c r="G39" s="81"/>
      <c r="H39" s="81"/>
      <c r="I39" s="116"/>
      <c r="J39" s="279"/>
      <c r="K39" s="9"/>
      <c r="L39" s="69" t="s">
        <v>9</v>
      </c>
      <c r="M39" s="267" t="str">
        <f>IF(U42=1,"Duty Free Cover","")</f>
        <v/>
      </c>
      <c r="N39" s="11"/>
      <c r="O39" s="11"/>
      <c r="P39" s="11"/>
      <c r="Q39" s="11"/>
      <c r="R39" s="11"/>
      <c r="S39" s="129"/>
      <c r="T39" s="142" t="s">
        <v>18</v>
      </c>
      <c r="U39" s="281">
        <f>Working!O51</f>
        <v>0</v>
      </c>
      <c r="V39" s="714" t="s">
        <v>29</v>
      </c>
      <c r="W39" s="713">
        <f>Working!O22</f>
        <v>0</v>
      </c>
      <c r="X39" s="714"/>
      <c r="Y39" s="714"/>
      <c r="Z39" s="714"/>
      <c r="AA39" s="714"/>
      <c r="AB39" s="714"/>
      <c r="AC39" s="714"/>
      <c r="AD39" s="545"/>
      <c r="AE39" s="545"/>
      <c r="AF39" s="545"/>
    </row>
    <row r="40" spans="1:32" ht="19" hidden="1" customHeight="1" x14ac:dyDescent="0.35">
      <c r="A40" s="120"/>
      <c r="B40" s="7"/>
      <c r="C40" s="132" t="s">
        <v>9</v>
      </c>
      <c r="D40" s="116" t="str">
        <f>IF($T$40=1,PROPER(Working!$F$58),"")</f>
        <v/>
      </c>
      <c r="E40" s="24"/>
      <c r="F40" s="115"/>
      <c r="G40" s="24"/>
      <c r="H40" s="24"/>
      <c r="I40" s="116"/>
      <c r="J40" s="279"/>
      <c r="K40" s="9"/>
      <c r="L40" s="69" t="s">
        <v>9</v>
      </c>
      <c r="M40" s="116" t="str">
        <f>IF($U$40=1,PROPER(Working!$F$59),"")</f>
        <v/>
      </c>
      <c r="N40" s="11"/>
      <c r="O40" s="11"/>
      <c r="P40" s="11"/>
      <c r="Q40" s="7"/>
      <c r="R40" s="7"/>
      <c r="S40" s="129"/>
      <c r="T40" s="283">
        <f>Working!$O$58</f>
        <v>0</v>
      </c>
      <c r="U40" s="283">
        <f>Working!$O$59</f>
        <v>0</v>
      </c>
      <c r="V40" s="714"/>
      <c r="W40" s="713"/>
      <c r="X40" s="714"/>
      <c r="Y40" s="714"/>
      <c r="Z40" s="714"/>
      <c r="AA40" s="714"/>
      <c r="AB40" s="714"/>
      <c r="AC40" s="714"/>
      <c r="AD40" s="545"/>
      <c r="AE40" s="545"/>
      <c r="AF40" s="545"/>
    </row>
    <row r="41" spans="1:32" ht="18" hidden="1" customHeight="1" x14ac:dyDescent="0.35">
      <c r="A41" s="120"/>
      <c r="B41" s="7"/>
      <c r="C41" s="7"/>
      <c r="D41" s="1559"/>
      <c r="E41" s="1559"/>
      <c r="F41" s="7"/>
      <c r="G41" s="7"/>
      <c r="H41" s="7"/>
      <c r="I41" s="7"/>
      <c r="J41" s="9"/>
      <c r="K41" s="9"/>
      <c r="L41" s="11"/>
      <c r="M41" s="11"/>
      <c r="N41" s="11"/>
      <c r="O41" s="11"/>
      <c r="P41" s="11"/>
      <c r="Q41" s="11"/>
      <c r="R41" s="74"/>
      <c r="S41" s="129"/>
      <c r="T41" s="142" t="s">
        <v>27</v>
      </c>
      <c r="U41" s="281">
        <f>Working!O54</f>
        <v>0</v>
      </c>
      <c r="V41" s="718" t="s">
        <v>0</v>
      </c>
      <c r="W41" s="713">
        <f ca="1">Working!O36</f>
        <v>1</v>
      </c>
      <c r="X41" s="714"/>
      <c r="Y41" s="714"/>
      <c r="Z41" s="714"/>
      <c r="AA41" s="714"/>
      <c r="AB41" s="714"/>
    </row>
    <row r="42" spans="1:32" ht="12" customHeight="1" x14ac:dyDescent="0.3">
      <c r="A42" s="120"/>
      <c r="B42" s="7"/>
      <c r="C42" s="650"/>
      <c r="D42" s="650"/>
      <c r="E42" s="650"/>
      <c r="F42" s="650"/>
      <c r="G42" s="650"/>
      <c r="H42" s="650"/>
      <c r="I42" s="650"/>
      <c r="J42" s="650"/>
      <c r="K42" s="650"/>
      <c r="L42" s="650"/>
      <c r="M42" s="650"/>
      <c r="N42" s="650"/>
      <c r="O42" s="650"/>
      <c r="P42" s="650"/>
      <c r="Q42" s="650"/>
      <c r="R42" s="650"/>
      <c r="S42" s="126"/>
      <c r="T42" s="142" t="s">
        <v>43</v>
      </c>
      <c r="U42" s="281">
        <f>IF(Working!B55="Yes",1,0)</f>
        <v>0</v>
      </c>
      <c r="V42" s="714" t="s">
        <v>41</v>
      </c>
      <c r="W42" s="713">
        <v>1</v>
      </c>
      <c r="X42" s="714" t="s">
        <v>42</v>
      </c>
      <c r="Y42" s="714">
        <f>Working!O45</f>
        <v>0</v>
      </c>
      <c r="Z42" s="714"/>
      <c r="AA42" s="714"/>
      <c r="AB42" s="714"/>
    </row>
    <row r="43" spans="1:32" ht="13.5" customHeight="1" x14ac:dyDescent="0.3">
      <c r="A43" s="120"/>
      <c r="B43" s="7"/>
      <c r="C43" s="1554" t="s">
        <v>453</v>
      </c>
      <c r="D43" s="1554"/>
      <c r="E43" s="1554"/>
      <c r="F43" s="1554"/>
      <c r="G43" s="1554"/>
      <c r="H43" s="1554"/>
      <c r="I43" s="1554"/>
      <c r="J43" s="1554"/>
      <c r="K43" s="1554"/>
      <c r="L43" s="1554"/>
      <c r="M43" s="1554"/>
      <c r="N43" s="1554"/>
      <c r="O43" s="1554"/>
      <c r="P43" s="1554"/>
      <c r="Q43" s="1554"/>
      <c r="R43" s="1554"/>
      <c r="S43" s="126"/>
      <c r="T43" s="142" t="s">
        <v>16</v>
      </c>
      <c r="U43" s="281">
        <f>Working!O30</f>
        <v>0</v>
      </c>
      <c r="V43" s="714" t="s">
        <v>44</v>
      </c>
      <c r="W43" s="713">
        <f>Working!E34</f>
        <v>1</v>
      </c>
      <c r="X43" s="714" t="s">
        <v>48</v>
      </c>
      <c r="Y43" s="714" t="str">
        <f>Working!B46</f>
        <v>No</v>
      </c>
      <c r="Z43" s="714" t="s">
        <v>48</v>
      </c>
      <c r="AA43" s="714">
        <f>IF(Working!Q48=0,1,Working!T46)</f>
        <v>0</v>
      </c>
      <c r="AB43" s="714">
        <f>IF(AND(Working!M8="Motor Coach",Working!H9="SLTB Route"),1,0)</f>
        <v>0</v>
      </c>
    </row>
    <row r="44" spans="1:32" ht="18" customHeight="1" x14ac:dyDescent="0.3">
      <c r="A44" s="120"/>
      <c r="B44" s="7"/>
      <c r="C44" s="268" t="s">
        <v>324</v>
      </c>
      <c r="D44" s="292"/>
      <c r="E44" s="292"/>
      <c r="F44" s="292"/>
      <c r="G44" s="80" t="s">
        <v>325</v>
      </c>
      <c r="H44" s="292"/>
      <c r="I44" s="292"/>
      <c r="J44" s="292"/>
      <c r="K44" s="292"/>
      <c r="L44" s="292"/>
      <c r="M44" s="292"/>
      <c r="N44" s="292"/>
      <c r="O44" s="292"/>
      <c r="P44" s="292"/>
      <c r="Q44" s="292"/>
      <c r="R44" s="292"/>
      <c r="S44" s="126"/>
      <c r="U44" s="281"/>
      <c r="V44" s="714"/>
      <c r="W44" s="713"/>
      <c r="X44" s="714"/>
      <c r="Y44" s="714"/>
      <c r="Z44" s="714"/>
      <c r="AA44" s="714"/>
      <c r="AB44" s="714"/>
    </row>
    <row r="45" spans="1:32" ht="18" customHeight="1" x14ac:dyDescent="0.3">
      <c r="A45" s="120"/>
      <c r="B45" s="7">
        <f>IF(AND(Rates!D71="Yes",Working!H12="Hybrid"),1,0)</f>
        <v>0</v>
      </c>
      <c r="C45" s="535" t="s">
        <v>406</v>
      </c>
      <c r="D45" s="292"/>
      <c r="E45" s="292"/>
      <c r="F45" s="292"/>
      <c r="G45" s="292"/>
      <c r="H45" s="271" t="s">
        <v>51</v>
      </c>
      <c r="I45" s="293" t="s">
        <v>555</v>
      </c>
      <c r="J45" s="357"/>
      <c r="K45" s="292"/>
      <c r="L45" s="738" t="str">
        <f>IF(P10="Electric","• Excess on Inverter &amp; Battery : 20%","")</f>
        <v/>
      </c>
      <c r="M45" s="292"/>
      <c r="N45" s="292"/>
      <c r="O45" s="292"/>
      <c r="P45" s="292"/>
      <c r="Q45" s="710"/>
      <c r="R45" s="710"/>
      <c r="S45" s="126"/>
      <c r="U45" s="281"/>
      <c r="W45" s="608"/>
    </row>
    <row r="46" spans="1:32" ht="18" customHeight="1" x14ac:dyDescent="0.3">
      <c r="A46" s="120"/>
      <c r="B46" s="7"/>
      <c r="C46" s="294" t="str">
        <f>IF(U33="Yes","• Flood &amp; Natural Disaster","")</f>
        <v>• Flood &amp; Natural Disaster</v>
      </c>
      <c r="D46" s="710"/>
      <c r="E46" s="735"/>
      <c r="F46" s="735"/>
      <c r="G46" s="735"/>
      <c r="H46" s="292" t="str">
        <f>IF(U33="Yes","-","")</f>
        <v>-</v>
      </c>
      <c r="I46" s="293" t="s">
        <v>532</v>
      </c>
      <c r="J46" s="357"/>
      <c r="K46" s="292"/>
      <c r="L46" s="734" t="s">
        <v>533</v>
      </c>
      <c r="M46" s="735"/>
      <c r="N46" s="295"/>
      <c r="O46" s="295"/>
      <c r="P46" s="292"/>
      <c r="Q46" s="736" t="s">
        <v>51</v>
      </c>
      <c r="R46" s="737" t="s">
        <v>534</v>
      </c>
      <c r="S46" s="126"/>
      <c r="U46" s="281"/>
      <c r="W46" s="608"/>
    </row>
    <row r="47" spans="1:32" ht="18" customHeight="1" x14ac:dyDescent="0.3">
      <c r="A47" s="120"/>
      <c r="B47" s="7"/>
      <c r="C47" s="710"/>
      <c r="D47" s="529"/>
      <c r="E47" s="529"/>
      <c r="F47" s="529"/>
      <c r="G47" s="529"/>
      <c r="H47" s="529"/>
      <c r="I47" s="529"/>
      <c r="J47" s="530"/>
      <c r="K47" s="484"/>
      <c r="L47" s="484"/>
      <c r="M47" s="484"/>
      <c r="N47" s="484"/>
      <c r="O47" s="484"/>
      <c r="P47" s="484"/>
      <c r="Q47" s="292"/>
      <c r="R47" s="292"/>
      <c r="S47" s="126"/>
      <c r="U47" s="281"/>
      <c r="W47" s="608"/>
    </row>
    <row r="48" spans="1:32" ht="18" customHeight="1" x14ac:dyDescent="0.3">
      <c r="A48" s="120"/>
      <c r="B48" s="7"/>
      <c r="C48" s="1547" t="s">
        <v>300</v>
      </c>
      <c r="D48" s="1548"/>
      <c r="E48" s="1548"/>
      <c r="F48" s="1548"/>
      <c r="G48" s="1548"/>
      <c r="H48" s="1548"/>
      <c r="I48" s="1548"/>
      <c r="J48" s="1548"/>
      <c r="K48" s="1548"/>
      <c r="L48" s="1548"/>
      <c r="M48" s="1548"/>
      <c r="N48" s="1548"/>
      <c r="O48" s="1548"/>
      <c r="P48" s="1548"/>
      <c r="Q48" s="1548"/>
      <c r="R48" s="1548"/>
      <c r="S48" s="126"/>
      <c r="U48" s="281"/>
      <c r="W48" s="608"/>
    </row>
    <row r="49" spans="1:24" ht="16.5" customHeight="1" x14ac:dyDescent="0.3">
      <c r="A49" s="120"/>
      <c r="B49" s="7"/>
      <c r="C49" s="728" t="s">
        <v>537</v>
      </c>
      <c r="D49" s="729"/>
      <c r="E49" s="729"/>
      <c r="F49" s="729"/>
      <c r="G49" s="729"/>
      <c r="H49" s="729"/>
      <c r="I49" s="730"/>
      <c r="J49" s="730"/>
      <c r="K49" s="730"/>
      <c r="L49" s="730"/>
      <c r="M49" s="730"/>
      <c r="N49" s="730"/>
      <c r="O49" s="730"/>
      <c r="P49" s="730"/>
      <c r="Q49" s="730"/>
      <c r="R49" s="730"/>
      <c r="S49" s="126"/>
      <c r="T49" s="142" t="s">
        <v>132</v>
      </c>
      <c r="U49" s="282">
        <f>IF(AND(Working!M8="Motor Coach",Working!H9="SLTB Route"),1,0)</f>
        <v>0</v>
      </c>
      <c r="V49" s="559" t="s">
        <v>28</v>
      </c>
      <c r="W49" s="608">
        <f>Working!O56</f>
        <v>0</v>
      </c>
      <c r="X49" s="559" t="str">
        <f ca="1">IF(Working!M36&lt;0,"NCB allowed is subject to documentary evidence.","")</f>
        <v/>
      </c>
    </row>
    <row r="50" spans="1:24" ht="24" customHeight="1" x14ac:dyDescent="0.3">
      <c r="A50" s="120"/>
      <c r="B50" s="7"/>
      <c r="C50" s="731" t="s">
        <v>538</v>
      </c>
      <c r="D50" s="732"/>
      <c r="E50" s="732"/>
      <c r="F50" s="732"/>
      <c r="G50" s="732"/>
      <c r="H50" s="732"/>
      <c r="I50" s="733"/>
      <c r="J50" s="733"/>
      <c r="K50" s="733"/>
      <c r="L50" s="733"/>
      <c r="M50" s="733"/>
      <c r="N50" s="733"/>
      <c r="O50" s="733"/>
      <c r="P50" s="733"/>
      <c r="Q50" s="733"/>
      <c r="R50" s="733"/>
      <c r="S50" s="126"/>
    </row>
    <row r="51" spans="1:24" ht="28.5" customHeight="1" x14ac:dyDescent="0.3">
      <c r="A51" s="120"/>
      <c r="B51" s="7"/>
      <c r="C51" s="1558" t="s">
        <v>539</v>
      </c>
      <c r="D51" s="1558"/>
      <c r="E51" s="1558"/>
      <c r="F51" s="1558"/>
      <c r="G51" s="1558"/>
      <c r="H51" s="1558"/>
      <c r="I51" s="1558"/>
      <c r="J51" s="1558"/>
      <c r="K51" s="1558"/>
      <c r="L51" s="1558"/>
      <c r="M51" s="1558"/>
      <c r="N51" s="1558"/>
      <c r="O51" s="1558"/>
      <c r="P51" s="1558"/>
      <c r="Q51" s="1558"/>
      <c r="R51" s="1558"/>
      <c r="S51" s="126"/>
    </row>
    <row r="52" spans="1:24" ht="46.5" customHeight="1" x14ac:dyDescent="0.3">
      <c r="A52" s="120"/>
      <c r="B52" s="7"/>
      <c r="C52" s="1536" t="s">
        <v>576</v>
      </c>
      <c r="D52" s="1537"/>
      <c r="E52" s="1537"/>
      <c r="F52" s="1537"/>
      <c r="G52" s="1537"/>
      <c r="H52" s="1537"/>
      <c r="I52" s="1537"/>
      <c r="J52" s="1537"/>
      <c r="K52" s="1537"/>
      <c r="L52" s="1537"/>
      <c r="M52" s="1537"/>
      <c r="N52" s="1537"/>
      <c r="O52" s="1537"/>
      <c r="P52" s="1537"/>
      <c r="Q52" s="1537"/>
      <c r="R52" s="1537"/>
      <c r="S52" s="129"/>
    </row>
    <row r="53" spans="1:24" ht="15" customHeight="1" x14ac:dyDescent="0.3">
      <c r="A53" s="120"/>
      <c r="B53" s="7"/>
      <c r="C53" s="727"/>
      <c r="D53" s="275"/>
      <c r="E53" s="275"/>
      <c r="F53" s="275"/>
      <c r="G53" s="275"/>
      <c r="H53" s="275"/>
      <c r="I53" s="275"/>
      <c r="J53" s="228"/>
      <c r="K53" s="228"/>
      <c r="L53" s="228"/>
      <c r="M53" s="228"/>
      <c r="N53" s="228"/>
      <c r="O53" s="228"/>
      <c r="P53" s="228"/>
      <c r="Q53" s="228"/>
      <c r="R53" s="228"/>
      <c r="S53" s="129"/>
    </row>
    <row r="54" spans="1:24" ht="29.25" customHeight="1" x14ac:dyDescent="0.3">
      <c r="A54" s="120"/>
      <c r="B54" s="7"/>
      <c r="C54" s="1550"/>
      <c r="D54" s="1551"/>
      <c r="E54" s="1551"/>
      <c r="F54" s="1551"/>
      <c r="G54" s="1551"/>
      <c r="H54" s="1551"/>
      <c r="I54" s="1551"/>
      <c r="J54" s="1551"/>
      <c r="K54" s="1551"/>
      <c r="L54" s="1551"/>
      <c r="M54" s="1551"/>
      <c r="N54" s="278"/>
      <c r="O54" s="278"/>
      <c r="P54" s="278"/>
      <c r="Q54" s="278"/>
      <c r="R54" s="278"/>
      <c r="S54" s="129"/>
    </row>
    <row r="55" spans="1:24" ht="26.25" customHeight="1" x14ac:dyDescent="0.3">
      <c r="A55" s="120"/>
      <c r="B55" s="7"/>
      <c r="C55" s="1551"/>
      <c r="D55" s="1551"/>
      <c r="E55" s="1551"/>
      <c r="F55" s="1551"/>
      <c r="G55" s="1551"/>
      <c r="H55" s="1551"/>
      <c r="I55" s="1551"/>
      <c r="J55" s="1551"/>
      <c r="K55" s="1551"/>
      <c r="L55" s="1551"/>
      <c r="M55" s="1551"/>
      <c r="N55" s="278"/>
      <c r="O55" s="278"/>
      <c r="P55" s="278"/>
      <c r="Q55" s="278"/>
      <c r="R55" s="278"/>
      <c r="S55" s="129"/>
      <c r="V55" s="559">
        <f>IF(OR(Working!E61=0,Working!E61=""),1,0)</f>
        <v>1</v>
      </c>
    </row>
    <row r="56" spans="1:24" ht="18" customHeight="1" x14ac:dyDescent="0.3">
      <c r="A56" s="120"/>
      <c r="B56" s="7"/>
      <c r="C56" s="378"/>
      <c r="D56" s="322"/>
      <c r="E56" s="322"/>
      <c r="F56" s="322"/>
      <c r="G56" s="322"/>
      <c r="H56" s="322"/>
      <c r="I56" s="322"/>
      <c r="J56" s="322"/>
      <c r="K56" s="322"/>
      <c r="L56" s="322"/>
      <c r="M56" s="322"/>
      <c r="N56" s="1553"/>
      <c r="O56" s="1553"/>
      <c r="P56" s="1553"/>
      <c r="Q56" s="1553"/>
      <c r="R56" s="1553"/>
      <c r="S56" s="129"/>
    </row>
    <row r="57" spans="1:24" ht="30.75" hidden="1" customHeight="1" x14ac:dyDescent="0.3">
      <c r="A57" s="120"/>
      <c r="B57" s="7"/>
      <c r="C57" s="377"/>
      <c r="D57" s="322"/>
      <c r="E57" s="322"/>
      <c r="F57" s="322"/>
      <c r="G57" s="322"/>
      <c r="H57" s="322"/>
      <c r="I57" s="322"/>
      <c r="J57" s="322"/>
      <c r="K57" s="322"/>
      <c r="L57" s="322"/>
      <c r="M57" s="322"/>
      <c r="N57" s="322"/>
      <c r="O57" s="322"/>
      <c r="P57" s="322"/>
      <c r="Q57" s="322"/>
      <c r="R57" s="322"/>
      <c r="S57" s="129"/>
    </row>
    <row r="58" spans="1:24" ht="15.75" hidden="1" customHeight="1" x14ac:dyDescent="0.3">
      <c r="A58" s="120"/>
      <c r="B58" s="7"/>
      <c r="C58" s="1546"/>
      <c r="D58" s="1546"/>
      <c r="E58" s="1546"/>
      <c r="F58" s="1546"/>
      <c r="G58" s="1546"/>
      <c r="H58" s="1546"/>
      <c r="I58" s="1546"/>
      <c r="J58" s="264"/>
      <c r="K58" s="264"/>
      <c r="L58" s="264"/>
      <c r="M58" s="14"/>
      <c r="N58" s="295"/>
      <c r="O58" s="295"/>
      <c r="P58" s="295"/>
      <c r="Q58" s="295"/>
      <c r="R58" s="295"/>
      <c r="S58" s="130"/>
    </row>
    <row r="59" spans="1:24" ht="19.5" customHeight="1" x14ac:dyDescent="0.3">
      <c r="A59" s="120"/>
      <c r="B59" s="7"/>
      <c r="C59" s="1545"/>
      <c r="D59" s="1545"/>
      <c r="E59" s="1545"/>
      <c r="F59" s="1545"/>
      <c r="G59" s="1545"/>
      <c r="H59" s="1545"/>
      <c r="I59" s="1545"/>
      <c r="J59" s="7"/>
      <c r="K59" s="7"/>
      <c r="L59" s="14"/>
      <c r="M59" s="14"/>
      <c r="N59" s="131"/>
      <c r="O59" s="131"/>
      <c r="P59" s="131"/>
      <c r="Q59" s="131"/>
      <c r="R59" s="131"/>
      <c r="S59" s="130"/>
    </row>
    <row r="60" spans="1:24" ht="15" customHeight="1" thickBot="1" x14ac:dyDescent="0.3">
      <c r="A60" s="574"/>
      <c r="B60" s="575"/>
      <c r="C60" s="576" t="str">
        <f ca="1">CONCATENATE("[M - ",-ROUND('TW Working'!F3*100,3),"]  [N - ",-ROUND('TW Working'!F7*100,3),"]  [I - ",'TW Working'!C8," ]")</f>
        <v>[M - 12.534]  [N - 65]  [I - 2000 ]</v>
      </c>
      <c r="D60" s="575"/>
      <c r="E60" s="575"/>
      <c r="F60" s="575"/>
      <c r="G60" s="575"/>
      <c r="H60" s="575"/>
      <c r="I60" s="575"/>
      <c r="J60" s="575"/>
      <c r="K60" s="575"/>
      <c r="L60" s="575"/>
      <c r="M60" s="575"/>
      <c r="N60" s="575"/>
      <c r="O60" s="577"/>
      <c r="P60" s="578"/>
      <c r="Q60" s="579"/>
      <c r="R60" s="580"/>
      <c r="S60" s="581"/>
    </row>
    <row r="61" spans="1:24" ht="16" hidden="1" thickTop="1" x14ac:dyDescent="0.35">
      <c r="A61" s="284"/>
      <c r="D61" s="229"/>
      <c r="E61" s="229"/>
      <c r="F61" s="229"/>
      <c r="G61" s="229"/>
      <c r="H61" s="229"/>
      <c r="J61" s="285"/>
      <c r="K61" s="285"/>
      <c r="L61" s="285"/>
      <c r="M61" s="285"/>
      <c r="N61" s="285"/>
      <c r="O61" s="285"/>
      <c r="P61" s="285"/>
      <c r="S61" s="285"/>
    </row>
    <row r="65" spans="1:19" hidden="1" x14ac:dyDescent="0.25">
      <c r="A65" s="1538" t="s">
        <v>401</v>
      </c>
      <c r="B65" s="1538"/>
      <c r="C65" s="1538"/>
      <c r="D65" s="1538"/>
      <c r="E65" s="1538"/>
      <c r="F65" s="1538"/>
      <c r="G65" s="1538"/>
      <c r="H65" s="1538"/>
      <c r="I65" s="1538"/>
      <c r="J65" s="1538"/>
      <c r="K65" s="1538"/>
      <c r="L65" s="1538"/>
      <c r="M65" s="1538"/>
      <c r="N65" s="1538"/>
      <c r="O65" s="1538"/>
      <c r="P65" s="1538"/>
      <c r="Q65" s="1538"/>
      <c r="R65" s="1538"/>
      <c r="S65" s="1538"/>
    </row>
    <row r="66" spans="1:19" hidden="1" x14ac:dyDescent="0.25">
      <c r="A66" s="1538"/>
      <c r="B66" s="1538"/>
      <c r="C66" s="1538"/>
      <c r="D66" s="1538"/>
      <c r="E66" s="1538"/>
      <c r="F66" s="1538"/>
      <c r="G66" s="1538"/>
      <c r="H66" s="1538"/>
      <c r="I66" s="1538"/>
      <c r="J66" s="1538"/>
      <c r="K66" s="1538"/>
      <c r="L66" s="1538"/>
      <c r="M66" s="1538"/>
      <c r="N66" s="1538"/>
      <c r="O66" s="1538"/>
      <c r="P66" s="1538"/>
      <c r="Q66" s="1538"/>
      <c r="R66" s="1538"/>
      <c r="S66" s="1538"/>
    </row>
    <row r="67" spans="1:19" hidden="1" x14ac:dyDescent="0.25">
      <c r="A67" s="1538"/>
      <c r="B67" s="1538"/>
      <c r="C67" s="1538"/>
      <c r="D67" s="1538"/>
      <c r="E67" s="1538"/>
      <c r="F67" s="1538"/>
      <c r="G67" s="1538"/>
      <c r="H67" s="1538"/>
      <c r="I67" s="1538"/>
      <c r="J67" s="1538"/>
      <c r="K67" s="1538"/>
      <c r="L67" s="1538"/>
      <c r="M67" s="1538"/>
      <c r="N67" s="1538"/>
      <c r="O67" s="1538"/>
      <c r="P67" s="1538"/>
      <c r="Q67" s="1538"/>
      <c r="R67" s="1538"/>
      <c r="S67" s="1538"/>
    </row>
    <row r="68" spans="1:19" hidden="1" x14ac:dyDescent="0.25">
      <c r="A68" s="1538"/>
      <c r="B68" s="1538"/>
      <c r="C68" s="1538"/>
      <c r="D68" s="1538"/>
      <c r="E68" s="1538"/>
      <c r="F68" s="1538"/>
      <c r="G68" s="1538"/>
      <c r="H68" s="1538"/>
      <c r="I68" s="1538"/>
      <c r="J68" s="1538"/>
      <c r="K68" s="1538"/>
      <c r="L68" s="1538"/>
      <c r="M68" s="1538"/>
      <c r="N68" s="1538"/>
      <c r="O68" s="1538"/>
      <c r="P68" s="1538"/>
      <c r="Q68" s="1538"/>
      <c r="R68" s="1538"/>
      <c r="S68" s="1538"/>
    </row>
    <row r="69" spans="1:19" hidden="1" x14ac:dyDescent="0.25">
      <c r="A69" s="1538"/>
      <c r="B69" s="1538"/>
      <c r="C69" s="1538"/>
      <c r="D69" s="1538"/>
      <c r="E69" s="1538"/>
      <c r="F69" s="1538"/>
      <c r="G69" s="1538"/>
      <c r="H69" s="1538"/>
      <c r="I69" s="1538"/>
      <c r="J69" s="1538"/>
      <c r="K69" s="1538"/>
      <c r="L69" s="1538"/>
      <c r="M69" s="1538"/>
      <c r="N69" s="1538"/>
      <c r="O69" s="1538"/>
      <c r="P69" s="1538"/>
      <c r="Q69" s="1538"/>
      <c r="R69" s="1538"/>
      <c r="S69" s="1538"/>
    </row>
    <row r="70" spans="1:19" hidden="1" x14ac:dyDescent="0.25">
      <c r="A70" s="1538"/>
      <c r="B70" s="1538"/>
      <c r="C70" s="1538"/>
      <c r="D70" s="1538"/>
      <c r="E70" s="1538"/>
      <c r="F70" s="1538"/>
      <c r="G70" s="1538"/>
      <c r="H70" s="1538"/>
      <c r="I70" s="1538"/>
      <c r="J70" s="1538"/>
      <c r="K70" s="1538"/>
      <c r="L70" s="1538"/>
      <c r="M70" s="1538"/>
      <c r="N70" s="1538"/>
      <c r="O70" s="1538"/>
      <c r="P70" s="1538"/>
      <c r="Q70" s="1538"/>
      <c r="R70" s="1538"/>
      <c r="S70" s="1538"/>
    </row>
    <row r="71" spans="1:19" hidden="1" x14ac:dyDescent="0.25">
      <c r="A71" s="1538"/>
      <c r="B71" s="1538"/>
      <c r="C71" s="1538"/>
      <c r="D71" s="1538"/>
      <c r="E71" s="1538"/>
      <c r="F71" s="1538"/>
      <c r="G71" s="1538"/>
      <c r="H71" s="1538"/>
      <c r="I71" s="1538"/>
      <c r="J71" s="1538"/>
      <c r="K71" s="1538"/>
      <c r="L71" s="1538"/>
      <c r="M71" s="1538"/>
      <c r="N71" s="1538"/>
      <c r="O71" s="1538"/>
      <c r="P71" s="1538"/>
      <c r="Q71" s="1538"/>
      <c r="R71" s="1538"/>
      <c r="S71" s="1538"/>
    </row>
    <row r="86" spans="6:18" ht="14" hidden="1" x14ac:dyDescent="0.25">
      <c r="I86" s="486" t="s">
        <v>455</v>
      </c>
    </row>
    <row r="87" spans="6:18" ht="14" hidden="1" x14ac:dyDescent="0.25">
      <c r="F87" s="545" t="s">
        <v>458</v>
      </c>
      <c r="I87" s="545" t="s">
        <v>458</v>
      </c>
      <c r="R87" s="486" t="s">
        <v>454</v>
      </c>
    </row>
    <row r="88" spans="6:18" ht="14" hidden="1" x14ac:dyDescent="0.25">
      <c r="I88" s="545" t="s">
        <v>461</v>
      </c>
      <c r="R88" s="486" t="s">
        <v>524</v>
      </c>
    </row>
    <row r="89" spans="6:18" ht="14" hidden="1" x14ac:dyDescent="0.25">
      <c r="I89" s="545" t="s">
        <v>469</v>
      </c>
      <c r="R89" s="486" t="s">
        <v>455</v>
      </c>
    </row>
    <row r="90" spans="6:18" ht="14" hidden="1" x14ac:dyDescent="0.25">
      <c r="I90" s="545" t="s">
        <v>523</v>
      </c>
      <c r="R90" s="486" t="s">
        <v>382</v>
      </c>
    </row>
    <row r="91" spans="6:18" ht="14" hidden="1" x14ac:dyDescent="0.25">
      <c r="I91" s="545" t="s">
        <v>472</v>
      </c>
      <c r="R91" s="486" t="s">
        <v>455</v>
      </c>
    </row>
    <row r="92" spans="6:18" ht="14" hidden="1" x14ac:dyDescent="0.25">
      <c r="I92" s="545" t="s">
        <v>480</v>
      </c>
      <c r="R92" s="486" t="s">
        <v>456</v>
      </c>
    </row>
    <row r="93" spans="6:18" ht="14" hidden="1" x14ac:dyDescent="0.25">
      <c r="I93" s="545" t="s">
        <v>481</v>
      </c>
      <c r="R93" s="486" t="s">
        <v>457</v>
      </c>
    </row>
    <row r="94" spans="6:18" ht="14" hidden="1" x14ac:dyDescent="0.25">
      <c r="I94" s="545" t="s">
        <v>485</v>
      </c>
      <c r="R94" s="486" t="s">
        <v>383</v>
      </c>
    </row>
    <row r="95" spans="6:18" ht="14" hidden="1" x14ac:dyDescent="0.25">
      <c r="I95" s="545" t="s">
        <v>491</v>
      </c>
      <c r="R95" s="486" t="s">
        <v>459</v>
      </c>
    </row>
    <row r="96" spans="6:18" ht="14" hidden="1" x14ac:dyDescent="0.25">
      <c r="I96" s="545" t="s">
        <v>498</v>
      </c>
      <c r="R96" s="486" t="s">
        <v>390</v>
      </c>
    </row>
    <row r="97" spans="9:18" ht="28" hidden="1" x14ac:dyDescent="0.25">
      <c r="I97" s="545" t="s">
        <v>501</v>
      </c>
      <c r="R97" s="486" t="s">
        <v>460</v>
      </c>
    </row>
    <row r="98" spans="9:18" ht="14" hidden="1" x14ac:dyDescent="0.25">
      <c r="I98" s="545" t="s">
        <v>506</v>
      </c>
      <c r="R98" s="486" t="s">
        <v>431</v>
      </c>
    </row>
    <row r="99" spans="9:18" ht="14" hidden="1" x14ac:dyDescent="0.25">
      <c r="R99" s="486" t="s">
        <v>462</v>
      </c>
    </row>
    <row r="100" spans="9:18" ht="28" hidden="1" x14ac:dyDescent="0.25">
      <c r="I100" s="545">
        <f>IF(OR(F87=I86,F87=I87,F87=I88,F87=I89,F87=I90,F87=I91,F87=I92,F87=I93,F87=I94,F87=I95,F87=I96,F87=I97,F87=I98),1,0)</f>
        <v>1</v>
      </c>
      <c r="R100" s="486" t="s">
        <v>463</v>
      </c>
    </row>
    <row r="101" spans="9:18" ht="28" hidden="1" x14ac:dyDescent="0.25">
      <c r="R101" s="486" t="s">
        <v>464</v>
      </c>
    </row>
    <row r="102" spans="9:18" ht="14" hidden="1" x14ac:dyDescent="0.25">
      <c r="R102" s="486" t="s">
        <v>465</v>
      </c>
    </row>
    <row r="103" spans="9:18" ht="28" hidden="1" x14ac:dyDescent="0.25">
      <c r="R103" s="486" t="s">
        <v>466</v>
      </c>
    </row>
    <row r="104" spans="9:18" ht="28" hidden="1" x14ac:dyDescent="0.25">
      <c r="R104" s="486" t="s">
        <v>467</v>
      </c>
    </row>
    <row r="105" spans="9:18" ht="14" hidden="1" x14ac:dyDescent="0.25">
      <c r="R105" s="486" t="s">
        <v>468</v>
      </c>
    </row>
    <row r="106" spans="9:18" ht="28" hidden="1" x14ac:dyDescent="0.25">
      <c r="R106" s="486" t="s">
        <v>384</v>
      </c>
    </row>
    <row r="107" spans="9:18" ht="28" hidden="1" x14ac:dyDescent="0.25">
      <c r="R107" s="486" t="s">
        <v>470</v>
      </c>
    </row>
    <row r="108" spans="9:18" ht="28" hidden="1" x14ac:dyDescent="0.25">
      <c r="R108" s="486" t="s">
        <v>471</v>
      </c>
    </row>
    <row r="109" spans="9:18" ht="14" hidden="1" x14ac:dyDescent="0.25">
      <c r="R109" s="486" t="s">
        <v>416</v>
      </c>
    </row>
    <row r="110" spans="9:18" ht="28" hidden="1" x14ac:dyDescent="0.25">
      <c r="R110" s="486" t="s">
        <v>473</v>
      </c>
    </row>
    <row r="111" spans="9:18" ht="28" hidden="1" x14ac:dyDescent="0.25">
      <c r="R111" s="486" t="s">
        <v>474</v>
      </c>
    </row>
    <row r="112" spans="9:18" ht="14" hidden="1" x14ac:dyDescent="0.25">
      <c r="R112" s="486" t="s">
        <v>475</v>
      </c>
    </row>
    <row r="113" spans="18:18" ht="14" hidden="1" x14ac:dyDescent="0.25">
      <c r="R113" s="486" t="s">
        <v>476</v>
      </c>
    </row>
    <row r="114" spans="18:18" ht="14" hidden="1" x14ac:dyDescent="0.25">
      <c r="R114" s="486" t="s">
        <v>477</v>
      </c>
    </row>
    <row r="115" spans="18:18" ht="28" hidden="1" x14ac:dyDescent="0.25">
      <c r="R115" s="486" t="s">
        <v>478</v>
      </c>
    </row>
    <row r="116" spans="18:18" ht="14" hidden="1" x14ac:dyDescent="0.25">
      <c r="R116" s="486" t="s">
        <v>479</v>
      </c>
    </row>
    <row r="117" spans="18:18" ht="14" hidden="1" x14ac:dyDescent="0.25">
      <c r="R117" s="486" t="s">
        <v>391</v>
      </c>
    </row>
    <row r="118" spans="18:18" ht="14" hidden="1" x14ac:dyDescent="0.25">
      <c r="R118" s="486" t="s">
        <v>392</v>
      </c>
    </row>
    <row r="119" spans="18:18" ht="14" hidden="1" x14ac:dyDescent="0.25">
      <c r="R119" s="486" t="s">
        <v>385</v>
      </c>
    </row>
    <row r="120" spans="18:18" ht="14" hidden="1" x14ac:dyDescent="0.25">
      <c r="R120" s="486" t="s">
        <v>393</v>
      </c>
    </row>
    <row r="121" spans="18:18" ht="14" hidden="1" x14ac:dyDescent="0.25">
      <c r="R121" s="486" t="s">
        <v>386</v>
      </c>
    </row>
    <row r="122" spans="18:18" ht="14" hidden="1" x14ac:dyDescent="0.25">
      <c r="R122" s="486" t="s">
        <v>387</v>
      </c>
    </row>
    <row r="123" spans="18:18" ht="28" hidden="1" x14ac:dyDescent="0.25">
      <c r="R123" s="486" t="s">
        <v>482</v>
      </c>
    </row>
    <row r="124" spans="18:18" ht="14" hidden="1" x14ac:dyDescent="0.25">
      <c r="R124" s="486" t="s">
        <v>483</v>
      </c>
    </row>
    <row r="125" spans="18:18" ht="14" hidden="1" x14ac:dyDescent="0.25">
      <c r="R125" s="486" t="s">
        <v>484</v>
      </c>
    </row>
    <row r="126" spans="18:18" ht="14" hidden="1" x14ac:dyDescent="0.25">
      <c r="R126" s="486" t="s">
        <v>486</v>
      </c>
    </row>
    <row r="127" spans="18:18" ht="14" hidden="1" x14ac:dyDescent="0.25">
      <c r="R127" s="486" t="s">
        <v>487</v>
      </c>
    </row>
    <row r="128" spans="18:18" ht="28" hidden="1" x14ac:dyDescent="0.25">
      <c r="R128" s="486" t="s">
        <v>388</v>
      </c>
    </row>
    <row r="129" spans="18:18" ht="28" hidden="1" x14ac:dyDescent="0.25">
      <c r="R129" s="486" t="s">
        <v>423</v>
      </c>
    </row>
    <row r="130" spans="18:18" ht="28" hidden="1" x14ac:dyDescent="0.25">
      <c r="R130" s="486" t="s">
        <v>422</v>
      </c>
    </row>
    <row r="131" spans="18:18" ht="14" hidden="1" x14ac:dyDescent="0.25">
      <c r="R131" s="486" t="s">
        <v>488</v>
      </c>
    </row>
    <row r="132" spans="18:18" ht="28" hidden="1" x14ac:dyDescent="0.25">
      <c r="R132" s="486" t="s">
        <v>489</v>
      </c>
    </row>
    <row r="133" spans="18:18" ht="14" hidden="1" x14ac:dyDescent="0.25">
      <c r="R133" s="486" t="s">
        <v>490</v>
      </c>
    </row>
    <row r="134" spans="18:18" ht="28" hidden="1" x14ac:dyDescent="0.25">
      <c r="R134" s="486" t="s">
        <v>492</v>
      </c>
    </row>
    <row r="135" spans="18:18" ht="14" hidden="1" x14ac:dyDescent="0.25">
      <c r="R135" s="486" t="s">
        <v>493</v>
      </c>
    </row>
    <row r="136" spans="18:18" ht="28" hidden="1" x14ac:dyDescent="0.25">
      <c r="R136" s="486" t="s">
        <v>494</v>
      </c>
    </row>
    <row r="137" spans="18:18" ht="28" hidden="1" x14ac:dyDescent="0.25">
      <c r="R137" s="486" t="s">
        <v>495</v>
      </c>
    </row>
    <row r="138" spans="18:18" ht="14" hidden="1" x14ac:dyDescent="0.25">
      <c r="R138" s="486" t="s">
        <v>496</v>
      </c>
    </row>
    <row r="139" spans="18:18" ht="14" hidden="1" x14ac:dyDescent="0.25">
      <c r="R139" s="486" t="s">
        <v>497</v>
      </c>
    </row>
    <row r="140" spans="18:18" ht="28" hidden="1" x14ac:dyDescent="0.25">
      <c r="R140" s="486" t="s">
        <v>394</v>
      </c>
    </row>
    <row r="141" spans="18:18" ht="28" hidden="1" x14ac:dyDescent="0.25">
      <c r="R141" s="486" t="s">
        <v>499</v>
      </c>
    </row>
    <row r="142" spans="18:18" ht="28" hidden="1" x14ac:dyDescent="0.25">
      <c r="R142" s="486" t="s">
        <v>500</v>
      </c>
    </row>
    <row r="143" spans="18:18" ht="14" hidden="1" x14ac:dyDescent="0.25">
      <c r="R143" s="486" t="s">
        <v>502</v>
      </c>
    </row>
    <row r="144" spans="18:18" ht="28" hidden="1" x14ac:dyDescent="0.25">
      <c r="R144" s="486" t="s">
        <v>503</v>
      </c>
    </row>
    <row r="145" spans="18:18" ht="14" hidden="1" x14ac:dyDescent="0.25">
      <c r="R145" s="486" t="s">
        <v>504</v>
      </c>
    </row>
    <row r="146" spans="18:18" ht="14" hidden="1" x14ac:dyDescent="0.25">
      <c r="R146" s="486" t="s">
        <v>505</v>
      </c>
    </row>
    <row r="147" spans="18:18" ht="28" hidden="1" x14ac:dyDescent="0.25">
      <c r="R147" s="486" t="s">
        <v>418</v>
      </c>
    </row>
    <row r="148" spans="18:18" ht="14" hidden="1" x14ac:dyDescent="0.25">
      <c r="R148" s="486" t="s">
        <v>507</v>
      </c>
    </row>
    <row r="149" spans="18:18" ht="14" hidden="1" x14ac:dyDescent="0.25">
      <c r="R149" s="486" t="s">
        <v>508</v>
      </c>
    </row>
    <row r="150" spans="18:18" ht="14" hidden="1" x14ac:dyDescent="0.25">
      <c r="R150" s="486" t="s">
        <v>509</v>
      </c>
    </row>
    <row r="151" spans="18:18" ht="14" hidden="1" x14ac:dyDescent="0.25">
      <c r="R151" s="486" t="s">
        <v>510</v>
      </c>
    </row>
    <row r="152" spans="18:18" ht="14" hidden="1" x14ac:dyDescent="0.25">
      <c r="R152" s="486" t="s">
        <v>428</v>
      </c>
    </row>
    <row r="153" spans="18:18" ht="28" hidden="1" x14ac:dyDescent="0.25">
      <c r="R153" s="486" t="s">
        <v>511</v>
      </c>
    </row>
    <row r="154" spans="18:18" ht="28" hidden="1" x14ac:dyDescent="0.25">
      <c r="R154" s="486" t="s">
        <v>512</v>
      </c>
    </row>
    <row r="155" spans="18:18" ht="28" hidden="1" x14ac:dyDescent="0.25">
      <c r="R155" s="486" t="s">
        <v>513</v>
      </c>
    </row>
    <row r="156" spans="18:18" ht="14" hidden="1" x14ac:dyDescent="0.25">
      <c r="R156" s="486" t="s">
        <v>514</v>
      </c>
    </row>
    <row r="157" spans="18:18" ht="28" hidden="1" x14ac:dyDescent="0.25">
      <c r="R157" s="486" t="s">
        <v>515</v>
      </c>
    </row>
    <row r="158" spans="18:18" ht="28" hidden="1" x14ac:dyDescent="0.25">
      <c r="R158" s="486" t="s">
        <v>516</v>
      </c>
    </row>
    <row r="159" spans="18:18" ht="28" hidden="1" x14ac:dyDescent="0.25">
      <c r="R159" s="486" t="s">
        <v>517</v>
      </c>
    </row>
    <row r="160" spans="18:18" ht="14" hidden="1" x14ac:dyDescent="0.25">
      <c r="R160" s="486" t="s">
        <v>389</v>
      </c>
    </row>
    <row r="161" spans="18:18" ht="14" hidden="1" x14ac:dyDescent="0.25">
      <c r="R161" s="486"/>
    </row>
    <row r="162" spans="18:18" ht="14" hidden="1" x14ac:dyDescent="0.25">
      <c r="R162" s="486"/>
    </row>
    <row r="163" spans="18:18" ht="14" hidden="1" x14ac:dyDescent="0.25">
      <c r="R163" s="486"/>
    </row>
    <row r="164" spans="18:18" ht="14" hidden="1" x14ac:dyDescent="0.25">
      <c r="R164" s="486"/>
    </row>
    <row r="165" spans="18:18" ht="14" hidden="1" x14ac:dyDescent="0.25">
      <c r="R165" s="486"/>
    </row>
    <row r="166" spans="18:18" ht="14" hidden="1" x14ac:dyDescent="0.25">
      <c r="R166" s="486"/>
    </row>
    <row r="167" spans="18:18" ht="14" hidden="1" x14ac:dyDescent="0.25">
      <c r="R167" s="486"/>
    </row>
    <row r="168" spans="18:18" ht="14" hidden="1" x14ac:dyDescent="0.25">
      <c r="R168" s="486"/>
    </row>
    <row r="169" spans="18:18" ht="14" hidden="1" x14ac:dyDescent="0.25">
      <c r="R169" s="486"/>
    </row>
    <row r="170" spans="18:18" ht="14" hidden="1" x14ac:dyDescent="0.25">
      <c r="R170" s="486"/>
    </row>
    <row r="171" spans="18:18" ht="14" hidden="1" x14ac:dyDescent="0.25">
      <c r="R171" s="486"/>
    </row>
    <row r="172" spans="18:18" ht="14" hidden="1" x14ac:dyDescent="0.25">
      <c r="R172" s="486"/>
    </row>
    <row r="173" spans="18:18" ht="13" thickTop="1" x14ac:dyDescent="0.25"/>
  </sheetData>
  <sheetProtection password="F6CE" sheet="1"/>
  <dataConsolidate/>
  <mergeCells count="26">
    <mergeCell ref="C51:R51"/>
    <mergeCell ref="P11:R11"/>
    <mergeCell ref="D41:E41"/>
    <mergeCell ref="P13:Q13"/>
    <mergeCell ref="P9:R9"/>
    <mergeCell ref="Q16:R17"/>
    <mergeCell ref="C20:J24"/>
    <mergeCell ref="C17:I18"/>
    <mergeCell ref="P10:R10"/>
    <mergeCell ref="L24:R25"/>
    <mergeCell ref="C52:R52"/>
    <mergeCell ref="A65:S71"/>
    <mergeCell ref="M1:S1"/>
    <mergeCell ref="M2:R2"/>
    <mergeCell ref="C11:J11"/>
    <mergeCell ref="C8:J8"/>
    <mergeCell ref="P8:R8"/>
    <mergeCell ref="C59:I59"/>
    <mergeCell ref="C58:I58"/>
    <mergeCell ref="C48:R48"/>
    <mergeCell ref="P4:R4"/>
    <mergeCell ref="C54:M55"/>
    <mergeCell ref="P12:R12"/>
    <mergeCell ref="N56:R56"/>
    <mergeCell ref="C43:R43"/>
    <mergeCell ref="C13:J13"/>
  </mergeCells>
  <phoneticPr fontId="0" type="noConversion"/>
  <conditionalFormatting sqref="X32">
    <cfRule type="expression" dxfId="334" priority="41" stopIfTrue="1">
      <formula>E32&gt;9%</formula>
    </cfRule>
  </conditionalFormatting>
  <conditionalFormatting sqref="X49">
    <cfRule type="expression" dxfId="333" priority="42" stopIfTrue="1">
      <formula>T42=1</formula>
    </cfRule>
  </conditionalFormatting>
  <conditionalFormatting sqref="M34">
    <cfRule type="expression" dxfId="332" priority="45" stopIfTrue="1">
      <formula>W32=1</formula>
    </cfRule>
  </conditionalFormatting>
  <conditionalFormatting sqref="F36">
    <cfRule type="expression" dxfId="331" priority="46" stopIfTrue="1">
      <formula>W37=3</formula>
    </cfRule>
  </conditionalFormatting>
  <conditionalFormatting sqref="Q37">
    <cfRule type="expression" dxfId="330" priority="47" stopIfTrue="1">
      <formula>X42=1</formula>
    </cfRule>
  </conditionalFormatting>
  <conditionalFormatting sqref="L39">
    <cfRule type="expression" dxfId="329" priority="49" stopIfTrue="1">
      <formula>U42=1</formula>
    </cfRule>
  </conditionalFormatting>
  <conditionalFormatting sqref="C33:C34">
    <cfRule type="expression" dxfId="328" priority="50" stopIfTrue="1">
      <formula>U33="Yes"</formula>
    </cfRule>
  </conditionalFormatting>
  <conditionalFormatting sqref="X25">
    <cfRule type="expression" dxfId="327" priority="51" stopIfTrue="1">
      <formula>W38=1</formula>
    </cfRule>
  </conditionalFormatting>
  <conditionalFormatting sqref="M33">
    <cfRule type="expression" dxfId="326" priority="52" stopIfTrue="1">
      <formula>W34=1</formula>
    </cfRule>
  </conditionalFormatting>
  <conditionalFormatting sqref="L33">
    <cfRule type="expression" dxfId="325" priority="54" stopIfTrue="1">
      <formula>W34=1</formula>
    </cfRule>
  </conditionalFormatting>
  <conditionalFormatting sqref="D33:D34">
    <cfRule type="expression" dxfId="324" priority="55" stopIfTrue="1">
      <formula>U33="Yes"</formula>
    </cfRule>
  </conditionalFormatting>
  <conditionalFormatting sqref="C35">
    <cfRule type="expression" dxfId="323" priority="56" stopIfTrue="1">
      <formula>AND(U36="Yes",U34="Yes")</formula>
    </cfRule>
  </conditionalFormatting>
  <conditionalFormatting sqref="D35">
    <cfRule type="expression" dxfId="322" priority="57" stopIfTrue="1">
      <formula>AND(U36="Yes",U34="Yes")</formula>
    </cfRule>
  </conditionalFormatting>
  <conditionalFormatting sqref="L34">
    <cfRule type="expression" dxfId="321" priority="58" stopIfTrue="1">
      <formula>W32=1</formula>
    </cfRule>
  </conditionalFormatting>
  <conditionalFormatting sqref="M39">
    <cfRule type="expression" dxfId="320" priority="60" stopIfTrue="1">
      <formula>U42=1</formula>
    </cfRule>
  </conditionalFormatting>
  <conditionalFormatting sqref="Y23">
    <cfRule type="expression" dxfId="319" priority="64" stopIfTrue="1">
      <formula>AA37=1</formula>
    </cfRule>
  </conditionalFormatting>
  <conditionalFormatting sqref="W29">
    <cfRule type="expression" dxfId="318" priority="66" stopIfTrue="1">
      <formula>W39=1</formula>
    </cfRule>
  </conditionalFormatting>
  <conditionalFormatting sqref="E36">
    <cfRule type="expression" dxfId="317" priority="68" stopIfTrue="1">
      <formula>U37=1</formula>
    </cfRule>
  </conditionalFormatting>
  <conditionalFormatting sqref="D36">
    <cfRule type="expression" dxfId="316" priority="70" stopIfTrue="1">
      <formula>W41=1</formula>
    </cfRule>
  </conditionalFormatting>
  <conditionalFormatting sqref="C36">
    <cfRule type="expression" dxfId="315" priority="71" stopIfTrue="1">
      <formula>W41=1</formula>
    </cfRule>
  </conditionalFormatting>
  <conditionalFormatting sqref="C40">
    <cfRule type="expression" dxfId="314" priority="74" stopIfTrue="1">
      <formula>T40=1</formula>
    </cfRule>
  </conditionalFormatting>
  <conditionalFormatting sqref="L40">
    <cfRule type="expression" dxfId="313" priority="75" stopIfTrue="1">
      <formula>U40=1</formula>
    </cfRule>
  </conditionalFormatting>
  <conditionalFormatting sqref="D40">
    <cfRule type="expression" dxfId="312" priority="76" stopIfTrue="1">
      <formula>T40=1</formula>
    </cfRule>
  </conditionalFormatting>
  <conditionalFormatting sqref="M40">
    <cfRule type="expression" dxfId="311" priority="77" stopIfTrue="1">
      <formula>U40=1</formula>
    </cfRule>
  </conditionalFormatting>
  <conditionalFormatting sqref="I16">
    <cfRule type="expression" dxfId="310" priority="82" stopIfTrue="1">
      <formula>T18="One Year"</formula>
    </cfRule>
  </conditionalFormatting>
  <conditionalFormatting sqref="U49">
    <cfRule type="cellIs" dxfId="309" priority="84" stopIfTrue="1" operator="equal">
      <formula>"."</formula>
    </cfRule>
  </conditionalFormatting>
  <conditionalFormatting sqref="X39:X40">
    <cfRule type="expression" dxfId="308" priority="86" stopIfTrue="1">
      <formula>#REF!&gt;1</formula>
    </cfRule>
  </conditionalFormatting>
  <conditionalFormatting sqref="D41:E41">
    <cfRule type="cellIs" dxfId="307" priority="87" stopIfTrue="1" operator="equal">
      <formula>"-"</formula>
    </cfRule>
  </conditionalFormatting>
  <conditionalFormatting sqref="G39:G40 E35 C9">
    <cfRule type="cellIs" dxfId="306" priority="88" stopIfTrue="1" operator="equal">
      <formula>0</formula>
    </cfRule>
  </conditionalFormatting>
  <conditionalFormatting sqref="H36">
    <cfRule type="expression" dxfId="305" priority="89" stopIfTrue="1">
      <formula>#REF!&gt;1000</formula>
    </cfRule>
  </conditionalFormatting>
  <conditionalFormatting sqref="I39:I40">
    <cfRule type="expression" dxfId="304" priority="91" stopIfTrue="1">
      <formula>#REF!=0</formula>
    </cfRule>
  </conditionalFormatting>
  <conditionalFormatting sqref="R5 P4">
    <cfRule type="cellIs" dxfId="303" priority="93" stopIfTrue="1" operator="equal">
      <formula>0</formula>
    </cfRule>
  </conditionalFormatting>
  <conditionalFormatting sqref="L23">
    <cfRule type="cellIs" dxfId="302" priority="95" stopIfTrue="1" operator="equal">
      <formula>"Total Contribution"</formula>
    </cfRule>
  </conditionalFormatting>
  <conditionalFormatting sqref="C8">
    <cfRule type="cellIs" dxfId="301" priority="34" stopIfTrue="1" operator="equal">
      <formula>0</formula>
    </cfRule>
  </conditionalFormatting>
  <conditionalFormatting sqref="Q38">
    <cfRule type="expression" dxfId="300" priority="30" stopIfTrue="1">
      <formula>V42=1</formula>
    </cfRule>
  </conditionalFormatting>
  <conditionalFormatting sqref="R38">
    <cfRule type="expression" dxfId="299" priority="29" stopIfTrue="1">
      <formula>AA43=1</formula>
    </cfRule>
  </conditionalFormatting>
  <conditionalFormatting sqref="G36">
    <cfRule type="expression" dxfId="298" priority="297" stopIfTrue="1">
      <formula>W35=1</formula>
    </cfRule>
  </conditionalFormatting>
  <conditionalFormatting sqref="F35">
    <cfRule type="expression" dxfId="297" priority="24" stopIfTrue="1">
      <formula>W35=3</formula>
    </cfRule>
  </conditionalFormatting>
  <conditionalFormatting sqref="G35">
    <cfRule type="expression" dxfId="296" priority="25" stopIfTrue="1">
      <formula>W35=1</formula>
    </cfRule>
  </conditionalFormatting>
  <conditionalFormatting sqref="H35">
    <cfRule type="expression" dxfId="295" priority="26" stopIfTrue="1">
      <formula>#REF!&gt;1000</formula>
    </cfRule>
  </conditionalFormatting>
  <conditionalFormatting sqref="M35">
    <cfRule type="expression" dxfId="294" priority="28" stopIfTrue="1">
      <formula>L35="Yes"</formula>
    </cfRule>
  </conditionalFormatting>
  <conditionalFormatting sqref="G37">
    <cfRule type="expression" dxfId="293" priority="20" stopIfTrue="1">
      <formula>AND(B13=1,I13="Ijarah Leasing")</formula>
    </cfRule>
  </conditionalFormatting>
  <conditionalFormatting sqref="H37">
    <cfRule type="expression" dxfId="292" priority="19" stopIfTrue="1">
      <formula>AND(C13=1,J13="Ijarah")</formula>
    </cfRule>
  </conditionalFormatting>
  <conditionalFormatting sqref="L37:L38">
    <cfRule type="expression" dxfId="291" priority="12" stopIfTrue="1">
      <formula>AND(AD35="Yes",AD33="Yes")</formula>
    </cfRule>
  </conditionalFormatting>
  <conditionalFormatting sqref="C11">
    <cfRule type="cellIs" dxfId="290" priority="9" stopIfTrue="1" operator="equal">
      <formula>0</formula>
    </cfRule>
  </conditionalFormatting>
  <conditionalFormatting sqref="I35">
    <cfRule type="expression" dxfId="289" priority="8" stopIfTrue="1">
      <formula>Y35=1</formula>
    </cfRule>
  </conditionalFormatting>
  <conditionalFormatting sqref="V41">
    <cfRule type="expression" dxfId="288" priority="298" stopIfTrue="1">
      <formula>$E$36&gt;0</formula>
    </cfRule>
  </conditionalFormatting>
  <conditionalFormatting sqref="C13">
    <cfRule type="cellIs" dxfId="287" priority="7" stopIfTrue="1" operator="equal">
      <formula>0</formula>
    </cfRule>
  </conditionalFormatting>
  <conditionalFormatting sqref="M36">
    <cfRule type="expression" dxfId="286" priority="6" stopIfTrue="1">
      <formula>W33=2</formula>
    </cfRule>
  </conditionalFormatting>
  <conditionalFormatting sqref="L36">
    <cfRule type="expression" dxfId="285" priority="5" stopIfTrue="1">
      <formula>W33=2</formula>
    </cfRule>
  </conditionalFormatting>
  <conditionalFormatting sqref="C53">
    <cfRule type="expression" dxfId="284" priority="4" stopIfTrue="1">
      <formula>V55&lt;&gt;0</formula>
    </cfRule>
  </conditionalFormatting>
  <conditionalFormatting sqref="T20">
    <cfRule type="expression" dxfId="283" priority="3" stopIfTrue="1">
      <formula>Q16&gt;=700000</formula>
    </cfRule>
  </conditionalFormatting>
  <conditionalFormatting sqref="T19">
    <cfRule type="expression" dxfId="282" priority="2" stopIfTrue="1">
      <formula>Q16&gt;=700000</formula>
    </cfRule>
  </conditionalFormatting>
  <conditionalFormatting sqref="T22">
    <cfRule type="expression" dxfId="281" priority="1" stopIfTrue="1">
      <formula>Q16&lt;700000</formula>
    </cfRule>
  </conditionalFormatting>
  <dataValidations count="11">
    <dataValidation type="whole" allowBlank="1" showInputMessage="1" showErrorMessage="1" sqref="E36 Q38 G35:H37 I35 C33:C36 C40 L33:L34 L36:L40" xr:uid="{00000000-0002-0000-0400-000000000000}">
      <formula1>0</formula1>
      <formula2>1</formula2>
    </dataValidation>
    <dataValidation type="list" allowBlank="1" showInputMessage="1" showErrorMessage="1" sqref="P13:Q13" xr:uid="{00000000-0002-0000-0400-000001000000}">
      <formula1>"2005,2006,2007,2008,2009,2010,2011,2012,2013,2014,2015,2016,2017,2018,2019,2020,2021"</formula1>
    </dataValidation>
    <dataValidation type="decimal" allowBlank="1" showInputMessage="1" showErrorMessage="1" error="Maximum 65% NCB_x000a_" sqref="T34" xr:uid="{00000000-0002-0000-0400-000002000000}">
      <formula1>0</formula1>
      <formula2>65</formula2>
    </dataValidation>
    <dataValidation type="list" operator="notBetween" allowBlank="1" showInputMessage="1" showErrorMessage="1" sqref="R33" xr:uid="{00000000-0002-0000-0400-000003000000}">
      <formula1>"300000,500000,1000000"</formula1>
    </dataValidation>
    <dataValidation type="list" allowBlank="1" showInputMessage="1" showErrorMessage="1" sqref="T13" xr:uid="{00000000-0002-0000-0400-000004000000}">
      <formula1>"Ijarah,Murabaha,D/Musharaka"</formula1>
    </dataValidation>
    <dataValidation type="list" allowBlank="1" showInputMessage="1" showErrorMessage="1" sqref="P10" xr:uid="{00000000-0002-0000-0400-000005000000}">
      <formula1>"PETROL,ELECTRIC"</formula1>
    </dataValidation>
    <dataValidation type="list" allowBlank="1" showInputMessage="1" showErrorMessage="1" sqref="X10" xr:uid="{00000000-0002-0000-0400-000006000000}">
      <formula1>"Above 250cc,Below 250cc"</formula1>
    </dataValidation>
    <dataValidation type="list" allowBlank="1" showInputMessage="1" showErrorMessage="1" sqref="R34" xr:uid="{00000000-0002-0000-0400-000007000000}">
      <formula1>"0,25000,50000,75000,100000,125000,150000,175000,200000,225000,250000,275000,300000,350000,400000,450000,500000,1000000"</formula1>
    </dataValidation>
    <dataValidation type="list" allowBlank="1" showInputMessage="1" showErrorMessage="1" sqref="R36" xr:uid="{00000000-0002-0000-0400-000008000000}">
      <formula1>"0,2000,10000,20000,50000,100000,200000,500000"</formula1>
    </dataValidation>
    <dataValidation type="decimal" allowBlank="1" showInputMessage="1" showErrorMessage="1" sqref="Q16:R17" xr:uid="{00000000-0002-0000-0400-000009000000}">
      <formula1>400000</formula1>
      <formula2>2000000</formula2>
    </dataValidation>
    <dataValidation type="list" allowBlank="1" showInputMessage="1" showErrorMessage="1" sqref="T20 L35" xr:uid="{00000000-0002-0000-0400-00000A000000}">
      <formula1>"Yes,No"</formula1>
    </dataValidation>
  </dataValidations>
  <printOptions horizontalCentered="1"/>
  <pageMargins left="0.75" right="0.5" top="0.75" bottom="0" header="0" footer="0"/>
  <pageSetup paperSize="9" scale="69"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tabColor indexed="40"/>
    <pageSetUpPr fitToPage="1"/>
  </sheetPr>
  <dimension ref="A1:BH152"/>
  <sheetViews>
    <sheetView showGridLines="0" topLeftCell="E3" zoomScale="75" zoomScaleNormal="82" workbookViewId="0">
      <selection activeCell="M56" sqref="M56"/>
    </sheetView>
  </sheetViews>
  <sheetFormatPr defaultColWidth="0" defaultRowHeight="14" zeroHeight="1" x14ac:dyDescent="0.3"/>
  <cols>
    <col min="1" max="1" width="0.81640625" style="692" customWidth="1"/>
    <col min="2" max="2" width="0.54296875" style="692" customWidth="1"/>
    <col min="3" max="3" width="5.26953125" style="692" customWidth="1"/>
    <col min="4" max="4" width="3.26953125" style="692" customWidth="1"/>
    <col min="5" max="5" width="4.26953125" style="692" customWidth="1"/>
    <col min="6" max="6" width="33.26953125" style="692" customWidth="1"/>
    <col min="7" max="7" width="4.7265625" style="692" customWidth="1"/>
    <col min="8" max="8" width="18.54296875" style="692" customWidth="1"/>
    <col min="9" max="9" width="16.453125" style="692" customWidth="1"/>
    <col min="10" max="10" width="3.81640625" style="692" customWidth="1"/>
    <col min="11" max="11" width="14.54296875" style="692" customWidth="1"/>
    <col min="12" max="12" width="4" style="692" customWidth="1"/>
    <col min="13" max="13" width="25.26953125" style="692" customWidth="1"/>
    <col min="14" max="14" width="11.453125" style="692" customWidth="1"/>
    <col min="15" max="15" width="9.81640625" style="692" customWidth="1"/>
    <col min="16" max="16" width="13.54296875" style="692" customWidth="1"/>
    <col min="17" max="17" width="5.453125" style="693" customWidth="1"/>
    <col min="18" max="18" width="6.26953125" style="692" hidden="1" customWidth="1"/>
    <col min="19" max="19" width="5" style="692" hidden="1" customWidth="1"/>
    <col min="20" max="20" width="9.54296875" style="692" hidden="1" customWidth="1"/>
    <col min="21" max="21" width="5.26953125" style="692" hidden="1" customWidth="1"/>
    <col min="22" max="22" width="4.54296875" style="692" hidden="1" customWidth="1"/>
    <col min="23" max="23" width="2.81640625" style="692" hidden="1" customWidth="1"/>
    <col min="24" max="24" width="0" style="692" hidden="1" customWidth="1"/>
    <col min="25" max="25" width="5.81640625" style="692" hidden="1" customWidth="1"/>
    <col min="26" max="26" width="7.1796875" style="692" hidden="1" customWidth="1"/>
    <col min="27" max="27" width="26.54296875" style="692" hidden="1" customWidth="1"/>
    <col min="28" max="29" width="0" style="692" hidden="1" customWidth="1"/>
    <col min="30" max="30" width="27.1796875" style="692" hidden="1" customWidth="1"/>
    <col min="31" max="35" width="0" style="692" hidden="1" customWidth="1"/>
    <col min="36" max="36" width="0" style="694" hidden="1" customWidth="1"/>
    <col min="37" max="38" width="0" style="692" hidden="1" customWidth="1"/>
    <col min="39" max="39" width="0" style="693" hidden="1" customWidth="1"/>
    <col min="40" max="46" width="0" style="692" hidden="1" customWidth="1"/>
    <col min="47" max="47" width="0" style="694" hidden="1" customWidth="1"/>
    <col min="48" max="49" width="0" style="692" hidden="1" customWidth="1"/>
    <col min="50" max="50" width="47.453125" style="695" hidden="1" customWidth="1"/>
    <col min="51" max="16384" width="0" style="692" hidden="1"/>
  </cols>
  <sheetData>
    <row r="1" spans="1:60" s="142" customFormat="1" ht="45" customHeight="1" thickTop="1" thickBot="1" x14ac:dyDescent="0.35">
      <c r="B1" s="288"/>
      <c r="C1" s="137">
        <f ca="1">IF(OR(C69=0,R15=0),0,1)</f>
        <v>1</v>
      </c>
      <c r="D1" s="174"/>
      <c r="E1" s="175"/>
      <c r="F1" s="175"/>
      <c r="G1" s="175"/>
      <c r="H1" s="175"/>
      <c r="I1" s="175"/>
      <c r="J1" s="175"/>
      <c r="K1" s="175"/>
      <c r="L1" s="175"/>
      <c r="M1" s="176"/>
      <c r="N1" s="1622"/>
      <c r="O1" s="1623"/>
      <c r="P1" s="139"/>
      <c r="Q1" s="139"/>
      <c r="R1" s="139"/>
      <c r="S1" s="139"/>
      <c r="T1" s="139"/>
      <c r="U1" s="142">
        <f>IF(G36="Yes",H23+H36,H23)</f>
        <v>77.141999999999996</v>
      </c>
      <c r="V1" s="139"/>
      <c r="W1" s="139"/>
      <c r="X1" s="139"/>
      <c r="Y1" s="139"/>
      <c r="Z1" s="139"/>
      <c r="AA1" s="657" t="s">
        <v>405</v>
      </c>
      <c r="AB1" s="139"/>
      <c r="AM1" s="219"/>
    </row>
    <row r="2" spans="1:60" s="141" customFormat="1" ht="18.5" thickBot="1" x14ac:dyDescent="0.45">
      <c r="A2" s="142"/>
      <c r="B2" s="289"/>
      <c r="C2" s="475" t="s">
        <v>114</v>
      </c>
      <c r="D2" s="6"/>
      <c r="E2" s="434" t="s">
        <v>174</v>
      </c>
      <c r="F2" s="177"/>
      <c r="G2" s="317" t="s">
        <v>282</v>
      </c>
      <c r="H2" s="1631" t="s">
        <v>531</v>
      </c>
      <c r="I2" s="1632"/>
      <c r="J2" s="439"/>
      <c r="K2" s="1620" t="s">
        <v>415</v>
      </c>
      <c r="L2" s="1620"/>
      <c r="M2" s="1621"/>
      <c r="N2" s="140">
        <f>IF(N1="takafulshariahamana",1,0)</f>
        <v>0</v>
      </c>
      <c r="O2" s="141">
        <f>IF(AND(M8=Administration!C10,H9=Administration!C23),0,1)</f>
        <v>1</v>
      </c>
      <c r="Q2" s="142">
        <f>IF(M8=Administration!C10,0,1)</f>
        <v>1</v>
      </c>
      <c r="R2" s="142">
        <f>IF(H9=Administration!C23,1,0)</f>
        <v>0</v>
      </c>
      <c r="S2" s="142">
        <f>IF(AND(Rates!D63="Yes",H11="Chinese"),1,IF(AND(Working!H11="Chinese",Working!H8&lt;&gt;Administration!C14),0,1))</f>
        <v>1</v>
      </c>
      <c r="T2" s="142">
        <f>O2+Q2+R2</f>
        <v>2</v>
      </c>
      <c r="U2" s="458">
        <f>IF(OR(Z15=0,T2=3,Z2=0),0,1)*Q15*V2*S2</f>
        <v>1</v>
      </c>
      <c r="V2" s="458">
        <f>IF(H13="",0,1)</f>
        <v>1</v>
      </c>
      <c r="W2" s="142">
        <f>IF(M8="Trade Plate",X2,1)</f>
        <v>1</v>
      </c>
      <c r="X2" s="142">
        <f>IF(H9=Administration!C20,1,0)</f>
        <v>0</v>
      </c>
      <c r="Y2" s="142">
        <f>IF(M8="Trade Plate",0,1)</f>
        <v>1</v>
      </c>
      <c r="Z2" s="459">
        <f>IF(Rates!D50="Yes",1,IF(AND(H9=Administration!C22,OR(M8=Administration!C13,M8=Administration!C14)),0,1))</f>
        <v>1</v>
      </c>
      <c r="AA2" s="142">
        <f>IF(OR(H9=Administration!C22,H9=Administration!C23),0,1)</f>
        <v>1</v>
      </c>
      <c r="AB2" s="142"/>
      <c r="AC2" s="142"/>
      <c r="AD2" s="142"/>
      <c r="AE2" s="142"/>
      <c r="AF2" s="142"/>
      <c r="AG2" s="142"/>
      <c r="AH2" s="142"/>
      <c r="AI2" s="142"/>
      <c r="AJ2" s="142"/>
      <c r="AK2" s="142"/>
      <c r="AL2" s="142"/>
      <c r="AM2" s="142"/>
      <c r="AN2" s="142"/>
      <c r="AO2" s="142"/>
      <c r="AP2" s="142"/>
      <c r="AQ2" s="142"/>
      <c r="AR2" s="142"/>
      <c r="AS2" s="142"/>
      <c r="AT2" s="142"/>
      <c r="AU2" s="142"/>
      <c r="AV2" s="142"/>
      <c r="AW2" s="142"/>
      <c r="AY2" s="142"/>
      <c r="AZ2" s="142"/>
      <c r="BA2" s="142"/>
      <c r="BB2" s="142"/>
      <c r="BC2" s="142"/>
      <c r="BD2" s="142"/>
      <c r="BE2" s="142"/>
      <c r="BF2" s="142"/>
      <c r="BG2" s="142"/>
      <c r="BH2" s="142"/>
    </row>
    <row r="3" spans="1:60" s="141" customFormat="1" ht="18" customHeight="1" thickBot="1" x14ac:dyDescent="0.45">
      <c r="A3" s="142"/>
      <c r="B3" s="289"/>
      <c r="C3" s="244"/>
      <c r="D3" s="389">
        <f>IF(H3="One Year",1,0)</f>
        <v>1</v>
      </c>
      <c r="E3" s="434" t="s">
        <v>301</v>
      </c>
      <c r="F3" s="177"/>
      <c r="G3" s="317" t="s">
        <v>282</v>
      </c>
      <c r="H3" s="701" t="s">
        <v>303</v>
      </c>
      <c r="I3" s="388" t="str">
        <f>IF(Calculation!S6=0,CONCATENATE("     ",Calculation!H9," Days"),IF(OR(Calculation!O6&lt;Calculation!O3,Calculation!O6&gt;=Calculation!O4),"Invalid Cover  Period",CONCATENATE("     ",Calculation!H9," Days")))</f>
        <v xml:space="preserve">     97 Days</v>
      </c>
      <c r="J3" s="388"/>
      <c r="K3" s="383"/>
      <c r="L3" s="1633" t="str">
        <f>IF(D3=0,"Charge SRCC/TC Full?","")</f>
        <v/>
      </c>
      <c r="M3" s="1634"/>
      <c r="N3" s="554">
        <f>IF(H3="One Year",1,IF(Working!H3="Short Period",Calculation!O12,Calculation!O14)*Calculation!S3*Calculation!S4*Calculation!S6*Calculation!N11)</f>
        <v>1</v>
      </c>
      <c r="O3" s="519" t="e">
        <f>IF(#REF!=Rates!J86,Rates!K86,IF(#REF!=Rates!J87,Rates!K87,IF(#REF!=Rates!J88,Rates!K88,IF(#REF!=Rates!J89,Rates!K89,IF(#REF!=Rates!J90,Rates!K90,0)))))</f>
        <v>#REF!</v>
      </c>
      <c r="P3" s="519"/>
      <c r="Q3" s="519"/>
      <c r="R3" s="519"/>
      <c r="S3" s="545"/>
      <c r="T3" s="142"/>
      <c r="U3" s="458"/>
      <c r="V3" s="458"/>
      <c r="W3" s="142"/>
      <c r="X3" s="142"/>
      <c r="Y3" s="142"/>
      <c r="Z3" s="459"/>
      <c r="AA3" s="142"/>
      <c r="AB3" s="142"/>
      <c r="AC3" s="142"/>
      <c r="AD3" s="142"/>
      <c r="AE3" s="142"/>
      <c r="AF3" s="142"/>
      <c r="AG3" s="142"/>
      <c r="AH3" s="142"/>
      <c r="AI3" s="142"/>
      <c r="AJ3" s="142"/>
      <c r="AK3" s="142"/>
      <c r="AL3" s="142"/>
      <c r="AM3" s="142"/>
      <c r="AN3" s="142"/>
      <c r="AO3" s="142"/>
      <c r="AP3" s="142"/>
      <c r="AQ3" s="142"/>
      <c r="AR3" s="142"/>
      <c r="AS3" s="142"/>
      <c r="AT3" s="142"/>
      <c r="AU3" s="142"/>
      <c r="AV3" s="142"/>
      <c r="AW3" s="142"/>
      <c r="AY3" s="142"/>
      <c r="AZ3" s="142"/>
      <c r="BA3" s="142"/>
      <c r="BB3" s="142"/>
      <c r="BC3" s="142"/>
      <c r="BD3" s="142"/>
      <c r="BE3" s="142"/>
      <c r="BF3" s="142"/>
      <c r="BG3" s="142"/>
      <c r="BH3" s="142"/>
    </row>
    <row r="4" spans="1:60" s="141" customFormat="1" ht="0.75" hidden="1" customHeight="1" thickBot="1" x14ac:dyDescent="0.35">
      <c r="A4" s="142"/>
      <c r="B4" s="289"/>
      <c r="C4" s="244"/>
      <c r="D4" s="6"/>
      <c r="E4" s="385"/>
      <c r="F4" s="386" t="str">
        <f>IF(D3=0,"PERIOD                                       FROM","")</f>
        <v/>
      </c>
      <c r="G4" s="658">
        <v>24</v>
      </c>
      <c r="H4" s="659" t="s">
        <v>351</v>
      </c>
      <c r="I4" s="659">
        <v>2013</v>
      </c>
      <c r="J4" s="660"/>
      <c r="K4" s="388" t="str">
        <f>IF(Calculation!S3=0,"Date Error","")</f>
        <v/>
      </c>
      <c r="L4" s="1633"/>
      <c r="M4" s="1634"/>
      <c r="N4" s="555">
        <f>IF(M5="No",N3,1)</f>
        <v>1</v>
      </c>
      <c r="O4" s="519" t="s">
        <v>410</v>
      </c>
      <c r="P4" s="519" t="s">
        <v>411</v>
      </c>
      <c r="Q4" s="519"/>
      <c r="R4" s="519"/>
      <c r="S4" s="545"/>
      <c r="T4" s="545"/>
      <c r="U4" s="546"/>
      <c r="V4" s="546"/>
      <c r="W4" s="142"/>
      <c r="X4" s="142"/>
      <c r="Y4" s="142"/>
      <c r="Z4" s="459"/>
      <c r="AA4" s="142"/>
      <c r="AB4" s="142"/>
      <c r="AC4" s="142"/>
      <c r="AD4" s="142"/>
      <c r="AE4" s="142"/>
      <c r="AF4" s="142"/>
      <c r="AG4" s="142"/>
      <c r="AH4" s="142"/>
      <c r="AI4" s="142"/>
      <c r="AJ4" s="142"/>
      <c r="AK4" s="142"/>
      <c r="AL4" s="142"/>
      <c r="AM4" s="142"/>
      <c r="AN4" s="142"/>
      <c r="AO4" s="142"/>
      <c r="AP4" s="142"/>
      <c r="AQ4" s="142"/>
      <c r="AR4" s="142"/>
      <c r="AS4" s="142"/>
      <c r="AT4" s="142"/>
      <c r="AU4" s="142"/>
      <c r="AV4" s="142"/>
      <c r="AW4" s="142"/>
      <c r="AY4" s="142"/>
      <c r="AZ4" s="142"/>
      <c r="BA4" s="142"/>
      <c r="BB4" s="142"/>
      <c r="BC4" s="142"/>
      <c r="BD4" s="142"/>
      <c r="BE4" s="142"/>
      <c r="BF4" s="142"/>
      <c r="BG4" s="142"/>
      <c r="BH4" s="142"/>
    </row>
    <row r="5" spans="1:60" s="141" customFormat="1" ht="24" hidden="1" customHeight="1" thickBot="1" x14ac:dyDescent="0.4">
      <c r="A5" s="142"/>
      <c r="B5" s="289"/>
      <c r="C5" s="244"/>
      <c r="D5" s="6"/>
      <c r="E5" s="384"/>
      <c r="F5" s="387" t="str">
        <f>IF(D3=0,"To","")</f>
        <v/>
      </c>
      <c r="G5" s="658">
        <v>28</v>
      </c>
      <c r="H5" s="659" t="s">
        <v>354</v>
      </c>
      <c r="I5" s="661">
        <v>2013</v>
      </c>
      <c r="J5" s="660"/>
      <c r="K5" s="388" t="str">
        <f>IF(Calculation!S6=0,"Date Error","")</f>
        <v/>
      </c>
      <c r="L5" s="435"/>
      <c r="M5" s="662" t="s">
        <v>78</v>
      </c>
      <c r="N5" s="555" t="str">
        <f>Rates!D81</f>
        <v>No</v>
      </c>
      <c r="O5" s="547">
        <f>H15*N7%</f>
        <v>13825.000000000002</v>
      </c>
      <c r="P5" s="547">
        <f>(O5-M40-M42)/P6*100</f>
        <v>8111.6071428571449</v>
      </c>
      <c r="Q5" s="519"/>
      <c r="R5" s="519"/>
      <c r="S5" s="545"/>
      <c r="T5" s="545"/>
      <c r="U5" s="546"/>
      <c r="V5" s="546"/>
      <c r="W5" s="142"/>
      <c r="X5" s="142"/>
      <c r="Y5" s="142"/>
      <c r="Z5" s="459"/>
      <c r="AA5" s="142"/>
      <c r="AB5" s="142"/>
      <c r="AC5" s="142"/>
      <c r="AD5" s="142"/>
      <c r="AE5" s="142"/>
      <c r="AF5" s="142"/>
      <c r="AG5" s="142"/>
      <c r="AH5" s="142"/>
      <c r="AI5" s="142"/>
      <c r="AJ5" s="142"/>
      <c r="AK5" s="142"/>
      <c r="AL5" s="142"/>
      <c r="AM5" s="142"/>
      <c r="AN5" s="142"/>
      <c r="AO5" s="142"/>
      <c r="AP5" s="142"/>
      <c r="AQ5" s="142"/>
      <c r="AR5" s="142"/>
      <c r="AS5" s="142"/>
      <c r="AT5" s="142"/>
      <c r="AU5" s="142"/>
      <c r="AV5" s="142"/>
      <c r="AW5" s="142"/>
      <c r="AY5" s="142"/>
      <c r="AZ5" s="142"/>
      <c r="BA5" s="142"/>
      <c r="BB5" s="142"/>
      <c r="BC5" s="142"/>
      <c r="BD5" s="142"/>
      <c r="BE5" s="142"/>
      <c r="BF5" s="142"/>
      <c r="BG5" s="142"/>
      <c r="BH5" s="142"/>
    </row>
    <row r="6" spans="1:60" s="142" customFormat="1" ht="21.75" customHeight="1" thickTop="1" thickBot="1" x14ac:dyDescent="0.45">
      <c r="B6" s="289"/>
      <c r="C6" s="209"/>
      <c r="D6" s="6"/>
      <c r="E6" s="524" t="s">
        <v>375</v>
      </c>
      <c r="F6" s="525"/>
      <c r="G6" s="317" t="s">
        <v>399</v>
      </c>
      <c r="H6" s="700" t="s">
        <v>446</v>
      </c>
      <c r="I6" s="1641"/>
      <c r="J6" s="1642"/>
      <c r="K6" s="1643"/>
      <c r="L6" s="1639" t="str">
        <f>'TW Quote'!C8</f>
        <v>to be advised</v>
      </c>
      <c r="M6" s="1640"/>
      <c r="N6" s="368" t="s">
        <v>49</v>
      </c>
      <c r="O6" s="142">
        <f>IF(AND(Rates!D79="Yes",(O57+Q57=1)),0,1)</f>
        <v>1</v>
      </c>
      <c r="P6" s="548">
        <f>IF(H9="Hiring",140,110)</f>
        <v>140</v>
      </c>
      <c r="Q6" s="492">
        <f>IF(AND(M8=Administration!C7,H9=Administration!C20),Rates!D6,R6)</f>
        <v>0.8</v>
      </c>
      <c r="R6" s="142">
        <f>IF(AND(M8=Administration!C12,H9=Administration!C20),Rates!D12,T6)</f>
        <v>0.8</v>
      </c>
      <c r="T6" s="142">
        <f>IF(AND(M8=Administration!C8,H9=Administration!C20),Rates!D8,U6)</f>
        <v>0.8</v>
      </c>
      <c r="U6" s="390">
        <f>IF(M8=Administration!C9,Rates!D5,W6)</f>
        <v>0.8</v>
      </c>
      <c r="V6" s="390"/>
      <c r="W6" s="390">
        <f>IF(M8=Administration!C10,Rates!D11,X6)</f>
        <v>0.8</v>
      </c>
      <c r="X6" s="390">
        <f>IF(M8=Administration!C11,Rates!D10,Y6)</f>
        <v>0.8</v>
      </c>
      <c r="Y6" s="142">
        <f>IF(AND(M8=Administration!C12,H9=Administration!C21),Rates!D13,Z6)</f>
        <v>0.8</v>
      </c>
      <c r="Z6" s="390">
        <f>IF(M8=Administration!C13,Rates!D3,AA6)</f>
        <v>0</v>
      </c>
      <c r="AA6" s="390">
        <f>IF(M8=Administration!C14,Rates!D4,AB6)</f>
        <v>0</v>
      </c>
      <c r="AB6" s="142">
        <f>IF(AND(M8=Administration!C7,H9=Administration!C21),Rates!D7,AC6)</f>
        <v>0</v>
      </c>
      <c r="AC6" s="142">
        <f>IF(AND(M8=Administration!C7,H9=Administration!C22),Rates!D7,AD6)</f>
        <v>0</v>
      </c>
      <c r="AD6" s="142">
        <f>IF(AND(M8=Administration!C8,H9=Administration!C21),Rates!D9,AE6)</f>
        <v>0</v>
      </c>
      <c r="AE6" s="142">
        <f>IF(AND(M8=Administration!C8,H9=Administration!C22),Rates!D7,AF6)</f>
        <v>0</v>
      </c>
      <c r="AF6" s="142">
        <f>IF(AND(M8=Administration!C12,H9=Administration!C22),Rates!D13,AG6)</f>
        <v>0</v>
      </c>
      <c r="AG6" s="142">
        <f>IF(M8=Administration!C15,Rates!D14,AH6)</f>
        <v>0</v>
      </c>
      <c r="AH6" s="142">
        <f>IF(M8=Administration!C17,Rates!D16,AI6)</f>
        <v>0</v>
      </c>
      <c r="AI6" s="142">
        <f>IF(M8=Administration!C16,Rates!D16,0)</f>
        <v>0</v>
      </c>
      <c r="AM6" s="142" t="str">
        <f>Administration!G7</f>
        <v>Motor Car</v>
      </c>
      <c r="AP6" s="142" t="str">
        <f>Administration!I20</f>
        <v>Private Use Only</v>
      </c>
    </row>
    <row r="7" spans="1:60" s="142" customFormat="1" ht="21" thickBot="1" x14ac:dyDescent="0.5">
      <c r="B7" s="289"/>
      <c r="C7" s="209"/>
      <c r="D7" s="6"/>
      <c r="E7" s="524" t="s">
        <v>280</v>
      </c>
      <c r="F7" s="525"/>
      <c r="G7" s="317" t="s">
        <v>400</v>
      </c>
      <c r="H7" s="1644" t="str">
        <f>'TW Quote'!C11</f>
        <v>to be advised</v>
      </c>
      <c r="I7" s="1645"/>
      <c r="J7" s="1645"/>
      <c r="K7" s="1646"/>
      <c r="L7" s="1647" t="str">
        <f>IF(AND(H15&gt;0,L6=""),"Enter Name","")</f>
        <v/>
      </c>
      <c r="M7" s="1648"/>
      <c r="N7" s="453">
        <v>1.75</v>
      </c>
      <c r="P7" s="493"/>
      <c r="Q7" s="141">
        <f>Q6*U2</f>
        <v>0.8</v>
      </c>
      <c r="R7" s="141"/>
      <c r="S7" s="141"/>
      <c r="T7" s="141" t="str">
        <f>Administration!C20</f>
        <v>Private Use Only</v>
      </c>
      <c r="U7" s="461" t="str">
        <f>Administration!C21</f>
        <v>Hiring</v>
      </c>
      <c r="V7" s="461"/>
      <c r="W7" s="141" t="str">
        <f>Administration!C22</f>
        <v>Rent A Vehicle</v>
      </c>
      <c r="X7" s="141">
        <f>IF(M8=Administration!C10,Administration!C23,0)</f>
        <v>0</v>
      </c>
      <c r="Y7" s="141"/>
      <c r="Z7" s="462"/>
      <c r="AA7" s="141"/>
      <c r="AM7" s="142" t="str">
        <f>Administration!G8</f>
        <v>Jeep</v>
      </c>
      <c r="AP7" s="142" t="str">
        <f>Administration!I21</f>
        <v>Hiring</v>
      </c>
    </row>
    <row r="8" spans="1:60" s="142" customFormat="1" ht="21.75" customHeight="1" thickBot="1" x14ac:dyDescent="0.45">
      <c r="B8" s="289"/>
      <c r="C8" s="136"/>
      <c r="D8" s="6"/>
      <c r="E8" s="524" t="s">
        <v>376</v>
      </c>
      <c r="F8" s="526"/>
      <c r="G8" s="317" t="s">
        <v>399</v>
      </c>
      <c r="H8" s="1635" t="s">
        <v>212</v>
      </c>
      <c r="I8" s="1636"/>
      <c r="J8" s="477"/>
      <c r="K8" s="663">
        <v>1.2500000000000001E-2</v>
      </c>
      <c r="L8" s="23" t="str">
        <f>Administration!C11</f>
        <v>Motor Lorry</v>
      </c>
      <c r="M8" s="496" t="str">
        <f>IF(AND(H8=Administration!C14,Working!H11="Chinese"),Administration!C13,IF(AND(H8=Administration!C11,Working!H11="Chinese"),Administration!C16,Working!H8))</f>
        <v>Three Wheeler</v>
      </c>
      <c r="N8" s="362">
        <f>IF(AND(H12="hybrid",H14="No",Rates!D75="Yes",B12="individual"),Rates!F75,0)</f>
        <v>0</v>
      </c>
      <c r="O8" s="229">
        <f>IF(H9="",0,1)</f>
        <v>1</v>
      </c>
      <c r="P8" s="229"/>
      <c r="Q8" s="229"/>
      <c r="R8" s="229"/>
      <c r="S8" s="229"/>
      <c r="T8" s="229"/>
      <c r="U8" s="463"/>
      <c r="V8" s="463"/>
      <c r="W8" s="142">
        <f>IF(O11=1,U11,U8)</f>
        <v>0</v>
      </c>
      <c r="Z8" s="230"/>
      <c r="AM8" s="142" t="str">
        <f>Administration!G9</f>
        <v>Dual Purpose</v>
      </c>
      <c r="AP8" s="142" t="str">
        <f>Administration!I22</f>
        <v>Rent A Vehicle</v>
      </c>
      <c r="AU8" s="142">
        <v>1970</v>
      </c>
    </row>
    <row r="9" spans="1:60" s="142" customFormat="1" ht="16.5" customHeight="1" thickBot="1" x14ac:dyDescent="0.45">
      <c r="B9" s="289"/>
      <c r="C9" s="136"/>
      <c r="D9" s="6"/>
      <c r="E9" s="524" t="s">
        <v>35</v>
      </c>
      <c r="F9" s="526"/>
      <c r="G9" s="317" t="s">
        <v>399</v>
      </c>
      <c r="H9" s="1598" t="s">
        <v>41</v>
      </c>
      <c r="I9" s="1599"/>
      <c r="J9" s="478"/>
      <c r="K9" s="1637" t="str">
        <f>IF(OR(T2=3,W2=0),"ERROR",IF(O8=0,"&lt;= Select Usage of Vehicle",IF(Z2=0,"NOT ALLOWED","")))</f>
        <v/>
      </c>
      <c r="L9" s="1637"/>
      <c r="M9" s="1638"/>
      <c r="N9" s="362"/>
      <c r="O9" s="229"/>
      <c r="P9" s="229"/>
      <c r="Q9" s="229"/>
      <c r="R9" s="229"/>
      <c r="S9" s="229"/>
      <c r="T9" s="229"/>
      <c r="U9" s="463"/>
      <c r="V9" s="463"/>
      <c r="Z9" s="230"/>
      <c r="AM9" s="142" t="str">
        <f>Administration!G10</f>
        <v>Motor Coach</v>
      </c>
      <c r="AP9" s="142" t="str">
        <f>Administration!I23</f>
        <v xml:space="preserve">SLTB Route </v>
      </c>
      <c r="AU9" s="142">
        <f t="shared" ref="AU9:AU14" si="0">AU8+1</f>
        <v>1971</v>
      </c>
    </row>
    <row r="10" spans="1:60" s="142" customFormat="1" ht="18.5" thickBot="1" x14ac:dyDescent="0.45">
      <c r="B10" s="289"/>
      <c r="C10" s="136"/>
      <c r="D10" s="6"/>
      <c r="E10" s="1606" t="s">
        <v>108</v>
      </c>
      <c r="F10" s="1606"/>
      <c r="G10" s="317" t="s">
        <v>400</v>
      </c>
      <c r="H10" s="1602" t="str">
        <f>'TW Quote'!P8</f>
        <v>to be advised</v>
      </c>
      <c r="I10" s="1603"/>
      <c r="J10" s="478"/>
      <c r="K10" s="303" t="s">
        <v>380</v>
      </c>
      <c r="L10" s="1629" t="str">
        <f>'TW Quote'!P11</f>
        <v>TO BE ADVISED</v>
      </c>
      <c r="M10" s="1630"/>
      <c r="N10" s="286"/>
      <c r="O10" s="229"/>
      <c r="P10" s="229"/>
      <c r="Q10" s="229"/>
      <c r="R10" s="229"/>
      <c r="S10" s="229"/>
      <c r="T10" s="229"/>
      <c r="U10" s="464"/>
      <c r="V10" s="464"/>
      <c r="Z10" s="230"/>
      <c r="AM10" s="142" t="str">
        <f>Administration!G11</f>
        <v>Motor Lorry</v>
      </c>
      <c r="AP10" s="142" t="str">
        <f>Administration!I24</f>
        <v/>
      </c>
      <c r="AU10" s="142">
        <f t="shared" si="0"/>
        <v>1972</v>
      </c>
    </row>
    <row r="11" spans="1:60" s="142" customFormat="1" ht="20.25" customHeight="1" thickBot="1" x14ac:dyDescent="0.45">
      <c r="B11" s="289"/>
      <c r="C11" s="136"/>
      <c r="D11" s="6"/>
      <c r="E11" s="527" t="s">
        <v>377</v>
      </c>
      <c r="F11" s="528"/>
      <c r="G11" s="317" t="s">
        <v>399</v>
      </c>
      <c r="H11" s="1649" t="str">
        <f>'TW Quote'!P9</f>
        <v>INDIA</v>
      </c>
      <c r="I11" s="1650"/>
      <c r="J11" s="1624" t="s">
        <v>451</v>
      </c>
      <c r="K11" s="1625"/>
      <c r="L11" s="1626"/>
      <c r="M11" s="494" t="str">
        <f>IF(J11="","&lt;= Enter Field","")</f>
        <v/>
      </c>
      <c r="N11" s="361"/>
      <c r="O11" s="229">
        <f>IF(OR(L10="",L6="",H11="",H12="",H13="",H14="",K14="",L13="",J11="",K14=0,AND(O6=0,N16=0)),0,1)</f>
        <v>1</v>
      </c>
      <c r="P11" s="229"/>
      <c r="Q11" s="229"/>
      <c r="R11" s="229"/>
      <c r="S11" s="229"/>
      <c r="T11" s="229"/>
      <c r="U11" s="391"/>
      <c r="V11" s="391"/>
      <c r="Z11" s="230"/>
      <c r="AM11" s="142" t="str">
        <f>Administration!G12</f>
        <v>Three Wheeler</v>
      </c>
      <c r="AU11" s="142">
        <f t="shared" si="0"/>
        <v>1973</v>
      </c>
    </row>
    <row r="12" spans="1:60" s="142" customFormat="1" ht="18.5" thickBot="1" x14ac:dyDescent="0.45">
      <c r="B12" s="289"/>
      <c r="C12" s="136" t="str">
        <f>IF(H12="Petrol (non hybrid)","Petrol",IF(H12="Diesel (non hybrid)","Diesel",IF(H12="Hybrid","Hybrid","Electric")))</f>
        <v>Petrol</v>
      </c>
      <c r="D12" s="6"/>
      <c r="E12" s="527" t="s">
        <v>357</v>
      </c>
      <c r="F12" s="528"/>
      <c r="G12" s="317" t="s">
        <v>399</v>
      </c>
      <c r="H12" s="1653" t="s">
        <v>452</v>
      </c>
      <c r="I12" s="1654"/>
      <c r="J12" s="1612" t="str">
        <f>IF(H8="Motor Cycle","Important --&gt;","")</f>
        <v/>
      </c>
      <c r="K12" s="1613"/>
      <c r="L12" s="1613"/>
      <c r="M12" s="664" t="str">
        <f>'TW Quote'!X10</f>
        <v>Below 250cc</v>
      </c>
      <c r="N12" s="362"/>
      <c r="O12" s="229"/>
      <c r="P12" s="229"/>
      <c r="Q12" s="142">
        <f>IF(M8=Administration!C7,Rates!F6,IF(M8=Administration!C8,Rates!F8,IF(M8=Administration!C9,Rates!F5,IF(M8=Administration!C10,Rates!F11,IF(M8=Administration!C13,Rates!F3,IF(M8=Administration!C14,Rates!F4,IF(M8=Administration!C11,Rates!F10,IF(M8=Administration!C12,Rates!F12,R12))))))))</f>
        <v>4</v>
      </c>
      <c r="R12" s="142">
        <f>IF(M8=Administration!C15,Rates!F14,IF(M8=Administration!C17,Rates!F17,IF(M8=Administration!C19,Rates!F15,IF(M8=Administration!C16,Rates!F16,0))))</f>
        <v>0</v>
      </c>
      <c r="T12" s="142">
        <f>IF(L13&gt;Q12,Q12,L13)</f>
        <v>4</v>
      </c>
      <c r="U12" s="231"/>
      <c r="V12" s="231"/>
      <c r="Z12" s="230"/>
      <c r="AM12" s="142" t="str">
        <f>Administration!G14</f>
        <v>Motor Cycle</v>
      </c>
      <c r="AU12" s="142">
        <f>AU11+1</f>
        <v>1974</v>
      </c>
    </row>
    <row r="13" spans="1:60" s="142" customFormat="1" ht="18.5" thickBot="1" x14ac:dyDescent="0.45">
      <c r="B13" s="289"/>
      <c r="C13" s="136"/>
      <c r="D13" s="6"/>
      <c r="E13" s="524" t="s">
        <v>281</v>
      </c>
      <c r="F13" s="105"/>
      <c r="G13" s="317" t="s">
        <v>399</v>
      </c>
      <c r="H13" s="699">
        <f>'TW Quote'!P13</f>
        <v>2021</v>
      </c>
      <c r="I13" s="1572" t="str">
        <f>IF(H13="","     Enter Year of Make",IF(Z15=0,CONCATENATE("     Vehicles Above ", Administration!F29," Yrs Not Covered"),""))</f>
        <v/>
      </c>
      <c r="J13" s="1573"/>
      <c r="K13" s="1573"/>
      <c r="L13" s="644">
        <v>4</v>
      </c>
      <c r="M13" s="436" t="str">
        <f>IF(OR(L13="",L13=0),"Enter No. of Seats",IF(L13&gt;Q12,CONCATENATE("Max.",Q12," Seats Allowed"),"No.of Seats"))</f>
        <v>No.of Seats</v>
      </c>
      <c r="N13" s="362"/>
      <c r="O13" s="229"/>
      <c r="P13" s="229"/>
      <c r="U13" s="231"/>
      <c r="V13" s="231"/>
      <c r="Z13" s="230"/>
      <c r="AM13" s="142" t="str">
        <f>Administration!G15</f>
        <v>Tractor</v>
      </c>
      <c r="AU13" s="142">
        <f t="shared" si="0"/>
        <v>1975</v>
      </c>
    </row>
    <row r="14" spans="1:60" s="142" customFormat="1" ht="18.5" thickBot="1" x14ac:dyDescent="0.45">
      <c r="B14" s="289"/>
      <c r="C14" s="136"/>
      <c r="D14" s="6"/>
      <c r="E14" s="524" t="s">
        <v>374</v>
      </c>
      <c r="F14" s="528"/>
      <c r="G14" s="317" t="s">
        <v>399</v>
      </c>
      <c r="H14" s="665" t="str">
        <f>IF('TW Quote'!C13="Not Applicable","No","Yes")</f>
        <v>Yes</v>
      </c>
      <c r="I14" s="1627" t="str">
        <f>IF(H14="Yes","NAME OF CO.","")</f>
        <v>NAME OF CO.</v>
      </c>
      <c r="J14" s="1628"/>
      <c r="K14" s="1651" t="str">
        <f>'TW Quote'!C13</f>
        <v>ALLIANZ FINANCE</v>
      </c>
      <c r="L14" s="1651"/>
      <c r="M14" s="1652"/>
      <c r="N14" s="362"/>
      <c r="O14" s="229"/>
      <c r="P14" s="229"/>
      <c r="T14" s="392"/>
      <c r="X14" s="232" t="s">
        <v>222</v>
      </c>
      <c r="Z14" s="230"/>
      <c r="AM14" s="142" t="str">
        <f>Administration!G13</f>
        <v>Motor Cycle (Chinese)</v>
      </c>
      <c r="AU14" s="142">
        <f t="shared" si="0"/>
        <v>1976</v>
      </c>
    </row>
    <row r="15" spans="1:60" s="142" customFormat="1" ht="23.25" customHeight="1" thickBot="1" x14ac:dyDescent="0.45">
      <c r="B15" s="289"/>
      <c r="C15" s="136"/>
      <c r="D15" s="6"/>
      <c r="E15" s="1611" t="str">
        <f>IF(H15&gt;Rates!B27,"SUM COVERED - Above Retention","SUM COVERED"                                    )</f>
        <v>SUM COVERED</v>
      </c>
      <c r="F15" s="1611"/>
      <c r="G15" s="317" t="s">
        <v>399</v>
      </c>
      <c r="H15" s="1600">
        <f>'TW Quote'!Q16</f>
        <v>790000</v>
      </c>
      <c r="I15" s="1601"/>
      <c r="J15" s="666"/>
      <c r="K15" s="523" t="str">
        <f>IF(AND(Rates!D63="Yes",H11="Chinese"),"N.B.- Chinese Vehicle",IF(AND(H11="Chinese",H8&lt;&gt;Administration!C14),"Chinese Vehicles NOT covered",IF(Q15=0,"EXCEED AUTHORIZED LIMIT","")))</f>
        <v/>
      </c>
      <c r="L15" s="432"/>
      <c r="M15" s="702" t="str">
        <f>IF('TW Quote'!B13=1,'TW Quote'!T13,"")</f>
        <v/>
      </c>
      <c r="N15" s="299"/>
      <c r="O15" s="300">
        <f>IF(T47=0,Rates!B25,Rates!B24)</f>
        <v>28000000</v>
      </c>
      <c r="P15" s="300"/>
      <c r="Q15" s="142">
        <f>IF(H15&gt;O15,0,1)</f>
        <v>1</v>
      </c>
      <c r="R15" s="142">
        <f>IF(AND(H15&gt;0,O11&gt;0,O8=1),1,0)</f>
        <v>1</v>
      </c>
      <c r="T15" s="392"/>
      <c r="X15" s="232">
        <f ca="1">YEAR(F69)</f>
        <v>2024</v>
      </c>
      <c r="Y15" s="142">
        <f ca="1">X15-H13</f>
        <v>3</v>
      </c>
      <c r="Z15" s="301">
        <f>IF(Rates!D52="Yes",1,IF(Y15&gt;Administration!F29,0,1))</f>
        <v>1</v>
      </c>
      <c r="AM15" s="142" t="str">
        <f>Administration!G16</f>
        <v>Motor Lorry (Chinese)</v>
      </c>
      <c r="AU15" s="142">
        <f t="shared" ref="AU15:AU36" si="1">AU14+1</f>
        <v>1977</v>
      </c>
    </row>
    <row r="16" spans="1:60" s="142" customFormat="1" ht="16.5" customHeight="1" thickTop="1" thickBot="1" x14ac:dyDescent="0.35">
      <c r="B16" s="289"/>
      <c r="C16" s="136"/>
      <c r="D16" s="433"/>
      <c r="E16" s="1604" t="str">
        <f ca="1">IF(Working!$C$69=0,"This Quotation system is not valid anymore",IF(C66-F69&lt;14,CONCATENATE("This quotation shall expire within ",C66-F69," days"),IF(AND(Rates!D79="No",O16=1,H14="No",(O57+Q57=1)),"Should Obtain 3 Tier Quotation","")))</f>
        <v/>
      </c>
      <c r="F16" s="1604"/>
      <c r="G16" s="1604"/>
      <c r="H16" s="1604"/>
      <c r="I16" s="1607" t="str">
        <f>IF(N16=0,"Please Get 3 Tier Quotation",IF(H8="","Enter Vehicle Type",IF(H9="","Enter Vehicle Usage",IF(H11="","Enter Vehicle Country of Make",IF(H12="","Enter Fuel Type",IF(H13="","Enter Year of Make",IF(H14="","Enter Lease Status",IF(L6="","Enter Proposer 2nd Name",""))))))))</f>
        <v/>
      </c>
      <c r="J16" s="1607"/>
      <c r="K16" s="1607"/>
      <c r="L16" s="1607"/>
      <c r="M16" s="1608"/>
      <c r="N16" s="235">
        <f>IF(AND(O6=0,O16=1,H14="No"),0,1)</f>
        <v>1</v>
      </c>
      <c r="O16" s="229">
        <f>IF(H11="Chinese",0,1)</f>
        <v>1</v>
      </c>
      <c r="P16" s="229"/>
      <c r="R16" s="231"/>
      <c r="S16" s="231"/>
      <c r="T16" s="392"/>
      <c r="Z16" s="230"/>
      <c r="AA16" s="139"/>
      <c r="AB16" s="139"/>
      <c r="AC16" s="139"/>
      <c r="AD16" s="139"/>
      <c r="AM16" s="142" t="str">
        <f>Administration!G17</f>
        <v>Others</v>
      </c>
      <c r="AU16" s="142">
        <f t="shared" si="1"/>
        <v>1978</v>
      </c>
    </row>
    <row r="17" spans="2:50" s="142" customFormat="1" ht="15" customHeight="1" thickTop="1" thickBot="1" x14ac:dyDescent="0.35">
      <c r="B17" s="289"/>
      <c r="C17" s="136"/>
      <c r="D17" s="6"/>
      <c r="E17" s="1605"/>
      <c r="F17" s="1605"/>
      <c r="G17" s="1605"/>
      <c r="H17" s="1605"/>
      <c r="I17" s="1609"/>
      <c r="J17" s="1609"/>
      <c r="K17" s="1609"/>
      <c r="L17" s="1609"/>
      <c r="M17" s="1610"/>
      <c r="N17" s="1596" t="str">
        <f>IF($Y$48="Private Car Policy",HYPERLINK("[Standard Motor Quotation 2013.xls]Private_Car!I20","Click to Print"),IF($Y$48="Motor Cycle Policy",HYPERLINK("[Standard Motor Quotation 2013.xls]Motor_Cycle!I20","Click to Print"),HYPERLINK("[Standard Motor Quotation 2013.xls]Commercial_Vehicle!I20","Click to Print")))</f>
        <v>Click to Print</v>
      </c>
      <c r="O17" s="1593"/>
      <c r="P17" s="229"/>
      <c r="R17" s="231"/>
      <c r="S17" s="231"/>
      <c r="T17" s="392"/>
      <c r="Z17" s="230"/>
      <c r="AM17" s="142">
        <f>Administration!G19</f>
        <v>0</v>
      </c>
      <c r="AU17" s="142">
        <f t="shared" si="1"/>
        <v>1979</v>
      </c>
    </row>
    <row r="18" spans="2:50" s="142" customFormat="1" ht="15" customHeight="1" thickBot="1" x14ac:dyDescent="0.35">
      <c r="B18" s="289"/>
      <c r="C18" s="136"/>
      <c r="D18" s="6"/>
      <c r="E18" s="445" t="s">
        <v>267</v>
      </c>
      <c r="F18" s="9"/>
      <c r="G18" s="9"/>
      <c r="H18" s="495"/>
      <c r="I18" s="563">
        <f>IF(K14=F112,1000,0)</f>
        <v>0</v>
      </c>
      <c r="J18" s="495"/>
      <c r="K18" s="9"/>
      <c r="L18" s="9"/>
      <c r="M18" s="194"/>
      <c r="N18" s="1597"/>
      <c r="O18" s="1595"/>
      <c r="P18" s="229"/>
      <c r="R18" s="231"/>
      <c r="S18" s="231"/>
      <c r="T18" s="392"/>
      <c r="Z18" s="230"/>
      <c r="AU18" s="142">
        <f t="shared" si="1"/>
        <v>1980</v>
      </c>
    </row>
    <row r="19" spans="2:50" s="142" customFormat="1" ht="15.5" thickBot="1" x14ac:dyDescent="0.35">
      <c r="B19" s="289"/>
      <c r="C19" s="136"/>
      <c r="D19" s="6"/>
      <c r="E19" s="339" t="s">
        <v>378</v>
      </c>
      <c r="F19" s="178"/>
      <c r="G19" s="178"/>
      <c r="H19" s="304"/>
      <c r="I19" s="188"/>
      <c r="J19" s="188"/>
      <c r="K19" s="9"/>
      <c r="L19" s="498">
        <v>0</v>
      </c>
      <c r="M19" s="195">
        <f ca="1">IF(AND($C$2="Yes",L19=1),N19*C69,(H15*N7%*R15*C69))*N3</f>
        <v>13825.000000000002</v>
      </c>
      <c r="N19" s="236">
        <v>0</v>
      </c>
      <c r="O19" s="229"/>
      <c r="P19" s="229"/>
      <c r="Q19" s="465">
        <v>0.01</v>
      </c>
      <c r="R19" s="231"/>
      <c r="S19" s="586"/>
      <c r="T19" s="619"/>
      <c r="U19" s="586"/>
      <c r="V19" s="586"/>
      <c r="W19" s="559"/>
      <c r="X19" s="559"/>
      <c r="Y19" s="559"/>
      <c r="Z19" s="620"/>
      <c r="AA19" s="559"/>
      <c r="AU19" s="142">
        <f t="shared" si="1"/>
        <v>1981</v>
      </c>
    </row>
    <row r="20" spans="2:50" s="142" customFormat="1" ht="16" customHeight="1" thickBot="1" x14ac:dyDescent="0.35">
      <c r="B20" s="289"/>
      <c r="C20" s="136"/>
      <c r="D20" s="321" t="s">
        <v>284</v>
      </c>
      <c r="E20" s="342" t="s">
        <v>9</v>
      </c>
      <c r="F20" s="267" t="s">
        <v>166</v>
      </c>
      <c r="G20" s="267"/>
      <c r="H20" s="558"/>
      <c r="I20" s="188"/>
      <c r="J20" s="188"/>
      <c r="K20" s="9"/>
      <c r="L20" s="498">
        <v>0</v>
      </c>
      <c r="M20" s="196">
        <f ca="1">IF(AND($C$2="Yes",L20=1),N20,(M19*H20%))</f>
        <v>0</v>
      </c>
      <c r="N20" s="236">
        <v>0</v>
      </c>
      <c r="O20" s="229"/>
      <c r="P20" s="229"/>
      <c r="Q20" s="465"/>
      <c r="R20" s="231"/>
      <c r="S20" s="586"/>
      <c r="T20" s="619"/>
      <c r="U20" s="586"/>
      <c r="V20" s="586"/>
      <c r="W20" s="559"/>
      <c r="X20" s="559"/>
      <c r="Y20" s="559"/>
      <c r="Z20" s="620"/>
      <c r="AA20" s="559"/>
      <c r="AM20" s="219"/>
      <c r="AU20" s="142">
        <f t="shared" si="1"/>
        <v>1982</v>
      </c>
    </row>
    <row r="21" spans="2:50" s="142" customFormat="1" ht="16" customHeight="1" thickBot="1" x14ac:dyDescent="0.45">
      <c r="B21" s="667" t="str">
        <f>IF(C21=0,"No",IF(C21=1,"Yes","Free"))</f>
        <v>Free</v>
      </c>
      <c r="C21" s="424">
        <f>IF(H14="Yes",2,0)</f>
        <v>2</v>
      </c>
      <c r="D21" s="321" t="s">
        <v>284</v>
      </c>
      <c r="E21" s="342" t="s">
        <v>9</v>
      </c>
      <c r="F21" s="267" t="s">
        <v>11</v>
      </c>
      <c r="G21" s="267"/>
      <c r="H21" s="200" t="str">
        <f>IF(B21="Free","Free",IF(B21="Yes","Charged",""))</f>
        <v>Free</v>
      </c>
      <c r="I21" s="188"/>
      <c r="J21" s="188"/>
      <c r="K21" s="9"/>
      <c r="L21" s="203"/>
      <c r="M21" s="189">
        <f ca="1">M19*Rates!K13%*Q21</f>
        <v>0</v>
      </c>
      <c r="N21" s="236"/>
      <c r="Q21" s="142">
        <f>IF(B21="Yes",1,0)</f>
        <v>0</v>
      </c>
      <c r="R21" s="393"/>
      <c r="S21" s="621"/>
      <c r="T21" s="586"/>
      <c r="U21" s="586"/>
      <c r="V21" s="586"/>
      <c r="W21" s="590"/>
      <c r="X21" s="590"/>
      <c r="Y21" s="590"/>
      <c r="Z21" s="590"/>
      <c r="AA21" s="590"/>
      <c r="AM21" s="219"/>
      <c r="AU21" s="142">
        <f t="shared" si="1"/>
        <v>1983</v>
      </c>
    </row>
    <row r="22" spans="2:50" s="142" customFormat="1" ht="16" customHeight="1" thickBot="1" x14ac:dyDescent="0.35">
      <c r="B22" s="5"/>
      <c r="C22" s="137"/>
      <c r="D22" s="321" t="s">
        <v>284</v>
      </c>
      <c r="E22" s="342" t="s">
        <v>9</v>
      </c>
      <c r="F22" s="267" t="s">
        <v>2</v>
      </c>
      <c r="G22" s="267"/>
      <c r="H22" s="603">
        <v>0</v>
      </c>
      <c r="I22" s="422">
        <f>IF(AND($C$2="Yes",L22=1),K22,H22)</f>
        <v>0</v>
      </c>
      <c r="J22" s="440"/>
      <c r="K22" s="668">
        <v>10000</v>
      </c>
      <c r="L22" s="498">
        <v>0</v>
      </c>
      <c r="M22" s="197">
        <f>IF(AND($C$2="Yes",L22=1),N22,-IF(I22=2000,MIN(Rates!K38/100*M19,Rates!J38),IF(I22=5000,MIN(Rates!J39,Rates!K39/100*M19),IF(I22=10000,MIN(Rates!K40/100*M19,Rates!J40)))))</f>
        <v>0</v>
      </c>
      <c r="N22" s="236">
        <v>0</v>
      </c>
      <c r="O22" s="233">
        <f>IF(I22&gt;0,1,0)</f>
        <v>0</v>
      </c>
      <c r="P22" s="233"/>
      <c r="Q22" s="466"/>
      <c r="R22" s="231"/>
      <c r="S22" s="586"/>
      <c r="T22" s="586"/>
      <c r="U22" s="586"/>
      <c r="V22" s="586"/>
      <c r="W22" s="622"/>
      <c r="X22" s="590"/>
      <c r="Y22" s="590"/>
      <c r="Z22" s="623">
        <f ca="1">M35+M36</f>
        <v>3160.1185000000005</v>
      </c>
      <c r="AA22" s="590"/>
      <c r="AM22" s="219"/>
      <c r="AU22" s="142">
        <f t="shared" si="1"/>
        <v>1984</v>
      </c>
    </row>
    <row r="23" spans="2:50" s="142" customFormat="1" ht="16" customHeight="1" thickBot="1" x14ac:dyDescent="0.35">
      <c r="B23" s="5"/>
      <c r="C23" s="137"/>
      <c r="D23" s="321" t="s">
        <v>284</v>
      </c>
      <c r="E23" s="342" t="s">
        <v>9</v>
      </c>
      <c r="F23" s="267" t="s">
        <v>3</v>
      </c>
      <c r="G23" s="267"/>
      <c r="H23" s="557">
        <v>77.141999999999996</v>
      </c>
      <c r="I23" s="1615" t="str">
        <f ca="1">IF(AND(U23=0,M23&lt;0),"   (Special Rebate Allowed)",IF(U23=0,"   (Rebate Not Allowed)",IF(AND(H12="Hybrid",M23&lt;0),"N.B:- Hybrid Vehicle",IF(AND(H11="Korean",M23&lt;0),"N.B:- Korean Vehicle",""))))</f>
        <v/>
      </c>
      <c r="J23" s="1616"/>
      <c r="K23" s="1616"/>
      <c r="L23" s="1616"/>
      <c r="M23" s="193">
        <f ca="1">IF(AND($C$2="Yes",O23=1),N23,IF(AND(U23=0,C24=1),-((M19+M21+M22)*I24%),-((M19+M21+M22)*H23%*U23)))</f>
        <v>-10664.881500000001</v>
      </c>
      <c r="N23" s="236">
        <v>0</v>
      </c>
      <c r="O23" s="669">
        <v>0</v>
      </c>
      <c r="P23" s="491">
        <f ca="1">IF(M23&lt;0,1,0)</f>
        <v>1</v>
      </c>
      <c r="Q23" s="517">
        <f>Rates!C29</f>
        <v>75</v>
      </c>
      <c r="R23" s="518">
        <f>IF(AND(T47=0,Rates!C28="No"),1,0)</f>
        <v>0</v>
      </c>
      <c r="S23" s="624"/>
      <c r="T23" s="624">
        <f>IF(R23=1,0,IF(AND(H11="Chinese",Rates!D64="No"),0,IF(AND(H12="Hybrid",Rates!D76="No"),0,IF(AND(H11="Korean",Rates!D58="Yes"),1,IF(AND(H11="Korean",H14="No",Rates!D58="No"),0,IF(AND(H11="Korean",H14="Yes",Rates!D58="No",OR(J11="Reconditioned",J11="Registered")),0,Q23))))))</f>
        <v>75</v>
      </c>
      <c r="U23" s="624">
        <f>IF(T23=0,0,1)</f>
        <v>1</v>
      </c>
      <c r="V23" s="624"/>
      <c r="W23" s="602"/>
      <c r="X23" s="602"/>
      <c r="Y23" s="602">
        <v>0</v>
      </c>
      <c r="Z23" s="602">
        <f ca="1">Z22*-H37%</f>
        <v>-790.02962500000012</v>
      </c>
      <c r="AA23" s="602"/>
      <c r="AB23" s="519"/>
      <c r="AC23" s="519"/>
      <c r="AD23" s="519"/>
      <c r="AE23" s="519"/>
      <c r="AM23" s="219"/>
      <c r="AU23" s="142">
        <f t="shared" si="1"/>
        <v>1985</v>
      </c>
    </row>
    <row r="24" spans="2:50" s="142" customFormat="1" ht="16" thickBot="1" x14ac:dyDescent="0.4">
      <c r="B24" s="5"/>
      <c r="C24" s="137">
        <f>IF(H24=D24,1,0)</f>
        <v>0</v>
      </c>
      <c r="D24" s="430" t="s">
        <v>404</v>
      </c>
      <c r="E24" s="179"/>
      <c r="F24" s="295"/>
      <c r="G24" s="429" t="str">
        <f>IF(U23=0,"Enter Password for Special Rebate =&gt;","")</f>
        <v/>
      </c>
      <c r="H24" s="522"/>
      <c r="I24" s="431">
        <v>15</v>
      </c>
      <c r="J24" s="431"/>
      <c r="K24" s="330"/>
      <c r="L24" s="330" t="s">
        <v>285</v>
      </c>
      <c r="M24" s="437">
        <f ca="1">SUM(M19:M23)</f>
        <v>3160.1185000000005</v>
      </c>
      <c r="N24" s="237"/>
      <c r="O24" s="233">
        <f ca="1">O23+M24</f>
        <v>3160.1185000000005</v>
      </c>
      <c r="P24" s="233"/>
      <c r="Q24" s="534"/>
      <c r="R24" s="534"/>
      <c r="S24" s="625"/>
      <c r="T24" s="625"/>
      <c r="U24" s="625"/>
      <c r="V24" s="625"/>
      <c r="W24" s="590"/>
      <c r="X24" s="590"/>
      <c r="Y24" s="590"/>
      <c r="Z24" s="626" t="s">
        <v>158</v>
      </c>
      <c r="AA24" s="590"/>
      <c r="AD24" s="379" t="s">
        <v>157</v>
      </c>
      <c r="AJ24" s="142">
        <v>0</v>
      </c>
      <c r="AM24" s="219"/>
      <c r="AU24" s="142">
        <f t="shared" si="1"/>
        <v>1986</v>
      </c>
    </row>
    <row r="25" spans="2:50" s="142" customFormat="1" ht="18" customHeight="1" thickBot="1" x14ac:dyDescent="0.4">
      <c r="B25" s="5"/>
      <c r="C25" s="137"/>
      <c r="D25" s="321" t="s">
        <v>284</v>
      </c>
      <c r="E25" s="342" t="s">
        <v>9</v>
      </c>
      <c r="F25" s="267" t="s">
        <v>326</v>
      </c>
      <c r="G25" s="76" t="s">
        <v>26</v>
      </c>
      <c r="H25" s="599">
        <f>'TW Quote'!R34</f>
        <v>0</v>
      </c>
      <c r="I25" s="1574" t="s">
        <v>447</v>
      </c>
      <c r="J25" s="1575"/>
      <c r="K25" s="1576"/>
      <c r="L25" s="328">
        <f>IF(H15&gt;0,AD25,0)</f>
        <v>1</v>
      </c>
      <c r="M25" s="198">
        <f>(H25/25000)*110</f>
        <v>0</v>
      </c>
      <c r="N25" s="236">
        <v>0</v>
      </c>
      <c r="O25" s="234">
        <v>0</v>
      </c>
      <c r="P25" s="229">
        <f>IF(H25&gt;0,1,0)</f>
        <v>0</v>
      </c>
      <c r="Q25" s="229">
        <f>IF(L27&gt;0,1,0)</f>
        <v>1</v>
      </c>
      <c r="R25" s="234">
        <f>P25+Q25</f>
        <v>1</v>
      </c>
      <c r="S25" s="585"/>
      <c r="T25" s="585"/>
      <c r="U25" s="585">
        <f>IF(T47=0,Rates!K10,IF(U57=1,Rates!K8,Rates!K9))</f>
        <v>25</v>
      </c>
      <c r="V25" s="585"/>
      <c r="W25" s="590">
        <f>IF(OR(U62=1,Rates!D41="Yes"),MIN(H25/25000*MIN(L25,AC25)*U25,X25),0)</f>
        <v>0</v>
      </c>
      <c r="X25" s="590">
        <f>MIN(H25/25000*MIN(L25,AC25)*U25*Y25,Rates!C40/25000*MIN(L25,AC25)*U25*Y25)</f>
        <v>0</v>
      </c>
      <c r="Y25" s="590">
        <f>IF(Rates!D39="Yes",1,0)</f>
        <v>1</v>
      </c>
      <c r="Z25" s="670">
        <f>IF(AND(AA25=1,R25=2),MAX(H25,Rates!C40),IF(AND(AA25=1,R25&lt;2),Rates!C40,IF(AND(AA25=0,R25=2),H25,0)))</f>
        <v>0</v>
      </c>
      <c r="AA25" s="590">
        <f>IF(OR(AND(U62=1,Rates!D39="Yes",Rates!C40&gt;0),AND(U62=0,Rates!D39="Yes",Rates!C40&gt;0,Rates!D41="Yes")),1,0)</f>
        <v>0</v>
      </c>
      <c r="AB25" s="142">
        <f>IF(AND(AA25=1,H25&lt;Rates!C40),AC25,L27)</f>
        <v>1</v>
      </c>
      <c r="AC25" s="142">
        <f>IF(OR(O57+Q57=1,W57=1),MIN(L13,Q12,Rates!D42),0)</f>
        <v>0</v>
      </c>
      <c r="AD25" s="142">
        <f>IF(AND(AA25=1,L27&lt;=AC25,H25&lt;=Rates!C40),AC25,IF(AND(AA25=1,L27=0,H25&gt;Rates!C40),AC25,AE25))</f>
        <v>1</v>
      </c>
      <c r="AE25" s="142">
        <f>IF(AND(L27&gt;Q12,Q12&gt;L13),L13,IF(AND(L27&gt;Q12,Q12&lt;=L13),Q12,IF(AND(L27&lt;Q12,L27&gt;L13),L13,L27)))</f>
        <v>1</v>
      </c>
      <c r="AJ25" s="142">
        <f>IF(AND(H9=Administration!C20,OR(M8=Administration!C7,M8=Administration!C8,M8=Administration!C9)),50000,25000)</f>
        <v>25000</v>
      </c>
      <c r="AM25" s="219"/>
      <c r="AU25" s="142">
        <f t="shared" si="1"/>
        <v>1987</v>
      </c>
    </row>
    <row r="26" spans="2:50" s="142" customFormat="1" ht="1.5" customHeight="1" thickBot="1" x14ac:dyDescent="0.35">
      <c r="B26" s="5"/>
      <c r="C26" s="137"/>
      <c r="D26" s="315"/>
      <c r="E26" s="497">
        <f>IF(I25="Full Seating Capacity",1,0)</f>
        <v>0</v>
      </c>
      <c r="F26" s="276" t="str">
        <f>IF(H25&gt;0,"Full Seating Capacity","")</f>
        <v/>
      </c>
      <c r="G26" s="497">
        <f>IF(OR(I25="Participant Only",I25="Participant &amp; Driver Only"),1,0)</f>
        <v>0</v>
      </c>
      <c r="H26" s="267" t="str">
        <f>IF(H25&gt;0,"for Participant","")</f>
        <v/>
      </c>
      <c r="I26" s="516">
        <f>IF(H15&gt;0,Z25,0)</f>
        <v>0</v>
      </c>
      <c r="J26" s="516"/>
      <c r="K26" s="310" t="str">
        <f>IF(H25&gt;0,"for Driver","")</f>
        <v/>
      </c>
      <c r="L26" s="497">
        <f>IF(OR(I25="Driver Only",I25="Participant &amp; Driver Only"),1,0)</f>
        <v>1</v>
      </c>
      <c r="M26" s="309"/>
      <c r="N26" s="238"/>
      <c r="O26" s="229" t="str">
        <f>IF(AND(E26=0,L25&gt;0),CONCATENATE(MIN(L25,L13)," Persons"),IF(E26=1,"Full Seating Capacity",IF(AND(G26=1,L26=1),"Participant &amp; Driver",IF(G26=1,"Participant only",IF(L26=1,"Driver only","")))))</f>
        <v>1 Persons</v>
      </c>
      <c r="P26" s="229"/>
      <c r="Q26" s="229"/>
      <c r="R26" s="234"/>
      <c r="S26" s="585"/>
      <c r="T26" s="585"/>
      <c r="U26" s="585"/>
      <c r="V26" s="585"/>
      <c r="W26" s="590"/>
      <c r="X26" s="590"/>
      <c r="Y26" s="590"/>
      <c r="Z26" s="670"/>
      <c r="AA26" s="590"/>
      <c r="AJ26" s="142">
        <f>AJ25+25000</f>
        <v>50000</v>
      </c>
      <c r="AM26" s="219"/>
      <c r="AU26" s="142">
        <f t="shared" si="1"/>
        <v>1988</v>
      </c>
      <c r="AX26" s="671"/>
    </row>
    <row r="27" spans="2:50" s="142" customFormat="1" ht="26.25" hidden="1" customHeight="1" thickBot="1" x14ac:dyDescent="0.35">
      <c r="B27" s="5"/>
      <c r="C27" s="137"/>
      <c r="D27" s="315"/>
      <c r="E27" s="295"/>
      <c r="F27" s="1614" t="str">
        <f>IF(OR($R$25&gt;1,AA25=1),"If PAB for Terrorism is Required for paid Driver or workers, state their number","")</f>
        <v/>
      </c>
      <c r="G27" s="1614"/>
      <c r="H27" s="1614"/>
      <c r="I27" s="312">
        <v>0</v>
      </c>
      <c r="J27" s="367"/>
      <c r="K27" s="201"/>
      <c r="L27" s="312">
        <f>IF(E26=1,L13,IF(AND(G26=1,L26=1),2,IF(OR(G26=1,L26=1),1,0)))</f>
        <v>1</v>
      </c>
      <c r="M27" s="341"/>
      <c r="O27" s="229"/>
      <c r="P27" s="229"/>
      <c r="Q27" s="222"/>
      <c r="R27" s="380"/>
      <c r="S27" s="627"/>
      <c r="T27" s="627"/>
      <c r="U27" s="627"/>
      <c r="V27" s="627"/>
      <c r="W27" s="628"/>
      <c r="X27" s="628"/>
      <c r="Y27" s="590"/>
      <c r="Z27" s="670"/>
      <c r="AA27" s="590"/>
      <c r="AJ27" s="142">
        <f t="shared" ref="AJ27:AJ43" si="2">AJ26+25000</f>
        <v>75000</v>
      </c>
      <c r="AM27" s="219"/>
      <c r="AU27" s="142">
        <f t="shared" si="1"/>
        <v>1989</v>
      </c>
      <c r="AX27" s="671"/>
    </row>
    <row r="28" spans="2:50" s="142" customFormat="1" ht="20.25" hidden="1" customHeight="1" thickBot="1" x14ac:dyDescent="0.35">
      <c r="B28" s="5"/>
      <c r="C28" s="137"/>
      <c r="D28" s="315"/>
      <c r="E28" s="202"/>
      <c r="F28" s="1614"/>
      <c r="G28" s="1614"/>
      <c r="H28" s="1614"/>
      <c r="I28" s="1617" t="str">
        <f>IF(AND(H25=0,L25=0),"",IF(I27&gt;L25,"Invalid Entry",""))</f>
        <v/>
      </c>
      <c r="J28" s="1617"/>
      <c r="K28" s="1617"/>
      <c r="L28" s="295"/>
      <c r="M28" s="198"/>
      <c r="N28" s="239"/>
      <c r="O28" s="233"/>
      <c r="P28" s="233"/>
      <c r="Q28" s="380"/>
      <c r="R28" s="234"/>
      <c r="S28" s="585"/>
      <c r="T28" s="585"/>
      <c r="U28" s="585"/>
      <c r="V28" s="585"/>
      <c r="W28" s="590"/>
      <c r="X28" s="590"/>
      <c r="Y28" s="590"/>
      <c r="Z28" s="590">
        <f>IF(I27&gt;L25,L25,I27)</f>
        <v>0</v>
      </c>
      <c r="AA28" s="590"/>
      <c r="AJ28" s="142">
        <f t="shared" si="2"/>
        <v>100000</v>
      </c>
      <c r="AM28" s="219"/>
      <c r="AU28" s="142">
        <f t="shared" si="1"/>
        <v>1990</v>
      </c>
      <c r="AX28" s="671"/>
    </row>
    <row r="29" spans="2:50" s="142" customFormat="1" ht="20.25" customHeight="1" thickBot="1" x14ac:dyDescent="0.4">
      <c r="B29" s="5"/>
      <c r="C29" s="137"/>
      <c r="D29" s="321" t="s">
        <v>284</v>
      </c>
      <c r="E29" s="342" t="s">
        <v>9</v>
      </c>
      <c r="F29" s="77" t="s">
        <v>47</v>
      </c>
      <c r="G29" s="77"/>
      <c r="H29" s="601">
        <f>'TW Quote'!R36</f>
        <v>0</v>
      </c>
      <c r="I29" s="316" t="str">
        <f>IF(L13&gt;Q12,CONCATENATE(Q12-1," Passengers"),CONCATENATE(L13-1," passengers"))</f>
        <v>3 passengers</v>
      </c>
      <c r="J29" s="318"/>
      <c r="K29" s="562">
        <f>IF(AND(H8="Three Wheeler",K14=F112,H29&lt;20000),20000,H29)</f>
        <v>0</v>
      </c>
      <c r="L29" s="561"/>
      <c r="M29" s="187">
        <f>IF(AND($C$2="Yes",O29=1),N29,IF(K29=2000,Rates!K27,IF(K29=10000,Rates!M27,IF(K29=20000,Rates!K28,IF(K29=50000,Rates!M28,IF(K29=100000,Rates!K29,IF(K29=200000,Rates!M29,IF(K29=500000,Rates!K30,))))))))*T29*U2*R15*Y2*Z49*Y49*Q65*N3</f>
        <v>0</v>
      </c>
      <c r="N29" s="236">
        <v>0</v>
      </c>
      <c r="O29" s="669">
        <v>0</v>
      </c>
      <c r="P29" s="229">
        <f>IF(K29&gt;0,1,0)</f>
        <v>0</v>
      </c>
      <c r="Q29" s="229">
        <f>IF(I29&gt;0,1,0)</f>
        <v>1</v>
      </c>
      <c r="R29" s="234">
        <f>P29+Q29</f>
        <v>1</v>
      </c>
      <c r="S29" s="585"/>
      <c r="T29" s="586">
        <f>IF(I29&gt;L13-1,L13-1,I29)</f>
        <v>3</v>
      </c>
      <c r="U29" s="586"/>
      <c r="V29" s="586">
        <f>IF(AND(H9=Administration!C21,OR(Working!M8=Administration!C7,M8=Administration!C8,M8=Administration!C9,M8=Administration!C10,M8=Administration!C12)),2000,0)</f>
        <v>2000</v>
      </c>
      <c r="W29" s="590"/>
      <c r="X29" s="590"/>
      <c r="Y29" s="590"/>
      <c r="Z29" s="590"/>
      <c r="AA29" s="590"/>
      <c r="AJ29" s="142">
        <f t="shared" si="2"/>
        <v>125000</v>
      </c>
      <c r="AM29" s="219"/>
      <c r="AU29" s="142">
        <f t="shared" si="1"/>
        <v>1991</v>
      </c>
      <c r="AX29" s="672"/>
    </row>
    <row r="30" spans="2:50" s="142" customFormat="1" ht="21" customHeight="1" thickBot="1" x14ac:dyDescent="0.35">
      <c r="B30" s="5"/>
      <c r="C30" s="345" t="s">
        <v>78</v>
      </c>
      <c r="D30" s="321" t="s">
        <v>284</v>
      </c>
      <c r="E30" s="342" t="s">
        <v>9</v>
      </c>
      <c r="F30" s="499" t="str">
        <f>IF(O31=0,"Goods Cover               (Not Provided)",IF(AND(C30="Yes",H30=0),"Goods Cover    - Enter Goods Value","Goods Cover              Goods Value-&gt;"))</f>
        <v>Goods Cover    - Enter Goods Value</v>
      </c>
      <c r="G30" s="295"/>
      <c r="H30" s="604">
        <v>0</v>
      </c>
      <c r="I30" s="1618" t="s">
        <v>39</v>
      </c>
      <c r="J30" s="1619"/>
      <c r="K30" s="673" t="s">
        <v>403</v>
      </c>
      <c r="L30" s="498">
        <v>0</v>
      </c>
      <c r="M30" s="189"/>
      <c r="N30" s="236">
        <v>0</v>
      </c>
      <c r="O30" s="229">
        <f>IF(AND(C30="Yes",H30&gt;0),1,0)</f>
        <v>0</v>
      </c>
      <c r="P30" s="229"/>
      <c r="Q30" s="219"/>
      <c r="S30" s="559"/>
      <c r="T30" s="559">
        <f>IF(C30="Yes",Rates!B33,0)</f>
        <v>5000</v>
      </c>
      <c r="U30" s="623">
        <f>IF(AND(O31=1,C30="Yes"),Rates!B31,0)</f>
        <v>1000000</v>
      </c>
      <c r="V30" s="623"/>
      <c r="W30" s="590"/>
      <c r="X30" s="590"/>
      <c r="Y30" s="590"/>
      <c r="Z30" s="590"/>
      <c r="AA30" s="590"/>
      <c r="AJ30" s="142">
        <f t="shared" si="2"/>
        <v>150000</v>
      </c>
      <c r="AM30" s="219"/>
      <c r="AU30" s="142">
        <f t="shared" si="1"/>
        <v>1992</v>
      </c>
    </row>
    <row r="31" spans="2:50" s="142" customFormat="1" ht="0.75" customHeight="1" thickBot="1" x14ac:dyDescent="0.35">
      <c r="B31" s="674">
        <v>1</v>
      </c>
      <c r="C31" s="475">
        <v>1</v>
      </c>
      <c r="D31" s="314"/>
      <c r="E31" s="344" t="str">
        <f>IF(AND(H30&gt;0,O31&gt;0),"Select Nature of Goods","")</f>
        <v/>
      </c>
      <c r="F31" s="295"/>
      <c r="G31" s="205" t="s">
        <v>9</v>
      </c>
      <c r="H31" s="329" t="str">
        <f>IF(AND(H30&gt;0,O31=1),"Non Hazardous","")</f>
        <v/>
      </c>
      <c r="I31" s="311">
        <f>H30*Rates!K53%*T31*O30*O31</f>
        <v>0</v>
      </c>
      <c r="J31" s="675"/>
      <c r="K31" s="675"/>
      <c r="L31" s="675"/>
      <c r="M31" s="192"/>
      <c r="N31" s="240"/>
      <c r="O31" s="142">
        <f>IF(OR(H8=Administration!C9,H8=Administration!C11,H8=Administration!C12,H8=Administration!CY1548),1,IF(Rates!D47="Yes",1,0))</f>
        <v>1</v>
      </c>
      <c r="Q31" s="142">
        <f>B31</f>
        <v>1</v>
      </c>
      <c r="R31" s="142">
        <f>IF(Q31+Q32=3,0,1)</f>
        <v>1</v>
      </c>
      <c r="S31" s="559"/>
      <c r="T31" s="559">
        <f>IF((E32+E33)=0,1,0)</f>
        <v>0</v>
      </c>
      <c r="U31" s="590">
        <f>IF(T31=1,1,0)</f>
        <v>0</v>
      </c>
      <c r="V31" s="590"/>
      <c r="W31" s="590"/>
      <c r="X31" s="590"/>
      <c r="Y31" s="590"/>
      <c r="Z31" s="590"/>
      <c r="AA31" s="590"/>
      <c r="AJ31" s="142">
        <f t="shared" si="2"/>
        <v>175000</v>
      </c>
      <c r="AM31" s="219"/>
      <c r="AU31" s="142">
        <f t="shared" si="1"/>
        <v>1993</v>
      </c>
      <c r="AX31" s="672" t="s">
        <v>392</v>
      </c>
    </row>
    <row r="32" spans="2:50" s="142" customFormat="1" ht="23.25" hidden="1" customHeight="1" thickBot="1" x14ac:dyDescent="0.35">
      <c r="B32" s="5"/>
      <c r="D32" s="314"/>
      <c r="E32" s="498">
        <f>IF(I30="Hazardous",1,0)</f>
        <v>0</v>
      </c>
      <c r="F32" s="295"/>
      <c r="G32" s="205" t="s">
        <v>9</v>
      </c>
      <c r="H32" s="329" t="str">
        <f>IF(AND(H30&gt;0,O31=1),"Hazardous","")</f>
        <v/>
      </c>
      <c r="I32" s="311">
        <f>H30*Rates!K54%*Q32*O30*O31</f>
        <v>0</v>
      </c>
      <c r="J32" s="675"/>
      <c r="K32" s="675"/>
      <c r="L32" s="675"/>
      <c r="M32" s="192"/>
      <c r="N32" s="240"/>
      <c r="Q32" s="142">
        <f>IF(Q33=1,0,E32)</f>
        <v>0</v>
      </c>
      <c r="S32" s="559"/>
      <c r="T32" s="559" t="str">
        <f>IF(AND(E33=1,H30&gt;0,C30="Yes"),"Extra Hazardous",U32)</f>
        <v>-</v>
      </c>
      <c r="U32" s="559" t="str">
        <f>IF(AND(H30&gt;0,E32=1,C30="Yes"),"Hazardous",W32)</f>
        <v>-</v>
      </c>
      <c r="V32" s="559"/>
      <c r="W32" s="559" t="str">
        <f>IF(AND(H30&gt;0,C30="Yes"),"Non Hazardous","-")</f>
        <v>-</v>
      </c>
      <c r="X32" s="559"/>
      <c r="Y32" s="559"/>
      <c r="Z32" s="559"/>
      <c r="AA32" s="559"/>
      <c r="AJ32" s="142">
        <f t="shared" si="2"/>
        <v>200000</v>
      </c>
      <c r="AM32" s="219"/>
      <c r="AU32" s="142">
        <f t="shared" si="1"/>
        <v>1994</v>
      </c>
      <c r="AX32" s="672" t="s">
        <v>385</v>
      </c>
    </row>
    <row r="33" spans="2:50" s="142" customFormat="1" ht="18" hidden="1" customHeight="1" thickTop="1" thickBot="1" x14ac:dyDescent="0.35">
      <c r="B33" s="5"/>
      <c r="D33" s="314"/>
      <c r="E33" s="498">
        <f>IF(I30="Extra Hazardous",1,0)</f>
        <v>1</v>
      </c>
      <c r="F33" s="295"/>
      <c r="G33" s="205" t="s">
        <v>9</v>
      </c>
      <c r="H33" s="329" t="str">
        <f>IF(AND(H30&gt;0,O31=1),"Extra Hazardous","")</f>
        <v/>
      </c>
      <c r="I33" s="311">
        <f>H30*Rates!K55%*E33*O30*O31</f>
        <v>0</v>
      </c>
      <c r="J33" s="675"/>
      <c r="K33" s="675"/>
      <c r="L33" s="675"/>
      <c r="M33" s="192"/>
      <c r="N33" s="1592" t="str">
        <f>IF($Y$48="Private Car Policy",HYPERLINK("[Special Motor Quotation 2012.xls]Private_Car!I20","Click to Print"),IF($Y$48="Motor Cycle Policy",HYPERLINK("[Special Motor Quotation 2012.xls]Motor_Cycle!I20","Click to Print"),HYPERLINK("[Special Motor Quotation 2012.xls]Commercial_Vehicle!I20","Click to Print")))</f>
        <v>Click to Print</v>
      </c>
      <c r="O33" s="1593"/>
      <c r="Q33" s="142">
        <f>E33</f>
        <v>1</v>
      </c>
      <c r="S33" s="559"/>
      <c r="T33" s="559"/>
      <c r="U33" s="559"/>
      <c r="V33" s="559"/>
      <c r="W33" s="559"/>
      <c r="X33" s="559"/>
      <c r="Y33" s="559"/>
      <c r="Z33" s="559"/>
      <c r="AA33" s="559"/>
      <c r="AJ33" s="142">
        <f t="shared" si="2"/>
        <v>225000</v>
      </c>
      <c r="AM33" s="219"/>
      <c r="AU33" s="142">
        <f t="shared" si="1"/>
        <v>1995</v>
      </c>
      <c r="AX33" s="672" t="s">
        <v>393</v>
      </c>
    </row>
    <row r="34" spans="2:50" s="142" customFormat="1" ht="18" customHeight="1" thickBot="1" x14ac:dyDescent="0.35">
      <c r="B34" s="5"/>
      <c r="D34" s="314"/>
      <c r="E34" s="498">
        <f>IF(K30="With Fire",1,0)</f>
        <v>1</v>
      </c>
      <c r="F34" s="270" t="str">
        <f>IF(AND(H30&gt;0,O31=1),"Select to include Damage by Fire","")</f>
        <v/>
      </c>
      <c r="G34" s="205" t="s">
        <v>9</v>
      </c>
      <c r="H34" s="329" t="str">
        <f>IF(AND(H30&gt;0,O31=1),"Fire","")</f>
        <v/>
      </c>
      <c r="I34" s="311">
        <f>H30*E34*Rates!K56%*O30*O31</f>
        <v>0</v>
      </c>
      <c r="J34" s="675"/>
      <c r="K34" s="675"/>
      <c r="L34" s="675"/>
      <c r="M34" s="192"/>
      <c r="N34" s="1594"/>
      <c r="O34" s="1595"/>
      <c r="S34" s="559"/>
      <c r="T34" s="559"/>
      <c r="U34" s="559"/>
      <c r="V34" s="559"/>
      <c r="W34" s="559"/>
      <c r="X34" s="559"/>
      <c r="Y34" s="559"/>
      <c r="Z34" s="559"/>
      <c r="AA34" s="559"/>
      <c r="AJ34" s="142">
        <f t="shared" si="2"/>
        <v>250000</v>
      </c>
      <c r="AM34" s="219"/>
      <c r="AU34" s="536">
        <f t="shared" si="1"/>
        <v>1996</v>
      </c>
    </row>
    <row r="35" spans="2:50" s="142" customFormat="1" ht="16.5" thickTop="1" thickBot="1" x14ac:dyDescent="0.4">
      <c r="B35" s="5"/>
      <c r="C35" s="136"/>
      <c r="D35" s="500"/>
      <c r="E35" s="501"/>
      <c r="F35" s="502"/>
      <c r="G35" s="503"/>
      <c r="H35" s="504">
        <f>IF(H36=0,H37,H36)</f>
        <v>25</v>
      </c>
      <c r="I35" s="505"/>
      <c r="J35" s="505"/>
      <c r="K35" s="506"/>
      <c r="L35" s="506" t="s">
        <v>286</v>
      </c>
      <c r="M35" s="507">
        <f ca="1">M24+M25+M30+M29</f>
        <v>3160.1185000000005</v>
      </c>
      <c r="N35" s="237"/>
      <c r="O35" s="229"/>
      <c r="P35" s="229"/>
      <c r="Q35" s="241"/>
      <c r="AJ35" s="142">
        <f t="shared" si="2"/>
        <v>275000</v>
      </c>
      <c r="AM35" s="219"/>
      <c r="AU35" s="536">
        <f t="shared" si="1"/>
        <v>1997</v>
      </c>
    </row>
    <row r="36" spans="2:50" s="142" customFormat="1" ht="16" customHeight="1" thickBot="1" x14ac:dyDescent="0.4">
      <c r="B36" s="5"/>
      <c r="C36" s="137" t="str">
        <f>IF(H38="Upfront NCB","NCB (No Claim Bonus)","No Claim Bonus (NCB)")</f>
        <v>No Claim Bonus (NCB)</v>
      </c>
      <c r="D36" s="321" t="s">
        <v>284</v>
      </c>
      <c r="E36" s="342" t="s">
        <v>9</v>
      </c>
      <c r="F36" s="267" t="s">
        <v>320</v>
      </c>
      <c r="G36" s="374">
        <f>H36+H37</f>
        <v>25</v>
      </c>
      <c r="H36" s="676">
        <f>'TW Quote'!T34</f>
        <v>0</v>
      </c>
      <c r="I36" s="1572" t="str">
        <f>IF(H36&gt;R36,CONCATENATE("NCB ALLOWED - ",R36),IF(H36&gt;0,"Earned NCB - NOT Upfront NCB",IF(AND(M8=Administration!C19,H9=Administration!C20),"NCB Not Allowed","")))</f>
        <v/>
      </c>
      <c r="J36" s="1573"/>
      <c r="K36" s="1573"/>
      <c r="L36" s="498">
        <v>0</v>
      </c>
      <c r="M36" s="193">
        <f ca="1">IF(AND($C$2="Yes",L36=1),N36,(-M35/1*MIN(H36%,R36%)*Y2))</f>
        <v>0</v>
      </c>
      <c r="N36" s="677">
        <v>0</v>
      </c>
      <c r="O36" s="229">
        <f ca="1">IF(OR(AND(H36&gt;0%,M36&lt;0),M37&lt;0),1,0)</f>
        <v>1</v>
      </c>
      <c r="P36" s="229"/>
      <c r="Q36" s="488"/>
      <c r="R36" s="242">
        <f>IF(T47=0,35,IF(U57=1,75,65))</f>
        <v>65</v>
      </c>
      <c r="S36" s="242"/>
      <c r="T36" s="231"/>
      <c r="U36" s="231"/>
      <c r="V36" s="231"/>
      <c r="W36" s="141"/>
      <c r="X36" s="141"/>
      <c r="Y36" s="141"/>
      <c r="Z36" s="141"/>
      <c r="AJ36" s="142">
        <f t="shared" si="2"/>
        <v>300000</v>
      </c>
      <c r="AU36" s="536">
        <f t="shared" si="1"/>
        <v>1998</v>
      </c>
      <c r="AX36" s="678"/>
    </row>
    <row r="37" spans="2:50" s="142" customFormat="1" ht="16" customHeight="1" thickBot="1" x14ac:dyDescent="0.4">
      <c r="B37" s="5"/>
      <c r="C37" s="137"/>
      <c r="D37" s="321"/>
      <c r="E37" s="508" t="s">
        <v>9</v>
      </c>
      <c r="F37" s="267" t="s">
        <v>321</v>
      </c>
      <c r="G37" s="656">
        <f>IF(H36+H37&gt;35,35-H36,H37)</f>
        <v>25</v>
      </c>
      <c r="H37" s="556">
        <v>25</v>
      </c>
      <c r="I37" s="1570" t="str">
        <f>IF(G37&lt;&gt;H37,CONCATENATE(G37,"% NCB Allowed (Max - 35%)"),"")</f>
        <v/>
      </c>
      <c r="J37" s="1571"/>
      <c r="K37" s="1571"/>
      <c r="L37" s="498">
        <v>0</v>
      </c>
      <c r="M37" s="456">
        <f ca="1">IF(AND($C$2="Yes",L37=1),Q37,(-M35/1*G37%))</f>
        <v>-790.02962500000012</v>
      </c>
      <c r="N37" s="677">
        <v>-121</v>
      </c>
      <c r="O37" s="229"/>
      <c r="P37" s="229"/>
      <c r="Q37" s="488"/>
      <c r="R37" s="242">
        <f>IF(H36+H37&gt;R36,0,1)</f>
        <v>1</v>
      </c>
      <c r="S37" s="242"/>
      <c r="T37" s="231"/>
      <c r="U37" s="231"/>
      <c r="V37" s="231"/>
      <c r="W37" s="141"/>
      <c r="X37" s="141"/>
      <c r="Y37" s="141"/>
      <c r="Z37" s="141"/>
      <c r="AU37" s="536">
        <f t="shared" ref="AU37:AU42" si="3">AU36+1</f>
        <v>1999</v>
      </c>
      <c r="AX37" s="678"/>
    </row>
    <row r="38" spans="2:50" s="142" customFormat="1" ht="15" customHeight="1" thickBot="1" x14ac:dyDescent="0.35">
      <c r="B38" s="5"/>
      <c r="C38" s="136"/>
      <c r="D38" s="509"/>
      <c r="E38" s="510"/>
      <c r="F38" s="502"/>
      <c r="G38" s="511"/>
      <c r="H38" s="512" t="s">
        <v>320</v>
      </c>
      <c r="I38" s="513" t="s">
        <v>398</v>
      </c>
      <c r="J38" s="514"/>
      <c r="K38" s="515"/>
      <c r="L38" s="506" t="s">
        <v>287</v>
      </c>
      <c r="M38" s="507">
        <f ca="1">(M35+M36+M37)*C69</f>
        <v>2370.0888750000004</v>
      </c>
      <c r="N38" s="237"/>
      <c r="O38" s="243">
        <f ca="1">M35+M36</f>
        <v>3160.1185000000005</v>
      </c>
      <c r="P38" s="142">
        <f>IF(O44=1,Rates!K4,Rates!K3)</f>
        <v>0.25</v>
      </c>
      <c r="Q38" s="142">
        <f>IF(B40="Yes",1,0)</f>
        <v>1</v>
      </c>
      <c r="R38" s="489"/>
      <c r="S38" s="489"/>
      <c r="T38" s="489"/>
      <c r="U38" s="489"/>
      <c r="V38" s="489"/>
      <c r="W38" s="141"/>
      <c r="X38" s="141"/>
      <c r="Y38" s="141"/>
      <c r="Z38" s="141"/>
      <c r="AA38" s="559"/>
      <c r="AB38" s="559"/>
      <c r="AC38" s="559"/>
      <c r="AD38" s="559"/>
      <c r="AE38" s="559"/>
      <c r="AF38" s="559"/>
      <c r="AG38" s="559"/>
      <c r="AH38" s="559"/>
      <c r="AJ38" s="142">
        <f>AJ36+25000</f>
        <v>325000</v>
      </c>
      <c r="AU38" s="536">
        <f t="shared" si="3"/>
        <v>2000</v>
      </c>
      <c r="AX38" s="678"/>
    </row>
    <row r="39" spans="2:50" s="142" customFormat="1" ht="15" customHeight="1" thickBot="1" x14ac:dyDescent="0.45">
      <c r="B39" s="667" t="str">
        <f>IF(C39=1,"Yes","No")</f>
        <v>Yes</v>
      </c>
      <c r="C39" s="531">
        <v>1</v>
      </c>
      <c r="D39" s="321" t="s">
        <v>284</v>
      </c>
      <c r="E39" s="342" t="s">
        <v>9</v>
      </c>
      <c r="F39" s="267" t="s">
        <v>288</v>
      </c>
      <c r="G39" s="267"/>
      <c r="H39" s="221"/>
      <c r="I39" s="188"/>
      <c r="J39" s="188"/>
      <c r="K39" s="9"/>
      <c r="L39" s="498">
        <v>0</v>
      </c>
      <c r="M39" s="189">
        <f ca="1">IF(AND($C$2="Yes",L39=1),N39,IF(B39="Yes",M19*Rates!K11%,0))</f>
        <v>1382.5000000000002</v>
      </c>
      <c r="N39" s="236">
        <v>0</v>
      </c>
      <c r="O39" s="142">
        <f>IF(B40="Yes",1,0)</f>
        <v>1</v>
      </c>
      <c r="P39" s="142">
        <f>IF(O44=1,Rates!K6,Rates!K5)</f>
        <v>6.25E-2</v>
      </c>
      <c r="Q39" s="142">
        <f>IF(B41="Yes",1,0)</f>
        <v>1</v>
      </c>
      <c r="R39" s="489"/>
      <c r="S39" s="489"/>
      <c r="T39" s="489"/>
      <c r="U39" s="489"/>
      <c r="V39" s="489"/>
      <c r="W39" s="141"/>
      <c r="X39" s="141"/>
      <c r="Y39" s="141"/>
      <c r="Z39" s="141"/>
      <c r="AA39" s="559"/>
      <c r="AB39" s="559"/>
      <c r="AC39" s="559"/>
      <c r="AD39" s="559"/>
      <c r="AE39" s="559"/>
      <c r="AF39" s="559"/>
      <c r="AG39" s="559"/>
      <c r="AH39" s="559"/>
      <c r="AJ39" s="142">
        <f t="shared" si="2"/>
        <v>350000</v>
      </c>
      <c r="AU39" s="536">
        <f t="shared" si="3"/>
        <v>2001</v>
      </c>
      <c r="AX39" s="678"/>
    </row>
    <row r="40" spans="2:50" s="142" customFormat="1" ht="16" customHeight="1" thickBot="1" x14ac:dyDescent="0.35">
      <c r="B40" s="667" t="str">
        <f>IF(C40=1,"Yes","No")</f>
        <v>Yes</v>
      </c>
      <c r="C40" s="531">
        <v>1</v>
      </c>
      <c r="D40" s="321" t="s">
        <v>284</v>
      </c>
      <c r="E40" s="342" t="s">
        <v>9</v>
      </c>
      <c r="F40" s="267" t="s">
        <v>14</v>
      </c>
      <c r="G40" s="267"/>
      <c r="H40" s="188"/>
      <c r="I40" s="188"/>
      <c r="J40" s="188"/>
      <c r="K40" s="9"/>
      <c r="L40" s="498">
        <v>0</v>
      </c>
      <c r="M40" s="189">
        <f>IF(AND($C$2="Yes",L40=1),N40,(Q38*P38%*H15*U2*Z2*N4))</f>
        <v>1975</v>
      </c>
      <c r="N40" s="236">
        <v>0</v>
      </c>
      <c r="O40" s="1582"/>
      <c r="P40" s="1582"/>
      <c r="Q40" s="1582"/>
      <c r="R40" s="1582"/>
      <c r="S40" s="1582"/>
      <c r="T40" s="1582"/>
      <c r="U40" s="1582"/>
      <c r="V40" s="1582"/>
      <c r="AA40" s="559"/>
      <c r="AB40" s="559"/>
      <c r="AC40" s="559"/>
      <c r="AD40" s="559"/>
      <c r="AE40" s="559"/>
      <c r="AF40" s="559"/>
      <c r="AG40" s="559"/>
      <c r="AH40" s="559"/>
      <c r="AJ40" s="142">
        <f t="shared" si="2"/>
        <v>375000</v>
      </c>
      <c r="AU40" s="536">
        <f t="shared" si="3"/>
        <v>2002</v>
      </c>
      <c r="AX40" s="678"/>
    </row>
    <row r="41" spans="2:50" s="142" customFormat="1" ht="16" customHeight="1" thickBot="1" x14ac:dyDescent="0.35">
      <c r="B41" s="667" t="str">
        <f>IF(C42=1,"Yes","No")</f>
        <v>Yes</v>
      </c>
      <c r="C41" s="136"/>
      <c r="D41" s="441">
        <f>IF(OR($R$25&gt;1,AA25=1),1,0)</f>
        <v>0</v>
      </c>
      <c r="E41" s="498">
        <v>1</v>
      </c>
      <c r="F41" s="267" t="str">
        <f>IF(AND($C$40=1,D41=1),CONCATENATE("     PAB by SRCC (Rs.",Y42,")"),"")</f>
        <v/>
      </c>
      <c r="G41" s="498">
        <v>1</v>
      </c>
      <c r="H41" s="442" t="str">
        <f>IF(AND($C$40=1,M30&gt;0),"   Goods Cover by SRCC","")</f>
        <v/>
      </c>
      <c r="I41" s="204"/>
      <c r="J41" s="498">
        <v>1</v>
      </c>
      <c r="K41" s="443" t="str">
        <f>IF(AND($C$40=1,OR(H50&gt;0,H51&gt;0)),"WCT by SRCC","")</f>
        <v/>
      </c>
      <c r="L41" s="498">
        <v>1</v>
      </c>
      <c r="M41" s="189">
        <v>0</v>
      </c>
      <c r="N41" s="236">
        <v>0</v>
      </c>
      <c r="O41" s="1582"/>
      <c r="P41" s="1582"/>
      <c r="Q41" s="1582"/>
      <c r="R41" s="1582"/>
      <c r="S41" s="1582"/>
      <c r="T41" s="1582"/>
      <c r="U41" s="1582"/>
      <c r="V41" s="1582"/>
      <c r="X41" s="474" t="s">
        <v>19</v>
      </c>
      <c r="Y41" s="474" t="s">
        <v>17</v>
      </c>
      <c r="Z41" s="474" t="s">
        <v>18</v>
      </c>
      <c r="AA41" s="593"/>
      <c r="AB41" s="594" t="s">
        <v>147</v>
      </c>
      <c r="AC41" s="595" t="s">
        <v>150</v>
      </c>
      <c r="AD41" s="596" t="s">
        <v>151</v>
      </c>
      <c r="AE41" s="595" t="s">
        <v>150</v>
      </c>
      <c r="AF41" s="559"/>
      <c r="AG41" s="559" t="s">
        <v>153</v>
      </c>
      <c r="AH41" s="559" t="s">
        <v>152</v>
      </c>
      <c r="AJ41" s="142">
        <f t="shared" si="2"/>
        <v>400000</v>
      </c>
      <c r="AU41" s="536">
        <f t="shared" si="3"/>
        <v>2003</v>
      </c>
    </row>
    <row r="42" spans="2:50" s="142" customFormat="1" ht="18.75" customHeight="1" thickBot="1" x14ac:dyDescent="0.35">
      <c r="B42" s="118"/>
      <c r="C42" s="679">
        <f>IF('TW Quote'!T20="No",0,1)</f>
        <v>1</v>
      </c>
      <c r="D42" s="321" t="s">
        <v>284</v>
      </c>
      <c r="E42" s="342" t="s">
        <v>9</v>
      </c>
      <c r="F42" s="267" t="s">
        <v>379</v>
      </c>
      <c r="G42" s="267"/>
      <c r="H42" s="444" t="str">
        <f>IF(X42&gt;0,CONCATENATE("    (Rs.",X42,")"),"")</f>
        <v/>
      </c>
      <c r="I42" s="188"/>
      <c r="J42" s="188"/>
      <c r="K42" s="444" t="str">
        <f>IF(Z42&gt;0,CONCATENATE("  (Rs.",FIXED(Z42),")"),"")</f>
        <v/>
      </c>
      <c r="L42" s="498">
        <v>0</v>
      </c>
      <c r="M42" s="189">
        <f>IF(AND($C$2="Yes",L42=1),N41,(H15*P39%*Q39*U2*Q38*Z2*N4))</f>
        <v>493.75</v>
      </c>
      <c r="N42" s="680">
        <v>0</v>
      </c>
      <c r="O42" s="490"/>
      <c r="Q42" s="467" t="str">
        <f>IF(G41=1,"Yes","No")</f>
        <v>Yes</v>
      </c>
      <c r="R42" s="468"/>
      <c r="T42" s="244" t="str">
        <f>IF(E41=1,"Yes","No")</f>
        <v>Yes</v>
      </c>
      <c r="U42" s="460"/>
      <c r="W42" s="234" t="str">
        <f>IF(J41=1,"Yes","No")</f>
        <v>Yes</v>
      </c>
      <c r="X42" s="245">
        <f>IF(AND(B40="Yes",Q42="Yes",C30="Yes"),H30*Rates!Q8%,0)*Z49*O31</f>
        <v>0</v>
      </c>
      <c r="Y42" s="245">
        <f>IF(AND(B40="Yes",T42="Yes"),AE42,0)</f>
        <v>0</v>
      </c>
      <c r="Z42" s="245">
        <f>IF(AND(B40="Yes",W42="Yes"),(M50+M51)*Rates!Q9%,0)</f>
        <v>0</v>
      </c>
      <c r="AA42" s="597"/>
      <c r="AB42" s="598">
        <f>IF(Y48="Commercial Vehicle Policy",1,0)</f>
        <v>1</v>
      </c>
      <c r="AC42" s="598">
        <f>IF(OR(Y48="Private car policy",Y48="Motor Cycle Policy"),1,0)</f>
        <v>0</v>
      </c>
      <c r="AD42" s="559">
        <f>IF(AND(M8=Administration!C10,H9=Administration!C23),1,0)</f>
        <v>0</v>
      </c>
      <c r="AE42" s="559">
        <f>IF(AC42=1,I26*L25*Rates!Q6%,AF42)</f>
        <v>0</v>
      </c>
      <c r="AF42" s="559">
        <f>AG42+AH42</f>
        <v>0</v>
      </c>
      <c r="AG42" s="559">
        <f>Z28*I26*Rates!Q6%</f>
        <v>0</v>
      </c>
      <c r="AH42" s="559">
        <f>IF(AD42=1,(L25-Z28)*Z25*Rates!Q7%,(L25-Z28)*Z25*Rates!Q6%)</f>
        <v>0</v>
      </c>
      <c r="AJ42" s="142">
        <f>AJ41+25000</f>
        <v>425000</v>
      </c>
      <c r="AU42" s="536">
        <f t="shared" si="3"/>
        <v>2004</v>
      </c>
      <c r="AX42" s="678"/>
    </row>
    <row r="43" spans="2:50" s="142" customFormat="1" ht="16" customHeight="1" x14ac:dyDescent="0.3">
      <c r="B43" s="118"/>
      <c r="C43" s="136"/>
      <c r="D43" s="313"/>
      <c r="E43" s="498">
        <v>0</v>
      </c>
      <c r="F43" s="267" t="str">
        <f>IF(AND($C$40=1,C42=1,D41=1),CONCATENATE("     PAB by TC (Rs.",Y43,")"),"")</f>
        <v/>
      </c>
      <c r="G43" s="498">
        <v>1</v>
      </c>
      <c r="H43" s="442" t="str">
        <f>IF(AND($C$40=1,C42=1,M30&gt;0),"   Goods Cover by TC","")</f>
        <v/>
      </c>
      <c r="I43" s="204"/>
      <c r="J43" s="498">
        <v>1</v>
      </c>
      <c r="K43" s="443" t="str">
        <f>IF(AND($C$40=1,C42=1,OR(H50&gt;0,H51&gt;0)),"WCT by TC","")</f>
        <v/>
      </c>
      <c r="L43" s="498">
        <v>0</v>
      </c>
      <c r="M43" s="189">
        <f>IF(AND($C$2="Yes",L43=1),N43,(SUM(X43:Z43)*U2*R15*Y2))</f>
        <v>0</v>
      </c>
      <c r="N43" s="236">
        <v>0</v>
      </c>
      <c r="O43" s="490"/>
      <c r="Q43" s="467" t="str">
        <f>IF(G43=1,"Yes","No")</f>
        <v>Yes</v>
      </c>
      <c r="R43" s="469"/>
      <c r="T43" s="244" t="str">
        <f>IF(E43=1,"Yes","No")</f>
        <v>No</v>
      </c>
      <c r="U43" s="470"/>
      <c r="W43" s="234" t="str">
        <f>IF(J43=1,"Yes","No")</f>
        <v>Yes</v>
      </c>
      <c r="X43" s="245">
        <f>IF(AND(B40="Yes",B41="Yes",Q42="Yes",Q43="Yes",C30="Yes"),H30*Rates!R8%,0)*Z49*O31</f>
        <v>0</v>
      </c>
      <c r="Y43" s="245">
        <f>IF(AND(B40="Yes",B41="Yes",T42="Yes",T43="Yes"),AE43,0)</f>
        <v>0</v>
      </c>
      <c r="Z43" s="245">
        <f>IF(AND(B40="Yes",B41="Yes",W42="Yes",W43="Yes"),(M50+M51)*Rates!R9%,0)</f>
        <v>0</v>
      </c>
      <c r="AA43" s="597"/>
      <c r="AB43" s="598"/>
      <c r="AC43" s="598"/>
      <c r="AD43" s="559"/>
      <c r="AE43" s="559">
        <f>IF(AC42=1,I26*L25*Rates!R6%,AF43)</f>
        <v>0</v>
      </c>
      <c r="AF43" s="559">
        <f>AG43+AH43</f>
        <v>0</v>
      </c>
      <c r="AG43" s="559">
        <f>Z28*I26*Rates!R4%</f>
        <v>0</v>
      </c>
      <c r="AH43" s="559">
        <f>IF(AD42=1,Rates!R7,(L25-Z28)*Z25*Rates!R5%)</f>
        <v>0</v>
      </c>
      <c r="AJ43" s="142">
        <f t="shared" si="2"/>
        <v>450000</v>
      </c>
      <c r="AU43" s="536">
        <f t="shared" ref="AU43:AU84" ca="1" si="4">IF(AU42&gt;=$AW$46,"",AU42+1)</f>
        <v>2005</v>
      </c>
      <c r="AX43" s="678"/>
    </row>
    <row r="44" spans="2:50" s="142" customFormat="1" ht="16" customHeight="1" x14ac:dyDescent="0.3">
      <c r="B44" s="118"/>
      <c r="C44" s="136"/>
      <c r="D44" s="321" t="s">
        <v>284</v>
      </c>
      <c r="E44" s="342" t="s">
        <v>9</v>
      </c>
      <c r="F44" s="267" t="s">
        <v>125</v>
      </c>
      <c r="G44" s="267"/>
      <c r="H44" s="444" t="str">
        <f>IF(X43&gt;0,CONCATENATE("    (Rs.",X43,")"),"")</f>
        <v/>
      </c>
      <c r="I44" s="188"/>
      <c r="J44" s="188"/>
      <c r="K44" s="444" t="str">
        <f>IF(Z43&gt;0,CONCATENATE("  (Rs.",FIXED(Z43),")"),"")</f>
        <v/>
      </c>
      <c r="L44" s="498">
        <v>0</v>
      </c>
      <c r="M44" s="189">
        <f ca="1">IF(AND($C$2="Yes",L44=1),M19*N44%,(M19*Rates!K14%*O44*R44))</f>
        <v>4147.5</v>
      </c>
      <c r="N44" s="681">
        <v>0</v>
      </c>
      <c r="O44" s="490">
        <f>IF(OR(H9=Administration!C21,H9=Administration!C22),1,Q44)</f>
        <v>1</v>
      </c>
      <c r="P44" s="234"/>
      <c r="Q44" s="234">
        <f>IF(AND(M8=Administration!C10,H9=Administration!C23),1,0)</f>
        <v>0</v>
      </c>
      <c r="R44" s="231">
        <f>IF(Rates!M14="Free",0,1)</f>
        <v>1</v>
      </c>
      <c r="S44" s="231"/>
      <c r="T44" s="471"/>
      <c r="U44" s="471"/>
      <c r="V44" s="231"/>
      <c r="W44" s="141"/>
      <c r="X44" s="472"/>
      <c r="Y44" s="472"/>
      <c r="Z44" s="232"/>
      <c r="AA44" s="559"/>
      <c r="AB44" s="559"/>
      <c r="AC44" s="559"/>
      <c r="AD44" s="559"/>
      <c r="AE44" s="559"/>
      <c r="AF44" s="559"/>
      <c r="AG44" s="559"/>
      <c r="AH44" s="559"/>
      <c r="AJ44" s="142">
        <f>AJ43+25000</f>
        <v>475000</v>
      </c>
      <c r="AU44" s="536">
        <f t="shared" ca="1" si="4"/>
        <v>2006</v>
      </c>
      <c r="AX44" s="678"/>
    </row>
    <row r="45" spans="2:50" s="142" customFormat="1" ht="15" customHeight="1" thickBot="1" x14ac:dyDescent="0.35">
      <c r="B45" s="118" t="str">
        <f>IF(C47=1,"Yes","No")</f>
        <v>No</v>
      </c>
      <c r="C45" s="583">
        <v>0</v>
      </c>
      <c r="D45" s="321" t="s">
        <v>284</v>
      </c>
      <c r="E45" s="342" t="s">
        <v>9</v>
      </c>
      <c r="F45" s="267" t="s">
        <v>450</v>
      </c>
      <c r="G45" s="267"/>
      <c r="H45" s="188"/>
      <c r="I45" s="188"/>
      <c r="J45" s="188"/>
      <c r="K45" s="9"/>
      <c r="L45" s="498">
        <v>0</v>
      </c>
      <c r="M45" s="189"/>
      <c r="N45" s="682">
        <v>0</v>
      </c>
      <c r="O45" s="584">
        <f>C45</f>
        <v>0</v>
      </c>
      <c r="P45" s="585"/>
      <c r="Q45" s="585"/>
      <c r="R45" s="586">
        <f>IF(Rates!M15="Free",0,1)</f>
        <v>1</v>
      </c>
      <c r="S45" s="586"/>
      <c r="T45" s="587"/>
      <c r="U45" s="587"/>
      <c r="V45" s="231"/>
      <c r="W45" s="141"/>
      <c r="X45" s="141"/>
      <c r="Y45" s="141"/>
      <c r="AA45" s="559"/>
      <c r="AB45" s="559"/>
      <c r="AC45" s="559"/>
      <c r="AD45" s="590"/>
      <c r="AE45" s="590"/>
      <c r="AF45" s="590"/>
      <c r="AG45" s="590"/>
      <c r="AH45" s="590"/>
      <c r="AI45" s="141"/>
      <c r="AJ45" s="142">
        <f>IF(AJ44=500000,"",AJ44+25000)</f>
        <v>500000</v>
      </c>
      <c r="AK45" s="141"/>
      <c r="AL45" s="141"/>
      <c r="AN45" s="141"/>
      <c r="AO45" s="141"/>
      <c r="AP45" s="141"/>
      <c r="AQ45" s="141"/>
      <c r="AR45" s="141"/>
      <c r="AS45" s="141"/>
      <c r="AU45" s="536">
        <f t="shared" ca="1" si="4"/>
        <v>2007</v>
      </c>
      <c r="AX45" s="678"/>
    </row>
    <row r="46" spans="2:50" s="142" customFormat="1" ht="15.75" customHeight="1" thickBot="1" x14ac:dyDescent="0.35">
      <c r="B46" s="667" t="str">
        <f>IF(C46=1,"Yes","No")</f>
        <v>No</v>
      </c>
      <c r="C46" s="600">
        <v>0</v>
      </c>
      <c r="D46" s="321" t="s">
        <v>284</v>
      </c>
      <c r="E46" s="342" t="s">
        <v>9</v>
      </c>
      <c r="F46" s="267" t="s">
        <v>279</v>
      </c>
      <c r="G46" s="267"/>
      <c r="H46" s="1573" t="str">
        <f>IF(U57=1,"Free Cover",IF(AND(B46="Yes",Q48=1,Q46=0,U46=0),"Only for Private Dual Purpose Vehicles",""))</f>
        <v/>
      </c>
      <c r="I46" s="1573"/>
      <c r="J46" s="1573"/>
      <c r="K46" s="1573"/>
      <c r="L46" s="498">
        <v>0</v>
      </c>
      <c r="M46" s="189">
        <f ca="1">IF(AND($C$2="Yes",L46=1),N46,(M19*Rates!K19%*T46))</f>
        <v>0</v>
      </c>
      <c r="N46" s="683">
        <v>0</v>
      </c>
      <c r="O46" s="559">
        <f>IF(B46="Yes",1,0)</f>
        <v>0</v>
      </c>
      <c r="P46" s="559"/>
      <c r="Q46" s="559">
        <f>IF(AND(M8=Administration!C9,H9=Administration!C20),1,U46)</f>
        <v>0</v>
      </c>
      <c r="R46" s="588">
        <f>O46+Q46</f>
        <v>0</v>
      </c>
      <c r="S46" s="588"/>
      <c r="T46" s="588">
        <f>IF(R46=2,1,0)</f>
        <v>0</v>
      </c>
      <c r="U46" s="588">
        <f>IF(AND(Rates!O19="Yes",Q48=1),1,0)</f>
        <v>0</v>
      </c>
      <c r="V46" s="241"/>
      <c r="W46" s="141"/>
      <c r="X46" s="141"/>
      <c r="Y46" s="141"/>
      <c r="Z46" s="141"/>
      <c r="AA46" s="559"/>
      <c r="AB46" s="559"/>
      <c r="AC46" s="559"/>
      <c r="AD46" s="590"/>
      <c r="AE46" s="590"/>
      <c r="AF46" s="590"/>
      <c r="AG46" s="590"/>
      <c r="AH46" s="590"/>
      <c r="AI46" s="141"/>
      <c r="AK46" s="141"/>
      <c r="AL46" s="141"/>
      <c r="AN46" s="141"/>
      <c r="AO46" s="141"/>
      <c r="AP46" s="141"/>
      <c r="AQ46" s="141"/>
      <c r="AR46" s="141"/>
      <c r="AS46" s="141"/>
      <c r="AU46" s="536">
        <f t="shared" ca="1" si="4"/>
        <v>2008</v>
      </c>
      <c r="AW46" s="142">
        <f ca="1">YEAR(F69)</f>
        <v>2024</v>
      </c>
      <c r="AX46" s="678"/>
    </row>
    <row r="47" spans="2:50" s="142" customFormat="1" ht="15.75" customHeight="1" thickBot="1" x14ac:dyDescent="0.35">
      <c r="B47" s="118"/>
      <c r="C47" s="136"/>
      <c r="D47" s="321" t="s">
        <v>284</v>
      </c>
      <c r="E47" s="342" t="s">
        <v>9</v>
      </c>
      <c r="F47" s="267" t="s">
        <v>448</v>
      </c>
      <c r="G47" s="267"/>
      <c r="H47" s="721">
        <v>300000</v>
      </c>
      <c r="I47" s="188" t="s">
        <v>110</v>
      </c>
      <c r="J47" s="188"/>
      <c r="K47" s="617">
        <f>IF(AND(H47&gt;0,T47=0),"Not Applicable",0)</f>
        <v>0</v>
      </c>
      <c r="L47" s="498">
        <v>1</v>
      </c>
      <c r="M47" s="187">
        <v>0</v>
      </c>
      <c r="N47" s="683">
        <v>0</v>
      </c>
      <c r="O47" s="589">
        <f>IF(H47&gt;0,1,0)</f>
        <v>1</v>
      </c>
      <c r="P47" s="589"/>
      <c r="Q47" s="585"/>
      <c r="R47" s="586"/>
      <c r="S47" s="586"/>
      <c r="T47" s="590">
        <f>IF(OR(M8=Administration!C13,M8=Administration!C14,),0,1)</f>
        <v>1</v>
      </c>
      <c r="U47" s="586"/>
      <c r="V47" s="231"/>
      <c r="W47" s="141"/>
      <c r="X47" s="141"/>
      <c r="Y47" s="141"/>
      <c r="Z47" s="141"/>
      <c r="AA47" s="590"/>
      <c r="AB47" s="590"/>
      <c r="AC47" s="590"/>
      <c r="AD47" s="590"/>
      <c r="AE47" s="590"/>
      <c r="AF47" s="590"/>
      <c r="AG47" s="590"/>
      <c r="AH47" s="590"/>
      <c r="AI47" s="141"/>
      <c r="AK47" s="141"/>
      <c r="AL47" s="141"/>
      <c r="AN47" s="141"/>
      <c r="AO47" s="141"/>
      <c r="AP47" s="141"/>
      <c r="AQ47" s="141"/>
      <c r="AR47" s="141"/>
      <c r="AS47" s="141"/>
      <c r="AU47" s="536">
        <f t="shared" ca="1" si="4"/>
        <v>2009</v>
      </c>
      <c r="AX47" s="678"/>
    </row>
    <row r="48" spans="2:50" s="142" customFormat="1" ht="16" customHeight="1" thickBot="1" x14ac:dyDescent="0.35">
      <c r="B48" s="118"/>
      <c r="C48" s="136"/>
      <c r="D48" s="321" t="s">
        <v>284</v>
      </c>
      <c r="E48" s="342" t="s">
        <v>9</v>
      </c>
      <c r="F48" s="267" t="s">
        <v>6</v>
      </c>
      <c r="G48" s="267"/>
      <c r="H48" s="697">
        <f>IF('TW Quote'!R33&lt;&gt;"",'TW Quote'!R33,100000)</f>
        <v>300000</v>
      </c>
      <c r="I48" s="188" t="s">
        <v>109</v>
      </c>
      <c r="J48" s="188"/>
      <c r="K48" s="340">
        <f>IF(AND(Q48=0,H48&gt;0),"Free Unlimited Cover",0)</f>
        <v>0</v>
      </c>
      <c r="L48" s="498">
        <v>0</v>
      </c>
      <c r="M48" s="187">
        <f>IF(AND($C$2="Yes",L48=1),N48,IF(H48&lt;100000,0,IF(H48=100000,Rates!K17*R48,IF(H48&lt;=300000,Rates!K18*R48,IF(H48&lt;=500000,Rates!M17*R48,IF(H48&lt;=1000000,Rates!M18*R48,IF(H48&lt;=2000000,1200*R48,H48*0.1%)))))))*U2*Q48*R15*Z2*Q65*N3</f>
        <v>700</v>
      </c>
      <c r="N48" s="683">
        <v>0</v>
      </c>
      <c r="O48" s="589">
        <f>IF(H48&gt;1,1,0)</f>
        <v>1</v>
      </c>
      <c r="P48" s="589"/>
      <c r="Q48" s="591">
        <f>IF(O57+Q57=1,0,1)</f>
        <v>1</v>
      </c>
      <c r="R48" s="586">
        <f>IF(AND(H48&gt;=100000,Q48=1),1,0)</f>
        <v>1</v>
      </c>
      <c r="S48" s="586"/>
      <c r="T48" s="590">
        <f>IF(OR(Q48=0,H48&gt;0),1,0)</f>
        <v>1</v>
      </c>
      <c r="U48" s="586"/>
      <c r="V48" s="231"/>
      <c r="W48" s="141"/>
      <c r="X48" s="141">
        <f>IF(O57+Q57=1,0,1)</f>
        <v>1</v>
      </c>
      <c r="Y48" s="141" t="str">
        <f>IF(X48=0,"Private Car Policy",Z48)</f>
        <v>Commercial Vehicle Policy</v>
      </c>
      <c r="Z48" s="141" t="str">
        <f>IF(T47=0,"Motor Cycle Policy",AA48)</f>
        <v>Commercial Vehicle Policy</v>
      </c>
      <c r="AA48" s="590" t="str">
        <f>IF(M8=Administration!C19,"Trade Plate Policy","Commercial Vehicle Policy")</f>
        <v>Commercial Vehicle Policy</v>
      </c>
      <c r="AB48" s="590"/>
      <c r="AC48" s="590"/>
      <c r="AD48" s="590"/>
      <c r="AE48" s="590"/>
      <c r="AF48" s="590"/>
      <c r="AG48" s="590"/>
      <c r="AH48" s="590"/>
      <c r="AI48" s="141"/>
      <c r="AK48" s="141"/>
      <c r="AL48" s="141"/>
      <c r="AN48" s="141"/>
      <c r="AO48" s="141"/>
      <c r="AP48" s="141"/>
      <c r="AQ48" s="141"/>
      <c r="AR48" s="141"/>
      <c r="AS48" s="141"/>
      <c r="AU48" s="536">
        <f t="shared" ca="1" si="4"/>
        <v>2010</v>
      </c>
      <c r="AX48" s="678"/>
    </row>
    <row r="49" spans="2:52" s="142" customFormat="1" ht="15" customHeight="1" thickBot="1" x14ac:dyDescent="0.35">
      <c r="B49" s="118"/>
      <c r="C49" s="136"/>
      <c r="D49" s="321" t="s">
        <v>284</v>
      </c>
      <c r="E49" s="342" t="s">
        <v>9</v>
      </c>
      <c r="F49" s="267" t="s">
        <v>12</v>
      </c>
      <c r="G49" s="267"/>
      <c r="H49" s="697">
        <f>'TW Quote'!R35</f>
        <v>0</v>
      </c>
      <c r="I49" s="1584" t="str">
        <f>IF(Q49&gt;0,CONCATENATE("Free Cover of Rs.",Q49,"/-"),"")</f>
        <v>Free Cover of Rs.1000/-</v>
      </c>
      <c r="J49" s="1585"/>
      <c r="K49" s="1585"/>
      <c r="L49" s="498">
        <v>0</v>
      </c>
      <c r="M49" s="187">
        <f>IF(AND($C$2="Yes",L49=1),N49,((H49*Rates!K32%-R49)*U2*R15*Y2*Z2))*N3</f>
        <v>0</v>
      </c>
      <c r="N49" s="683">
        <v>0</v>
      </c>
      <c r="O49" s="592">
        <f>IF(H49&gt;=Rates!B36,1,0)</f>
        <v>0</v>
      </c>
      <c r="P49" s="592"/>
      <c r="Q49" s="586">
        <f>IF(T47=0,Rates!C38,Rates!B36)</f>
        <v>1000</v>
      </c>
      <c r="R49" s="586">
        <f>IF(H49&lt;=Q49,H49*Rates!K32%,Q49*Rates!K32%)</f>
        <v>0</v>
      </c>
      <c r="S49" s="586"/>
      <c r="T49" s="586"/>
      <c r="U49" s="590"/>
      <c r="V49" s="141"/>
      <c r="W49" s="141"/>
      <c r="X49" s="141"/>
      <c r="Y49" s="141">
        <f>IF(Y48="Private Car Policy",0,1)</f>
        <v>1</v>
      </c>
      <c r="Z49" s="141">
        <f>IF(Y48="Motor Cycle Policy",0,1)</f>
        <v>1</v>
      </c>
      <c r="AA49" s="141"/>
      <c r="AB49" s="141"/>
      <c r="AC49" s="141"/>
      <c r="AD49" s="141"/>
      <c r="AE49" s="141"/>
      <c r="AF49" s="141"/>
      <c r="AG49" s="141"/>
      <c r="AH49" s="141"/>
      <c r="AI49" s="141"/>
      <c r="AK49" s="141"/>
      <c r="AL49" s="141"/>
      <c r="AN49" s="141"/>
      <c r="AO49" s="141"/>
      <c r="AP49" s="141"/>
      <c r="AQ49" s="141"/>
      <c r="AR49" s="141"/>
      <c r="AS49" s="141"/>
      <c r="AU49" s="536">
        <f t="shared" ca="1" si="4"/>
        <v>2011</v>
      </c>
      <c r="AX49" s="678"/>
    </row>
    <row r="50" spans="2:52" s="142" customFormat="1" ht="15.75" customHeight="1" thickBot="1" x14ac:dyDescent="0.35">
      <c r="B50" s="118"/>
      <c r="C50" s="136"/>
      <c r="D50" s="321" t="s">
        <v>284</v>
      </c>
      <c r="E50" s="342" t="s">
        <v>9</v>
      </c>
      <c r="F50" s="302" t="s">
        <v>112</v>
      </c>
      <c r="G50" s="302"/>
      <c r="H50" s="610">
        <v>0</v>
      </c>
      <c r="I50" s="188" t="s">
        <v>21</v>
      </c>
      <c r="J50" s="188"/>
      <c r="K50" s="616"/>
      <c r="L50" s="498">
        <v>0</v>
      </c>
      <c r="M50" s="187">
        <f>IF(AND($C$2="Yes",L50=1),N50,(H50*R50*U2*R15*Y2))*N3</f>
        <v>0</v>
      </c>
      <c r="N50" s="236">
        <v>0</v>
      </c>
      <c r="O50" s="229">
        <f>IF(H50&gt;0,1,0)</f>
        <v>0</v>
      </c>
      <c r="P50" s="229"/>
      <c r="Q50" s="141">
        <f>IF((O50+O51)&gt;0,1,0)</f>
        <v>0</v>
      </c>
      <c r="R50" s="231">
        <f>IF(O57+Q57=1,Rates!K23,Rates!K24)</f>
        <v>600</v>
      </c>
      <c r="S50" s="231"/>
      <c r="T50" s="231"/>
      <c r="U50" s="141"/>
      <c r="V50" s="141"/>
      <c r="W50" s="141"/>
      <c r="X50" s="141"/>
      <c r="Y50" s="141"/>
      <c r="Z50" s="141"/>
      <c r="AA50" s="141"/>
      <c r="AB50" s="141"/>
      <c r="AC50" s="141"/>
      <c r="AD50" s="141"/>
      <c r="AE50" s="141"/>
      <c r="AF50" s="141"/>
      <c r="AG50" s="141"/>
      <c r="AH50" s="141"/>
      <c r="AI50" s="141"/>
      <c r="AK50" s="141"/>
      <c r="AL50" s="141"/>
      <c r="AN50" s="141"/>
      <c r="AO50" s="141"/>
      <c r="AP50" s="141"/>
      <c r="AQ50" s="141"/>
      <c r="AR50" s="141"/>
      <c r="AS50" s="141"/>
      <c r="AU50" s="536">
        <f t="shared" ca="1" si="4"/>
        <v>2012</v>
      </c>
      <c r="AX50" s="678"/>
    </row>
    <row r="51" spans="2:52" s="142" customFormat="1" ht="1.5" customHeight="1" thickBot="1" x14ac:dyDescent="0.35">
      <c r="B51" s="118"/>
      <c r="C51" s="136"/>
      <c r="D51" s="321" t="s">
        <v>284</v>
      </c>
      <c r="E51" s="342" t="s">
        <v>9</v>
      </c>
      <c r="F51" s="267" t="s">
        <v>20</v>
      </c>
      <c r="G51" s="267"/>
      <c r="H51" s="611">
        <v>0</v>
      </c>
      <c r="I51" s="188" t="s">
        <v>22</v>
      </c>
      <c r="J51" s="188"/>
      <c r="K51" s="199"/>
      <c r="L51" s="498">
        <v>0</v>
      </c>
      <c r="M51" s="187">
        <f>IF(AND($C$2="Yes",L51=1),N51,(H51*Rates!K25*U2*R15*Y2*Z49*Y49))*N3</f>
        <v>0</v>
      </c>
      <c r="N51" s="236">
        <v>0</v>
      </c>
      <c r="O51" s="229">
        <f>IF(H51&gt;0,1,0)</f>
        <v>0</v>
      </c>
      <c r="P51" s="229"/>
      <c r="Q51" s="234">
        <f>IF(OR(H50&gt;0,H51&gt;0),1,0)</f>
        <v>0</v>
      </c>
      <c r="R51" s="231"/>
      <c r="S51" s="231"/>
      <c r="T51" s="231"/>
      <c r="U51" s="231"/>
      <c r="V51" s="231"/>
      <c r="W51" s="141"/>
      <c r="X51" s="141"/>
      <c r="Y51" s="141"/>
      <c r="Z51" s="141"/>
      <c r="AA51" s="141"/>
      <c r="AB51" s="141"/>
      <c r="AC51" s="141"/>
      <c r="AD51" s="141"/>
      <c r="AE51" s="141"/>
      <c r="AF51" s="141"/>
      <c r="AG51" s="141"/>
      <c r="AH51" s="141"/>
      <c r="AI51" s="141"/>
      <c r="AK51" s="141"/>
      <c r="AL51" s="141"/>
      <c r="AN51" s="141"/>
      <c r="AO51" s="141"/>
      <c r="AP51" s="141"/>
      <c r="AQ51" s="141"/>
      <c r="AR51" s="141"/>
      <c r="AS51" s="141"/>
      <c r="AU51" s="536">
        <f t="shared" ca="1" si="4"/>
        <v>2013</v>
      </c>
      <c r="AX51" s="678"/>
    </row>
    <row r="52" spans="2:52" s="142" customFormat="1" ht="20.25" customHeight="1" thickBot="1" x14ac:dyDescent="0.35">
      <c r="B52" s="684" t="str">
        <f>Rates!M21</f>
        <v>Charge</v>
      </c>
      <c r="C52" s="136"/>
      <c r="D52" s="321" t="s">
        <v>284</v>
      </c>
      <c r="E52" s="342" t="s">
        <v>9</v>
      </c>
      <c r="F52" s="267" t="s">
        <v>449</v>
      </c>
      <c r="G52" s="612">
        <v>1</v>
      </c>
      <c r="H52" s="615">
        <v>7500</v>
      </c>
      <c r="I52" s="1586" t="str">
        <f>IF(AND(G52=0,K50&gt;0),"Enter Number of Air Bags",IF(AND(K50&gt;0,T47=0),"Not Applicable",IF(AND(Q52=0,T47=1,K50&gt;0),"Free Cover",IF(R52=0,"Free Cover - Front Seat Bags","Value of 2 Front Dashboard Airbgs"))))</f>
        <v>Value of 2 Front Dashboard Airbgs</v>
      </c>
      <c r="J52" s="1586"/>
      <c r="K52" s="1586"/>
      <c r="L52" s="498">
        <v>1</v>
      </c>
      <c r="M52" s="187">
        <v>0</v>
      </c>
      <c r="N52" s="236">
        <v>0</v>
      </c>
      <c r="O52" s="229">
        <f>IF(OR(O53=1,M53&gt;0),1,0)</f>
        <v>0</v>
      </c>
      <c r="P52" s="229">
        <f>IF(G52&gt;0,1,0)</f>
        <v>1</v>
      </c>
      <c r="Q52" s="234">
        <f>IF(Rates!M21="Free",0,1)</f>
        <v>1</v>
      </c>
      <c r="R52" s="231">
        <f>IF(AND(H9=Administration!C20,S52=0),0,1)</f>
        <v>1</v>
      </c>
      <c r="S52" s="231">
        <f>IF(OR(M8="Motor Car",M8="Jeep",M8="Dual Purpose"),0,1)</f>
        <v>1</v>
      </c>
      <c r="T52" s="231"/>
      <c r="U52" s="231"/>
      <c r="V52" s="231"/>
      <c r="W52" s="141"/>
      <c r="X52" s="141"/>
      <c r="Y52" s="141"/>
      <c r="Z52" s="141"/>
      <c r="AA52" s="141"/>
      <c r="AB52" s="141"/>
      <c r="AC52" s="141"/>
      <c r="AD52" s="141"/>
      <c r="AE52" s="141"/>
      <c r="AF52" s="141"/>
      <c r="AG52" s="141"/>
      <c r="AH52" s="141"/>
      <c r="AI52" s="141"/>
      <c r="AK52" s="141"/>
      <c r="AL52" s="141"/>
      <c r="AN52" s="141"/>
      <c r="AO52" s="141"/>
      <c r="AP52" s="141"/>
      <c r="AQ52" s="141"/>
      <c r="AR52" s="141"/>
      <c r="AS52" s="141"/>
      <c r="AT52" s="141"/>
      <c r="AU52" s="536">
        <f t="shared" ca="1" si="4"/>
        <v>2014</v>
      </c>
      <c r="AV52" s="141"/>
      <c r="AW52" s="269"/>
      <c r="AX52" s="678"/>
      <c r="AY52" s="141"/>
      <c r="AZ52" s="141"/>
    </row>
    <row r="53" spans="2:52" s="142" customFormat="1" ht="18" customHeight="1" thickBot="1" x14ac:dyDescent="0.35">
      <c r="B53" s="685"/>
      <c r="C53" s="136"/>
      <c r="D53" s="321"/>
      <c r="E53" s="375"/>
      <c r="F53" s="267"/>
      <c r="G53" s="686">
        <v>0</v>
      </c>
      <c r="H53" s="687">
        <v>0</v>
      </c>
      <c r="I53" s="653" t="str">
        <f>IF(AND(G53=0,H53&gt;0),"Enter Number of Air Bags",IF(AND(H53&gt;0,T47=0),"Not Applicable",IF(AND(Q52=0,T47=1,H53&gt;0),"Free Cover","Value of Rear Seat Airbags")))</f>
        <v>Value of Rear Seat Airbags</v>
      </c>
      <c r="J53" s="373"/>
      <c r="K53" s="373"/>
      <c r="L53" s="498">
        <v>0</v>
      </c>
      <c r="M53" s="187">
        <f>IF(AND($C$2="Yes",L53=1),N53*P53,(H53*Rates!K21%*U2*T47/2*Q52*R15*Y2*P53))*N3</f>
        <v>0</v>
      </c>
      <c r="N53" s="236">
        <v>0</v>
      </c>
      <c r="O53" s="229">
        <f>IF(AND(G52&gt;0,K50&gt;1),1,0)</f>
        <v>0</v>
      </c>
      <c r="P53" s="229">
        <f>IF(G53&gt;0,1,0)</f>
        <v>0</v>
      </c>
      <c r="Q53" s="234">
        <f>IF(M53&gt;0,1,0)</f>
        <v>0</v>
      </c>
      <c r="R53" s="231">
        <f>IF(AND(O53=1,Q53=1),G52+G53,IF(AND(O53=1,Q53=0),G52,IF(AND(O53=0,Q53=1),G53,0)))</f>
        <v>0</v>
      </c>
      <c r="S53" s="231"/>
      <c r="T53" s="231"/>
      <c r="U53" s="231"/>
      <c r="V53" s="231"/>
      <c r="W53" s="141"/>
      <c r="X53" s="141"/>
      <c r="Y53" s="141"/>
      <c r="Z53" s="141"/>
      <c r="AA53" s="141"/>
      <c r="AB53" s="141"/>
      <c r="AC53" s="141"/>
      <c r="AD53" s="141"/>
      <c r="AE53" s="141"/>
      <c r="AF53" s="141"/>
      <c r="AG53" s="141"/>
      <c r="AH53" s="141"/>
      <c r="AI53" s="141"/>
      <c r="AK53" s="141"/>
      <c r="AL53" s="141"/>
      <c r="AN53" s="141"/>
      <c r="AO53" s="141"/>
      <c r="AP53" s="141"/>
      <c r="AQ53" s="141"/>
      <c r="AR53" s="141"/>
      <c r="AS53" s="141"/>
      <c r="AT53" s="141"/>
      <c r="AU53" s="536">
        <f t="shared" ca="1" si="4"/>
        <v>2015</v>
      </c>
      <c r="AV53" s="141"/>
      <c r="AW53" s="141"/>
      <c r="AX53" s="559"/>
      <c r="AY53" s="141"/>
      <c r="AZ53" s="141"/>
    </row>
    <row r="54" spans="2:52" s="142" customFormat="1" ht="16" customHeight="1" thickBot="1" x14ac:dyDescent="0.35">
      <c r="B54" s="118"/>
      <c r="C54" s="136"/>
      <c r="D54" s="321" t="s">
        <v>284</v>
      </c>
      <c r="E54" s="342" t="s">
        <v>9</v>
      </c>
      <c r="F54" s="267" t="s">
        <v>8</v>
      </c>
      <c r="G54" s="267"/>
      <c r="H54" s="688">
        <v>0</v>
      </c>
      <c r="I54" s="188" t="s">
        <v>111</v>
      </c>
      <c r="J54" s="188"/>
      <c r="K54" s="9"/>
      <c r="L54" s="498">
        <v>0</v>
      </c>
      <c r="M54" s="187">
        <f>IF(AND($C$2="Yes",L54=1),N54,(H54*Q54*U2*R15*Y2))*N3</f>
        <v>0</v>
      </c>
      <c r="N54" s="236">
        <v>0</v>
      </c>
      <c r="O54" s="229">
        <f>IF(H54&gt;0,1,0)</f>
        <v>0</v>
      </c>
      <c r="P54" s="229"/>
      <c r="Q54" s="234">
        <f>IF(O57+Q57=1,Rates!K34,IF(T47=0,Rates!K35,Rates!K36))</f>
        <v>200</v>
      </c>
      <c r="R54" s="231"/>
      <c r="S54" s="231"/>
      <c r="T54" s="231"/>
      <c r="U54" s="231"/>
      <c r="V54" s="231"/>
      <c r="W54" s="141"/>
      <c r="X54" s="141"/>
      <c r="Y54" s="141"/>
      <c r="Z54" s="141"/>
      <c r="AA54" s="141"/>
      <c r="AD54" s="141"/>
      <c r="AE54" s="141"/>
      <c r="AF54" s="141"/>
      <c r="AG54" s="141"/>
      <c r="AH54" s="141"/>
      <c r="AI54" s="141"/>
      <c r="AK54" s="141"/>
      <c r="AL54" s="141"/>
      <c r="AN54" s="141"/>
      <c r="AO54" s="141"/>
      <c r="AP54" s="141"/>
      <c r="AQ54" s="141"/>
      <c r="AR54" s="141"/>
      <c r="AS54" s="141"/>
      <c r="AT54" s="141"/>
      <c r="AU54" s="536">
        <f t="shared" ca="1" si="4"/>
        <v>2016</v>
      </c>
      <c r="AV54" s="141"/>
      <c r="AW54" s="141"/>
      <c r="AX54" s="678"/>
      <c r="AY54" s="141"/>
      <c r="AZ54" s="141"/>
    </row>
    <row r="55" spans="2:52" s="142" customFormat="1" ht="15" customHeight="1" thickBot="1" x14ac:dyDescent="0.35">
      <c r="B55" s="667" t="str">
        <f>IF(C55=1,"Yes","No")</f>
        <v>No</v>
      </c>
      <c r="C55" s="600">
        <v>0</v>
      </c>
      <c r="D55" s="321" t="s">
        <v>284</v>
      </c>
      <c r="E55" s="342" t="s">
        <v>9</v>
      </c>
      <c r="F55" s="726" t="s">
        <v>535</v>
      </c>
      <c r="G55" s="267"/>
      <c r="H55" s="188"/>
      <c r="I55" s="188"/>
      <c r="J55" s="188"/>
      <c r="K55" s="9"/>
      <c r="L55" s="498">
        <v>0</v>
      </c>
      <c r="M55" s="187">
        <v>2290</v>
      </c>
      <c r="N55" s="689">
        <v>0</v>
      </c>
      <c r="O55" s="519"/>
      <c r="P55" s="519"/>
      <c r="Q55" s="519">
        <f>IF(B55="Yes",1,0)</f>
        <v>0</v>
      </c>
      <c r="R55" s="518"/>
      <c r="S55" s="518"/>
      <c r="T55" s="518"/>
      <c r="U55" s="518"/>
      <c r="V55" s="518"/>
      <c r="W55" s="519"/>
      <c r="X55" s="519"/>
      <c r="Y55" s="519"/>
      <c r="Z55" s="519"/>
      <c r="AA55" s="519"/>
      <c r="AB55" s="519"/>
      <c r="AC55" s="519"/>
      <c r="AD55" s="519"/>
      <c r="AE55" s="519"/>
      <c r="AF55" s="519"/>
      <c r="AG55" s="519"/>
      <c r="AH55" s="519"/>
      <c r="AI55" s="519"/>
      <c r="AK55" s="141"/>
      <c r="AL55" s="141"/>
      <c r="AN55" s="141"/>
      <c r="AO55" s="141"/>
      <c r="AP55" s="141"/>
      <c r="AQ55" s="141"/>
      <c r="AR55" s="141"/>
      <c r="AS55" s="141"/>
      <c r="AT55" s="141"/>
      <c r="AU55" s="536">
        <f t="shared" ca="1" si="4"/>
        <v>2017</v>
      </c>
      <c r="AV55" s="141"/>
      <c r="AW55" s="141"/>
      <c r="AX55" s="678"/>
      <c r="AY55" s="141"/>
      <c r="AZ55" s="141"/>
    </row>
    <row r="56" spans="2:52" s="142" customFormat="1" ht="21.75" customHeight="1" thickBot="1" x14ac:dyDescent="0.35">
      <c r="B56" s="667" t="str">
        <f>IF(C56=1,"Yes","No")</f>
        <v>No</v>
      </c>
      <c r="C56" s="600">
        <v>0</v>
      </c>
      <c r="D56" s="321" t="s">
        <v>284</v>
      </c>
      <c r="E56" s="342" t="s">
        <v>9</v>
      </c>
      <c r="F56" s="267" t="s">
        <v>133</v>
      </c>
      <c r="G56" s="267"/>
      <c r="H56" s="188"/>
      <c r="I56" s="303" t="str">
        <f>IF(AND(Rates!D43="No",B56="Yes"),"Provided only for Private Cars","")</f>
        <v/>
      </c>
      <c r="J56" s="303"/>
      <c r="K56" s="9"/>
      <c r="L56" s="498">
        <v>0</v>
      </c>
      <c r="M56" s="189">
        <f ca="1">IF(AND($C$2="Yes",L56=1),N56,(M19*O56*R56%*Q61))</f>
        <v>0</v>
      </c>
      <c r="N56" s="689">
        <v>0</v>
      </c>
      <c r="O56" s="519">
        <f>IF(OR(R57=2,R61=1),1,0)</f>
        <v>0</v>
      </c>
      <c r="P56" s="519"/>
      <c r="Q56" s="519">
        <f>IF(B56="Yes",1,0)</f>
        <v>0</v>
      </c>
      <c r="R56" s="518">
        <f>IF(H35&lt;25,Rates!K42,T56)</f>
        <v>5.25</v>
      </c>
      <c r="S56" s="518"/>
      <c r="T56" s="518">
        <f>IF(AND(H35&gt;=25,H35&lt;30),Rates!K43,U56)</f>
        <v>5.25</v>
      </c>
      <c r="U56" s="518">
        <f>IF(AND(H35&lt;38.33,H35&gt;=30),Rates!K44,W56)</f>
        <v>4.5</v>
      </c>
      <c r="V56" s="518"/>
      <c r="W56" s="518">
        <f>IF(AND(H35&gt;=38.33,H35&lt;45),Rates!K45,X56)</f>
        <v>4.5</v>
      </c>
      <c r="X56" s="518">
        <f>IF(AND(H35&gt;=45,H35&lt;55),Rates!K46,Y56)</f>
        <v>4.5</v>
      </c>
      <c r="Y56" s="518">
        <f>IF(AND(H35&gt;=55,H35&lt;60),Rates!K47,Z56)</f>
        <v>4.5</v>
      </c>
      <c r="Z56" s="518">
        <f>IF(AND(H35&gt;=60,H35&lt;65),Rates!K48,AA56)</f>
        <v>4.5</v>
      </c>
      <c r="AA56" s="518">
        <f>IF(AND(H35&gt;=65,H35&lt;70),Rates!K49,AB56)</f>
        <v>4.5</v>
      </c>
      <c r="AB56" s="518">
        <f>IF(AND(H35&gt;=70,H35&lt;75),Rates!K50,AC56)</f>
        <v>4.5</v>
      </c>
      <c r="AC56" s="518">
        <f>IF(H35&gt;=75,Rates!K51,AD56)</f>
        <v>4.5</v>
      </c>
      <c r="AD56" s="519">
        <v>4.5</v>
      </c>
      <c r="AE56" s="519"/>
      <c r="AF56" s="519"/>
      <c r="AG56" s="519"/>
      <c r="AH56" s="519"/>
      <c r="AI56" s="519"/>
      <c r="AK56" s="141"/>
      <c r="AL56" s="141"/>
      <c r="AN56" s="141"/>
      <c r="AO56" s="141"/>
      <c r="AP56" s="141"/>
      <c r="AQ56" s="141"/>
      <c r="AR56" s="141"/>
      <c r="AS56" s="141"/>
      <c r="AT56" s="141"/>
      <c r="AU56" s="536">
        <f t="shared" ca="1" si="4"/>
        <v>2018</v>
      </c>
      <c r="AV56" s="141"/>
      <c r="AW56" s="141"/>
      <c r="AX56" s="678"/>
      <c r="AY56" s="141"/>
      <c r="AZ56" s="141"/>
    </row>
    <row r="57" spans="2:52" s="142" customFormat="1" ht="18.75" hidden="1" customHeight="1" x14ac:dyDescent="0.3">
      <c r="B57" s="118"/>
      <c r="C57" s="136"/>
      <c r="D57" s="6"/>
      <c r="E57" s="343" t="s">
        <v>9</v>
      </c>
      <c r="F57" s="75" t="str">
        <f>IF(AND(M8=Administration!C10,H9=Administration!C23,R15=1),"Unlimited Third Party Property Damage &amp; Passenger Liability Cover",".")</f>
        <v>.</v>
      </c>
      <c r="G57" s="75"/>
      <c r="H57" s="190"/>
      <c r="I57" s="188"/>
      <c r="J57" s="188"/>
      <c r="K57" s="9"/>
      <c r="L57" s="498">
        <v>0</v>
      </c>
      <c r="M57" s="187">
        <f>IF(AND($C$2="Yes",L57=1),N57,IF(AND(M8=Administration!C10,H9=Administration!C23),2000,0)*U2*R15)*N3</f>
        <v>0</v>
      </c>
      <c r="N57" s="689">
        <v>0</v>
      </c>
      <c r="O57" s="520">
        <f>IF(AND(M8=Administration!C7,H9=Administration!C20),1,0)</f>
        <v>0</v>
      </c>
      <c r="P57" s="520"/>
      <c r="Q57" s="520">
        <f>IF(AND(M8=Administration!C8,H9=Administration!C20),1,0)</f>
        <v>0</v>
      </c>
      <c r="R57" s="521">
        <f>Q56+Q57+O57</f>
        <v>0</v>
      </c>
      <c r="S57" s="521"/>
      <c r="T57" s="520">
        <f>IF(AND(M8=Administration!C12,H9=Administration!C20),1,0)</f>
        <v>0</v>
      </c>
      <c r="U57" s="518">
        <f>IF(O57+Q57=1,1,0)</f>
        <v>0</v>
      </c>
      <c r="V57" s="518"/>
      <c r="W57" s="519">
        <f>IF(AND(M8=Administration!C9,H9=Administration!C20),1,0)</f>
        <v>0</v>
      </c>
      <c r="X57" s="545"/>
      <c r="Y57" s="545"/>
      <c r="Z57" s="545"/>
      <c r="AA57" s="545"/>
      <c r="AB57" s="519"/>
      <c r="AC57" s="519"/>
      <c r="AD57" s="519"/>
      <c r="AE57" s="519"/>
      <c r="AF57" s="519"/>
      <c r="AG57" s="519"/>
      <c r="AH57" s="519"/>
      <c r="AI57" s="519"/>
      <c r="AK57" s="141"/>
      <c r="AL57" s="141"/>
      <c r="AN57" s="141"/>
      <c r="AO57" s="141"/>
      <c r="AP57" s="141"/>
      <c r="AQ57" s="141"/>
      <c r="AR57" s="141"/>
      <c r="AS57" s="141"/>
      <c r="AT57" s="141"/>
      <c r="AU57" s="536">
        <f t="shared" ca="1" si="4"/>
        <v>2019</v>
      </c>
      <c r="AV57" s="141"/>
      <c r="AW57" s="141"/>
      <c r="AX57" s="678"/>
      <c r="AY57" s="141"/>
      <c r="AZ57" s="141"/>
    </row>
    <row r="58" spans="2:52" s="142" customFormat="1" ht="20.25" hidden="1" customHeight="1" thickBot="1" x14ac:dyDescent="0.35">
      <c r="B58" s="118"/>
      <c r="C58" s="531">
        <v>0</v>
      </c>
      <c r="D58" s="6"/>
      <c r="E58" s="343" t="s">
        <v>9</v>
      </c>
      <c r="F58" s="1591"/>
      <c r="G58" s="1591"/>
      <c r="H58" s="307" t="str">
        <f>IF(AND(C58=1,F58=""),"Enter Name of Cover","Additional Cover 1")</f>
        <v>Additional Cover 1</v>
      </c>
      <c r="I58" s="188"/>
      <c r="J58" s="188"/>
      <c r="K58" s="9"/>
      <c r="L58" s="498">
        <v>0</v>
      </c>
      <c r="M58" s="191">
        <f>IF(AND(C58=1,F58&lt;&gt;""),N58,0)</f>
        <v>0</v>
      </c>
      <c r="N58" s="532">
        <v>0</v>
      </c>
      <c r="O58" s="305">
        <f>IF(AND(C58=1,N58&lt;&gt;0,F58&lt;&gt;""),1,0)</f>
        <v>0</v>
      </c>
      <c r="P58" s="305"/>
      <c r="Q58" s="305"/>
      <c r="R58" s="246"/>
      <c r="S58" s="482"/>
      <c r="T58" s="481"/>
      <c r="U58" s="479"/>
      <c r="V58" s="479"/>
      <c r="W58" s="139"/>
      <c r="X58" s="139"/>
      <c r="Y58" s="139"/>
      <c r="Z58" s="139"/>
      <c r="AA58" s="139"/>
      <c r="AB58" s="139"/>
      <c r="AC58" s="139"/>
      <c r="AD58" s="480"/>
      <c r="AE58" s="480"/>
      <c r="AF58" s="480"/>
      <c r="AG58" s="480"/>
      <c r="AH58" s="480"/>
      <c r="AI58" s="480"/>
      <c r="AJ58" s="139"/>
      <c r="AK58" s="480"/>
      <c r="AL58" s="480"/>
      <c r="AM58" s="139"/>
      <c r="AN58" s="480"/>
      <c r="AO58" s="480"/>
      <c r="AP58" s="141"/>
      <c r="AQ58" s="141"/>
      <c r="AR58" s="141"/>
      <c r="AS58" s="141"/>
      <c r="AT58" s="141"/>
      <c r="AU58" s="536">
        <f t="shared" ca="1" si="4"/>
        <v>2020</v>
      </c>
      <c r="AV58" s="141"/>
      <c r="AW58" s="141"/>
      <c r="AX58" s="678"/>
      <c r="AY58" s="141"/>
      <c r="AZ58" s="141"/>
    </row>
    <row r="59" spans="2:52" s="142" customFormat="1" ht="17.25" hidden="1" customHeight="1" thickBot="1" x14ac:dyDescent="0.35">
      <c r="B59" s="118"/>
      <c r="C59" s="531">
        <v>0</v>
      </c>
      <c r="D59" s="6"/>
      <c r="E59" s="343" t="s">
        <v>9</v>
      </c>
      <c r="F59" s="1591"/>
      <c r="G59" s="1591"/>
      <c r="H59" s="307" t="str">
        <f>IF(AND(C59=1,F59=""),"Enter Name of Cover","Additional Cover 2")</f>
        <v>Additional Cover 2</v>
      </c>
      <c r="I59" s="188"/>
      <c r="J59" s="188"/>
      <c r="K59" s="9"/>
      <c r="L59" s="498">
        <v>0</v>
      </c>
      <c r="M59" s="191">
        <f>IF(AND(C59=1,F59&lt;&gt;""),N59,0)</f>
        <v>0</v>
      </c>
      <c r="N59" s="532">
        <v>0</v>
      </c>
      <c r="O59" s="305">
        <f>IF(AND(C59=1,N59&lt;&gt;0,F59&lt;&gt;""),1,0)</f>
        <v>0</v>
      </c>
      <c r="P59" s="305"/>
      <c r="Q59" s="305"/>
      <c r="R59" s="246"/>
      <c r="S59" s="482"/>
      <c r="T59" s="481"/>
      <c r="U59" s="479"/>
      <c r="V59" s="479"/>
      <c r="W59" s="139"/>
      <c r="X59" s="139"/>
      <c r="Y59" s="139"/>
      <c r="Z59" s="139"/>
      <c r="AA59" s="139"/>
      <c r="AB59" s="139"/>
      <c r="AC59" s="139"/>
      <c r="AD59" s="480"/>
      <c r="AE59" s="480"/>
      <c r="AF59" s="480"/>
      <c r="AG59" s="480"/>
      <c r="AH59" s="480"/>
      <c r="AI59" s="480"/>
      <c r="AJ59" s="139"/>
      <c r="AK59" s="480"/>
      <c r="AL59" s="480"/>
      <c r="AM59" s="139"/>
      <c r="AN59" s="480"/>
      <c r="AO59" s="480"/>
      <c r="AP59" s="141"/>
      <c r="AQ59" s="141"/>
      <c r="AR59" s="141"/>
      <c r="AS59" s="141"/>
      <c r="AT59" s="141"/>
      <c r="AU59" s="536">
        <f t="shared" ca="1" si="4"/>
        <v>2021</v>
      </c>
      <c r="AV59" s="141"/>
      <c r="AW59" s="141"/>
      <c r="AX59" s="678"/>
      <c r="AY59" s="141"/>
      <c r="AZ59" s="141"/>
    </row>
    <row r="60" spans="2:52" s="142" customFormat="1" ht="18" hidden="1" customHeight="1" thickBot="1" x14ac:dyDescent="0.35">
      <c r="B60" s="118"/>
      <c r="C60" s="531">
        <v>0</v>
      </c>
      <c r="D60" s="446"/>
      <c r="E60" s="447" t="s">
        <v>9</v>
      </c>
      <c r="F60" s="448" t="s">
        <v>169</v>
      </c>
      <c r="G60" s="448"/>
      <c r="H60" s="449"/>
      <c r="I60" s="450"/>
      <c r="J60" s="450"/>
      <c r="K60" s="451"/>
      <c r="L60" s="452"/>
      <c r="M60" s="191">
        <f>IF(AND(Working!H8="Three Wheeler",Working!B12="Above 5 yrs",Rates!D81="Yes",C60=1,N60&gt;Rates!F81,H13&lt;2009),N60,IF(AND(Working!H8="Three Wheeler",Working!B12="Above 5 yrs",Rates!D81="Yes",H13&lt;2009),Rates!F81,IF(C60=1,N60,0)))</f>
        <v>0</v>
      </c>
      <c r="N60" s="532">
        <v>0</v>
      </c>
      <c r="P60" s="305"/>
      <c r="Q60" s="305"/>
      <c r="R60" s="246"/>
      <c r="S60" s="482"/>
      <c r="T60" s="481"/>
      <c r="U60" s="479"/>
      <c r="V60" s="479"/>
      <c r="W60" s="139"/>
      <c r="X60" s="139"/>
      <c r="Y60" s="139"/>
      <c r="Z60" s="139"/>
      <c r="AA60" s="139"/>
      <c r="AB60" s="139"/>
      <c r="AC60" s="139"/>
      <c r="AD60" s="480"/>
      <c r="AE60" s="480"/>
      <c r="AF60" s="480"/>
      <c r="AG60" s="480"/>
      <c r="AH60" s="480"/>
      <c r="AI60" s="480"/>
      <c r="AJ60" s="139"/>
      <c r="AK60" s="480"/>
      <c r="AL60" s="480"/>
      <c r="AM60" s="139"/>
      <c r="AN60" s="480"/>
      <c r="AO60" s="480"/>
      <c r="AP60" s="141"/>
      <c r="AQ60" s="141"/>
      <c r="AR60" s="141"/>
      <c r="AS60" s="141"/>
      <c r="AT60" s="141"/>
      <c r="AU60" s="536">
        <f t="shared" ca="1" si="4"/>
        <v>2022</v>
      </c>
      <c r="AV60" s="141"/>
      <c r="AW60" s="141"/>
      <c r="AX60" s="678"/>
      <c r="AY60" s="141"/>
      <c r="AZ60" s="141"/>
    </row>
    <row r="61" spans="2:52" s="142" customFormat="1" ht="19.5" customHeight="1" x14ac:dyDescent="0.3">
      <c r="B61" s="118"/>
      <c r="C61" s="136"/>
      <c r="D61" s="6"/>
      <c r="E61" s="1577"/>
      <c r="F61" s="1578"/>
      <c r="G61" s="9"/>
      <c r="H61" s="73" t="s">
        <v>10</v>
      </c>
      <c r="I61" s="295"/>
      <c r="J61" s="73"/>
      <c r="K61" s="184"/>
      <c r="L61" s="185"/>
      <c r="M61" s="438">
        <f ca="1">SUM(M38:M60)*C69*U2</f>
        <v>13358.838875000001</v>
      </c>
      <c r="N61" s="207"/>
      <c r="O61" s="306">
        <f ca="1">M61-M40-M42-M41-M43</f>
        <v>10890.088875000001</v>
      </c>
      <c r="P61" s="306"/>
      <c r="Q61" s="234">
        <f>IF(Rates!D45="Yes",0,1)</f>
        <v>1</v>
      </c>
      <c r="R61" s="231">
        <f>IF(AND(Rates!D43="Yes",B56="Yes"),1,0)</f>
        <v>0</v>
      </c>
      <c r="S61" s="479"/>
      <c r="T61" s="479"/>
      <c r="U61" s="479"/>
      <c r="V61" s="479"/>
      <c r="W61" s="139"/>
      <c r="X61" s="139"/>
      <c r="Y61" s="139"/>
      <c r="Z61" s="139"/>
      <c r="AA61" s="139"/>
      <c r="AB61" s="139"/>
      <c r="AC61" s="139"/>
      <c r="AD61" s="480"/>
      <c r="AE61" s="480"/>
      <c r="AF61" s="480"/>
      <c r="AG61" s="480"/>
      <c r="AH61" s="480"/>
      <c r="AI61" s="480"/>
      <c r="AJ61" s="139"/>
      <c r="AK61" s="480"/>
      <c r="AL61" s="480"/>
      <c r="AM61" s="139"/>
      <c r="AN61" s="480"/>
      <c r="AO61" s="480"/>
      <c r="AP61" s="141"/>
      <c r="AQ61" s="141"/>
      <c r="AR61" s="141"/>
      <c r="AS61" s="141"/>
      <c r="AT61" s="141"/>
      <c r="AU61" s="536">
        <f t="shared" ca="1" si="4"/>
        <v>2023</v>
      </c>
      <c r="AV61" s="141"/>
      <c r="AW61" s="141"/>
      <c r="AX61" s="678"/>
      <c r="AY61" s="141"/>
      <c r="AZ61" s="141"/>
    </row>
    <row r="62" spans="2:52" s="142" customFormat="1" ht="15.75" customHeight="1" x14ac:dyDescent="0.3">
      <c r="B62" s="118"/>
      <c r="C62" s="136"/>
      <c r="D62" s="6"/>
      <c r="E62" s="1577"/>
      <c r="F62" s="1578"/>
      <c r="G62" s="9"/>
      <c r="H62" s="74" t="s">
        <v>134</v>
      </c>
      <c r="I62" s="295"/>
      <c r="J62" s="74"/>
      <c r="K62" s="78">
        <f>Rates!D19</f>
        <v>2.5</v>
      </c>
      <c r="L62" s="186" t="s">
        <v>56</v>
      </c>
      <c r="M62" s="257">
        <f ca="1">M61*Rates!D19%</f>
        <v>333.97097187500003</v>
      </c>
      <c r="N62" s="208"/>
      <c r="Q62" s="234"/>
      <c r="R62" s="231"/>
      <c r="S62" s="231"/>
      <c r="T62" s="231"/>
      <c r="U62" s="242">
        <f>O57+Q57+W57</f>
        <v>0</v>
      </c>
      <c r="V62" s="242"/>
      <c r="AD62" s="141"/>
      <c r="AE62" s="141"/>
      <c r="AF62" s="141"/>
      <c r="AG62" s="141"/>
      <c r="AH62" s="141"/>
      <c r="AI62" s="141"/>
      <c r="AK62" s="141"/>
      <c r="AL62" s="141"/>
      <c r="AM62" s="219"/>
      <c r="AN62" s="141"/>
      <c r="AO62" s="141"/>
      <c r="AP62" s="141"/>
      <c r="AQ62" s="141"/>
      <c r="AR62" s="141"/>
      <c r="AS62" s="141"/>
      <c r="AT62" s="141"/>
      <c r="AU62" s="536">
        <f t="shared" ca="1" si="4"/>
        <v>2024</v>
      </c>
      <c r="AV62" s="141"/>
      <c r="AW62" s="141"/>
      <c r="AX62" s="678"/>
      <c r="AY62" s="141"/>
      <c r="AZ62" s="141"/>
    </row>
    <row r="63" spans="2:52" s="142" customFormat="1" ht="15.75" hidden="1" customHeight="1" x14ac:dyDescent="0.35">
      <c r="B63" s="118"/>
      <c r="C63" s="136"/>
      <c r="D63" s="6"/>
      <c r="E63" s="1577"/>
      <c r="F63" s="1578"/>
      <c r="G63" s="9"/>
      <c r="H63" s="11"/>
      <c r="I63" s="295"/>
      <c r="J63" s="11"/>
      <c r="K63" s="9"/>
      <c r="L63" s="185"/>
      <c r="M63" s="187"/>
      <c r="N63" s="208"/>
      <c r="O63" s="229"/>
      <c r="P63" s="229"/>
      <c r="Q63" s="234"/>
      <c r="R63" s="231"/>
      <c r="S63" s="231"/>
      <c r="T63" s="231"/>
      <c r="U63" s="231"/>
      <c r="V63" s="231"/>
      <c r="AD63" s="141"/>
      <c r="AE63" s="141"/>
      <c r="AF63" s="141"/>
      <c r="AG63" s="141"/>
      <c r="AH63" s="141"/>
      <c r="AI63" s="141"/>
      <c r="AK63" s="141"/>
      <c r="AL63" s="141"/>
      <c r="AM63" s="219"/>
      <c r="AN63" s="141"/>
      <c r="AO63" s="141"/>
      <c r="AP63" s="141"/>
      <c r="AQ63" s="141"/>
      <c r="AR63" s="141"/>
      <c r="AS63" s="141"/>
      <c r="AT63" s="141"/>
      <c r="AU63" s="536" t="str">
        <f t="shared" ca="1" si="4"/>
        <v/>
      </c>
      <c r="AV63" s="141"/>
      <c r="AW63" s="141"/>
      <c r="AX63" s="678"/>
      <c r="AY63" s="141"/>
      <c r="AZ63" s="141"/>
    </row>
    <row r="64" spans="2:52" s="142" customFormat="1" ht="15.75" customHeight="1" x14ac:dyDescent="0.3">
      <c r="B64" s="118"/>
      <c r="C64" s="136"/>
      <c r="D64" s="6"/>
      <c r="E64" s="1577"/>
      <c r="F64" s="1578"/>
      <c r="G64" s="9"/>
      <c r="H64" s="74" t="s">
        <v>173</v>
      </c>
      <c r="I64" s="295"/>
      <c r="J64" s="74"/>
      <c r="K64" s="78">
        <f>Rates!G20</f>
        <v>0</v>
      </c>
      <c r="L64" s="186" t="s">
        <v>56</v>
      </c>
      <c r="M64" s="187">
        <f ca="1">M61*Rates!G20%</f>
        <v>0</v>
      </c>
      <c r="N64" s="208"/>
      <c r="O64" s="229"/>
      <c r="P64" s="229"/>
      <c r="Q64" s="234"/>
      <c r="R64" s="618">
        <v>1</v>
      </c>
      <c r="S64" s="231"/>
      <c r="T64" s="231"/>
      <c r="U64" s="231"/>
      <c r="V64" s="231"/>
      <c r="AD64" s="141"/>
      <c r="AE64" s="141"/>
      <c r="AF64" s="141"/>
      <c r="AG64" s="141"/>
      <c r="AH64" s="141"/>
      <c r="AI64" s="141"/>
      <c r="AK64" s="141"/>
      <c r="AL64" s="141"/>
      <c r="AM64" s="219"/>
      <c r="AN64" s="141"/>
      <c r="AO64" s="141"/>
      <c r="AP64" s="141"/>
      <c r="AQ64" s="141"/>
      <c r="AR64" s="141"/>
      <c r="AS64" s="141"/>
      <c r="AT64" s="141"/>
      <c r="AU64" s="536" t="str">
        <f t="shared" ca="1" si="4"/>
        <v/>
      </c>
      <c r="AV64" s="141"/>
      <c r="AW64" s="141"/>
      <c r="AX64" s="678"/>
      <c r="AY64" s="141"/>
      <c r="AZ64" s="141"/>
    </row>
    <row r="65" spans="1:52" s="142" customFormat="1" ht="15.5" thickBot="1" x14ac:dyDescent="0.35">
      <c r="B65" s="118"/>
      <c r="C65" s="136"/>
      <c r="D65" s="6"/>
      <c r="E65" s="1577"/>
      <c r="F65" s="1578"/>
      <c r="G65" s="9"/>
      <c r="H65" s="74" t="s">
        <v>1</v>
      </c>
      <c r="I65" s="295"/>
      <c r="J65" s="74"/>
      <c r="K65" s="78">
        <f>Rates!D21</f>
        <v>8</v>
      </c>
      <c r="L65" s="186" t="s">
        <v>56</v>
      </c>
      <c r="M65" s="187">
        <f ca="1">SUM(M61:M64)*Rates!D21%</f>
        <v>1095.4247877500002</v>
      </c>
      <c r="N65" s="208"/>
      <c r="O65" s="229"/>
      <c r="P65" s="229"/>
      <c r="Q65" s="142">
        <f>IF(AND(M8=Administration!C10,H9=Administration!C23),0,1)</f>
        <v>1</v>
      </c>
      <c r="R65" s="246"/>
      <c r="S65" s="246"/>
      <c r="W65" s="473"/>
      <c r="AD65" s="141"/>
      <c r="AE65" s="141"/>
      <c r="AF65" s="141"/>
      <c r="AG65" s="141"/>
      <c r="AH65" s="141"/>
      <c r="AI65" s="141"/>
      <c r="AK65" s="141"/>
      <c r="AL65" s="141"/>
      <c r="AM65" s="219"/>
      <c r="AN65" s="141"/>
      <c r="AO65" s="141"/>
      <c r="AP65" s="141"/>
      <c r="AQ65" s="141"/>
      <c r="AR65" s="141"/>
      <c r="AS65" s="141"/>
      <c r="AT65" s="141"/>
      <c r="AU65" s="536" t="str">
        <f t="shared" ca="1" si="4"/>
        <v/>
      </c>
      <c r="AV65" s="141"/>
      <c r="AW65" s="141"/>
      <c r="AX65" s="678"/>
      <c r="AY65" s="141"/>
      <c r="AZ65" s="141"/>
    </row>
    <row r="66" spans="1:52" s="142" customFormat="1" ht="25.5" customHeight="1" thickTop="1" thickBot="1" x14ac:dyDescent="0.35">
      <c r="B66" s="118"/>
      <c r="C66" s="308">
        <f>Administration!I3</f>
        <v>45413</v>
      </c>
      <c r="D66" s="6"/>
      <c r="E66" s="1579"/>
      <c r="F66" s="1580"/>
      <c r="G66" s="9"/>
      <c r="H66" s="73" t="s">
        <v>381</v>
      </c>
      <c r="I66" s="295"/>
      <c r="J66" s="73"/>
      <c r="K66" s="9"/>
      <c r="L66" s="185"/>
      <c r="M66" s="114">
        <f ca="1">SUM(M61:M65)*C69*U2</f>
        <v>14788.234634625001</v>
      </c>
      <c r="N66" s="1587" t="str">
        <f>IF($Y$48="Private Car Policy",HYPERLINK("[Standard Motor Quotation 2013.xls]Private_Car!I20","Click to Print"),IF($Y$48="Motor Cycle Policy",HYPERLINK("[Standard Motor Quotation 2013.xls]Motor_Cycle!I20","Click to Print"),HYPERLINK("[Standard Motor Quotation 2013.xls]Commercial_Vehicle!I20","Click to Print")))</f>
        <v>Click to Print</v>
      </c>
      <c r="O66" s="1588"/>
      <c r="P66" s="297"/>
      <c r="Q66" s="137"/>
      <c r="AD66" s="141"/>
      <c r="AE66" s="141"/>
      <c r="AF66" s="141"/>
      <c r="AG66" s="141"/>
      <c r="AH66" s="141"/>
      <c r="AI66" s="141"/>
      <c r="AK66" s="141"/>
      <c r="AL66" s="141"/>
      <c r="AM66" s="219"/>
      <c r="AN66" s="141"/>
      <c r="AO66" s="141"/>
      <c r="AP66" s="141"/>
      <c r="AQ66" s="141"/>
      <c r="AR66" s="141"/>
      <c r="AS66" s="141"/>
      <c r="AT66" s="141"/>
      <c r="AU66" s="536" t="str">
        <f t="shared" ca="1" si="4"/>
        <v/>
      </c>
      <c r="AV66" s="141"/>
      <c r="AW66" s="141"/>
      <c r="AX66" s="678"/>
      <c r="AY66" s="141"/>
      <c r="AZ66" s="141"/>
    </row>
    <row r="67" spans="1:52" s="142" customFormat="1" ht="12.75" hidden="1" customHeight="1" x14ac:dyDescent="0.25">
      <c r="B67" s="118"/>
      <c r="C67" s="137"/>
      <c r="D67" s="6"/>
      <c r="E67" s="12"/>
      <c r="F67" s="12"/>
      <c r="G67" s="12"/>
      <c r="H67" s="12"/>
      <c r="I67" s="12"/>
      <c r="J67" s="12"/>
      <c r="K67" s="12"/>
      <c r="L67" s="12"/>
      <c r="M67" s="13"/>
      <c r="N67" s="210"/>
      <c r="O67" s="211"/>
      <c r="P67" s="226"/>
      <c r="AD67" s="141"/>
      <c r="AE67" s="141"/>
      <c r="AF67" s="141"/>
      <c r="AG67" s="141"/>
      <c r="AH67" s="141"/>
      <c r="AI67" s="141"/>
      <c r="AK67" s="141"/>
      <c r="AL67" s="141"/>
      <c r="AM67" s="219"/>
      <c r="AN67" s="141"/>
      <c r="AO67" s="141"/>
      <c r="AP67" s="141"/>
      <c r="AQ67" s="141"/>
      <c r="AR67" s="141"/>
      <c r="AS67" s="141"/>
      <c r="AT67" s="141"/>
      <c r="AU67" s="536" t="str">
        <f t="shared" ca="1" si="4"/>
        <v/>
      </c>
      <c r="AV67" s="141"/>
      <c r="AW67" s="141"/>
      <c r="AX67" s="678"/>
      <c r="AY67" s="141"/>
      <c r="AZ67" s="141"/>
    </row>
    <row r="68" spans="1:52" s="142" customFormat="1" ht="12.75" hidden="1" customHeight="1" x14ac:dyDescent="0.3">
      <c r="B68" s="118"/>
      <c r="C68" s="137"/>
      <c r="D68" s="6"/>
      <c r="E68" s="12"/>
      <c r="F68" s="12"/>
      <c r="G68" s="12"/>
      <c r="H68" s="12"/>
      <c r="I68" s="12"/>
      <c r="J68" s="12"/>
      <c r="K68" s="12"/>
      <c r="L68" s="12"/>
      <c r="M68" s="13"/>
      <c r="N68" s="212"/>
      <c r="O68" s="102"/>
      <c r="P68" s="225"/>
      <c r="AD68" s="141"/>
      <c r="AE68" s="141"/>
      <c r="AF68" s="141"/>
      <c r="AG68" s="141"/>
      <c r="AH68" s="141"/>
      <c r="AI68" s="141"/>
      <c r="AK68" s="141"/>
      <c r="AL68" s="141"/>
      <c r="AM68" s="219"/>
      <c r="AN68" s="141"/>
      <c r="AO68" s="141"/>
      <c r="AP68" s="141"/>
      <c r="AQ68" s="141"/>
      <c r="AR68" s="141"/>
      <c r="AS68" s="141"/>
      <c r="AT68" s="141"/>
      <c r="AU68" s="536" t="str">
        <f t="shared" ca="1" si="4"/>
        <v/>
      </c>
      <c r="AV68" s="141"/>
      <c r="AW68" s="141"/>
      <c r="AX68" s="678"/>
      <c r="AY68" s="141"/>
      <c r="AZ68" s="141"/>
    </row>
    <row r="69" spans="1:52" s="142" customFormat="1" ht="15.75" customHeight="1" thickTop="1" x14ac:dyDescent="0.45">
      <c r="B69" s="118"/>
      <c r="C69" s="137">
        <f ca="1">IF(C66&gt;F69,1,0)</f>
        <v>1</v>
      </c>
      <c r="D69" s="6"/>
      <c r="E69" s="12"/>
      <c r="F69" s="180">
        <f ca="1">TODAY()</f>
        <v>45346</v>
      </c>
      <c r="G69" s="180"/>
      <c r="H69" s="12"/>
      <c r="I69" s="12"/>
      <c r="J69" s="12"/>
      <c r="K69" s="12"/>
      <c r="L69" s="12"/>
      <c r="M69" s="1583"/>
      <c r="N69" s="690"/>
      <c r="O69" s="214"/>
      <c r="P69" s="247"/>
      <c r="Q69" s="137"/>
      <c r="AD69" s="141"/>
      <c r="AE69" s="141"/>
      <c r="AF69" s="141"/>
      <c r="AG69" s="141"/>
      <c r="AH69" s="141"/>
      <c r="AI69" s="141"/>
      <c r="AK69" s="141"/>
      <c r="AL69" s="141"/>
      <c r="AM69" s="219"/>
      <c r="AN69" s="141"/>
      <c r="AO69" s="141"/>
      <c r="AP69" s="141"/>
      <c r="AQ69" s="141"/>
      <c r="AR69" s="141"/>
      <c r="AS69" s="141"/>
      <c r="AT69" s="141"/>
      <c r="AU69" s="536" t="str">
        <f t="shared" ca="1" si="4"/>
        <v/>
      </c>
      <c r="AV69" s="141"/>
      <c r="AW69" s="141"/>
      <c r="AX69" s="678"/>
      <c r="AY69" s="141"/>
      <c r="AZ69" s="141"/>
    </row>
    <row r="70" spans="1:52" s="142" customFormat="1" ht="6.75" customHeight="1" x14ac:dyDescent="0.45">
      <c r="B70" s="118"/>
      <c r="C70" s="136"/>
      <c r="D70" s="6"/>
      <c r="E70" s="14"/>
      <c r="F70" s="1589" t="str">
        <f>IF(O70=1,"Hiring",IF(O70=3,"Rent A Vehicle",IF(O70=0,"Private")))</f>
        <v>Private</v>
      </c>
      <c r="G70" s="1589"/>
      <c r="H70" s="1589"/>
      <c r="I70" s="14"/>
      <c r="J70" s="14"/>
      <c r="K70" s="14"/>
      <c r="L70" s="14"/>
      <c r="M70" s="1583"/>
      <c r="N70" s="690"/>
      <c r="O70" s="229">
        <f>Q45+Q44</f>
        <v>0</v>
      </c>
      <c r="P70" s="229"/>
      <c r="Q70" s="142" t="s">
        <v>41</v>
      </c>
      <c r="R70" s="142" t="s">
        <v>7</v>
      </c>
      <c r="T70" s="142" t="s">
        <v>45</v>
      </c>
      <c r="AD70" s="141"/>
      <c r="AE70" s="141"/>
      <c r="AF70" s="141"/>
      <c r="AG70" s="141"/>
      <c r="AH70" s="141"/>
      <c r="AI70" s="141"/>
      <c r="AK70" s="141"/>
      <c r="AL70" s="141"/>
      <c r="AM70" s="219"/>
      <c r="AN70" s="141"/>
      <c r="AO70" s="141"/>
      <c r="AP70" s="141"/>
      <c r="AQ70" s="141"/>
      <c r="AR70" s="141"/>
      <c r="AS70" s="141"/>
      <c r="AT70" s="141"/>
      <c r="AU70" s="536" t="str">
        <f t="shared" ca="1" si="4"/>
        <v/>
      </c>
      <c r="AV70" s="141"/>
      <c r="AW70" s="141"/>
      <c r="AX70" s="678"/>
      <c r="AY70" s="141"/>
      <c r="AZ70" s="141"/>
    </row>
    <row r="71" spans="1:52" s="142" customFormat="1" ht="13.5" customHeight="1" thickBot="1" x14ac:dyDescent="0.35">
      <c r="B71" s="118"/>
      <c r="C71" s="136"/>
      <c r="D71" s="181"/>
      <c r="E71" s="182"/>
      <c r="F71" s="1590"/>
      <c r="G71" s="1590"/>
      <c r="H71" s="1590"/>
      <c r="I71" s="182"/>
      <c r="J71" s="182"/>
      <c r="K71" s="182"/>
      <c r="L71" s="182"/>
      <c r="M71" s="183"/>
      <c r="N71" s="213"/>
      <c r="O71" s="206"/>
      <c r="P71" s="225"/>
      <c r="AD71" s="141"/>
      <c r="AE71" s="141"/>
      <c r="AF71" s="141"/>
      <c r="AG71" s="141"/>
      <c r="AH71" s="141"/>
      <c r="AI71" s="141"/>
      <c r="AK71" s="141"/>
      <c r="AL71" s="141"/>
      <c r="AM71" s="219"/>
      <c r="AN71" s="141"/>
      <c r="AO71" s="141"/>
      <c r="AP71" s="141"/>
      <c r="AQ71" s="141"/>
      <c r="AR71" s="141"/>
      <c r="AS71" s="141"/>
      <c r="AT71" s="141"/>
      <c r="AU71" s="536" t="str">
        <f t="shared" ca="1" si="4"/>
        <v/>
      </c>
      <c r="AV71" s="141"/>
      <c r="AW71" s="141"/>
      <c r="AX71" s="678"/>
      <c r="AY71" s="141"/>
      <c r="AZ71" s="141"/>
    </row>
    <row r="72" spans="1:52" s="138" customFormat="1" ht="14.5" hidden="1" thickTop="1" x14ac:dyDescent="0.3">
      <c r="A72" s="219"/>
      <c r="B72" s="223"/>
      <c r="C72" s="219"/>
      <c r="D72" s="298" t="s">
        <v>15</v>
      </c>
      <c r="E72" s="219"/>
      <c r="F72" s="222"/>
      <c r="G72" s="222"/>
      <c r="H72" s="222"/>
      <c r="I72" s="222"/>
      <c r="J72" s="222"/>
      <c r="K72" s="222"/>
      <c r="L72" s="219"/>
      <c r="M72" s="219"/>
      <c r="N72" s="139"/>
      <c r="O72" s="206"/>
      <c r="P72" s="225"/>
      <c r="Q72" s="142"/>
      <c r="R72" s="142"/>
      <c r="S72" s="142"/>
      <c r="T72" s="142"/>
      <c r="U72" s="142"/>
      <c r="V72" s="142"/>
      <c r="W72" s="142"/>
      <c r="X72" s="142"/>
      <c r="Y72" s="142"/>
      <c r="Z72" s="142"/>
      <c r="AA72" s="142"/>
      <c r="AB72" s="142"/>
      <c r="AC72" s="142"/>
      <c r="AD72" s="141"/>
      <c r="AE72" s="141"/>
      <c r="AF72" s="141"/>
      <c r="AG72" s="141"/>
      <c r="AH72" s="141"/>
      <c r="AI72" s="141"/>
      <c r="AJ72" s="142"/>
      <c r="AK72" s="141"/>
      <c r="AL72" s="141"/>
      <c r="AM72" s="219"/>
      <c r="AN72" s="141"/>
      <c r="AO72" s="141"/>
      <c r="AP72" s="141"/>
      <c r="AQ72" s="141"/>
      <c r="AR72" s="141"/>
      <c r="AS72" s="141"/>
      <c r="AT72" s="141"/>
      <c r="AU72" s="536" t="str">
        <f t="shared" ca="1" si="4"/>
        <v/>
      </c>
      <c r="AV72" s="141"/>
      <c r="AW72" s="141"/>
      <c r="AX72" s="678"/>
      <c r="AY72" s="141"/>
      <c r="AZ72" s="141"/>
    </row>
    <row r="73" spans="1:52" s="138" customFormat="1" ht="22.5" hidden="1" customHeight="1" x14ac:dyDescent="0.25">
      <c r="A73" s="219"/>
      <c r="B73" s="224"/>
      <c r="C73" s="219"/>
      <c r="D73" s="142"/>
      <c r="E73" s="142"/>
      <c r="F73" s="142"/>
      <c r="G73" s="142"/>
      <c r="H73" s="142"/>
      <c r="I73" s="142"/>
      <c r="J73" s="142"/>
      <c r="K73" s="142"/>
      <c r="L73" s="142"/>
      <c r="M73" s="536"/>
      <c r="N73" s="536"/>
      <c r="O73" s="536"/>
      <c r="P73" s="536"/>
      <c r="Q73" s="536"/>
      <c r="R73" s="536"/>
      <c r="S73" s="536"/>
      <c r="T73" s="536"/>
      <c r="U73" s="142"/>
      <c r="V73" s="142"/>
      <c r="W73" s="142"/>
      <c r="X73" s="142"/>
      <c r="Y73" s="142"/>
      <c r="Z73" s="142"/>
      <c r="AA73" s="142"/>
      <c r="AB73" s="142"/>
      <c r="AC73" s="142"/>
      <c r="AD73" s="141"/>
      <c r="AE73" s="141"/>
      <c r="AF73" s="141"/>
      <c r="AG73" s="141"/>
      <c r="AH73" s="141"/>
      <c r="AI73" s="141"/>
      <c r="AJ73" s="142"/>
      <c r="AK73" s="141"/>
      <c r="AL73" s="141"/>
      <c r="AM73" s="219"/>
      <c r="AN73" s="141"/>
      <c r="AO73" s="141"/>
      <c r="AP73" s="141"/>
      <c r="AQ73" s="141"/>
      <c r="AR73" s="141"/>
      <c r="AS73" s="141"/>
      <c r="AT73" s="141"/>
      <c r="AU73" s="536" t="str">
        <f t="shared" ca="1" si="4"/>
        <v/>
      </c>
      <c r="AV73" s="141"/>
      <c r="AW73" s="141"/>
      <c r="AY73" s="141"/>
      <c r="AZ73" s="141"/>
    </row>
    <row r="74" spans="1:52" s="138" customFormat="1" hidden="1" x14ac:dyDescent="0.3">
      <c r="A74" s="219"/>
      <c r="B74" s="224"/>
      <c r="C74" s="219"/>
      <c r="D74" s="142" t="s">
        <v>78</v>
      </c>
      <c r="E74" s="142" t="s">
        <v>78</v>
      </c>
      <c r="F74" s="142"/>
      <c r="G74" s="142"/>
      <c r="H74" s="142"/>
      <c r="I74" s="142"/>
      <c r="J74" s="142"/>
      <c r="K74" s="142"/>
      <c r="L74" s="142"/>
      <c r="M74" s="536"/>
      <c r="N74" s="536"/>
      <c r="O74" s="536"/>
      <c r="P74" s="536"/>
      <c r="Q74" s="536"/>
      <c r="R74" s="536"/>
      <c r="S74" s="536"/>
      <c r="T74" s="536"/>
      <c r="U74" s="142"/>
      <c r="V74" s="142"/>
      <c r="W74" s="142"/>
      <c r="X74" s="142"/>
      <c r="Y74" s="142"/>
      <c r="Z74" s="142"/>
      <c r="AA74" s="142"/>
      <c r="AB74" s="142"/>
      <c r="AC74" s="142"/>
      <c r="AD74" s="141"/>
      <c r="AE74" s="141"/>
      <c r="AF74" s="141"/>
      <c r="AG74" s="141"/>
      <c r="AH74" s="141"/>
      <c r="AI74" s="141"/>
      <c r="AJ74" s="142"/>
      <c r="AK74" s="141"/>
      <c r="AL74" s="141"/>
      <c r="AM74" s="219"/>
      <c r="AN74" s="141"/>
      <c r="AO74" s="141"/>
      <c r="AP74" s="141"/>
      <c r="AQ74" s="141"/>
      <c r="AR74" s="141"/>
      <c r="AS74" s="141"/>
      <c r="AT74" s="141"/>
      <c r="AU74" s="536" t="str">
        <f t="shared" ca="1" si="4"/>
        <v/>
      </c>
      <c r="AV74" s="141"/>
      <c r="AW74" s="141"/>
      <c r="AX74" s="485"/>
      <c r="AY74" s="141"/>
      <c r="AZ74" s="141"/>
    </row>
    <row r="75" spans="1:52" s="138" customFormat="1" hidden="1" x14ac:dyDescent="0.3">
      <c r="A75" s="219"/>
      <c r="B75" s="224"/>
      <c r="C75" s="219"/>
      <c r="D75" s="142" t="s">
        <v>114</v>
      </c>
      <c r="E75" s="142" t="s">
        <v>114</v>
      </c>
      <c r="F75" s="142"/>
      <c r="G75" s="142"/>
      <c r="H75" s="142"/>
      <c r="I75" s="142"/>
      <c r="J75" s="142"/>
      <c r="K75" s="142"/>
      <c r="L75" s="142"/>
      <c r="M75" s="536"/>
      <c r="N75" s="519"/>
      <c r="O75" s="519"/>
      <c r="P75" s="519"/>
      <c r="Q75" s="519"/>
      <c r="R75" s="519"/>
      <c r="S75" s="519"/>
      <c r="T75" s="519"/>
      <c r="U75" s="142"/>
      <c r="V75" s="142"/>
      <c r="W75" s="142"/>
      <c r="X75" s="142"/>
      <c r="Y75" s="142"/>
      <c r="Z75" s="142"/>
      <c r="AA75" s="142"/>
      <c r="AB75" s="142"/>
      <c r="AC75" s="142"/>
      <c r="AD75" s="141"/>
      <c r="AE75" s="141"/>
      <c r="AF75" s="141"/>
      <c r="AG75" s="141"/>
      <c r="AH75" s="141"/>
      <c r="AI75" s="141"/>
      <c r="AJ75" s="142"/>
      <c r="AK75" s="141"/>
      <c r="AL75" s="141"/>
      <c r="AM75" s="219"/>
      <c r="AN75" s="141"/>
      <c r="AO75" s="141"/>
      <c r="AP75" s="141"/>
      <c r="AQ75" s="141"/>
      <c r="AR75" s="141"/>
      <c r="AS75" s="141"/>
      <c r="AT75" s="141"/>
      <c r="AU75" s="536" t="str">
        <f t="shared" ca="1" si="4"/>
        <v/>
      </c>
      <c r="AV75" s="141"/>
      <c r="AW75" s="141"/>
      <c r="AX75" s="485"/>
      <c r="AY75" s="141"/>
      <c r="AZ75" s="141"/>
    </row>
    <row r="76" spans="1:52" s="138" customFormat="1" hidden="1" x14ac:dyDescent="0.3">
      <c r="A76" s="219"/>
      <c r="B76" s="224"/>
      <c r="C76" s="219"/>
      <c r="D76" s="142">
        <v>1</v>
      </c>
      <c r="E76" s="142"/>
      <c r="F76" s="142"/>
      <c r="G76" s="142"/>
      <c r="H76" s="142"/>
      <c r="I76" s="142"/>
      <c r="J76" s="142"/>
      <c r="K76" s="142"/>
      <c r="L76" s="142"/>
      <c r="M76" s="536"/>
      <c r="N76" s="519"/>
      <c r="O76" s="538" t="s">
        <v>223</v>
      </c>
      <c r="P76" s="519"/>
      <c r="Q76" s="519"/>
      <c r="R76" s="519"/>
      <c r="S76" s="519"/>
      <c r="T76" s="519"/>
      <c r="U76" s="142"/>
      <c r="V76" s="142"/>
      <c r="W76" s="142"/>
      <c r="X76" s="142"/>
      <c r="Y76" s="142"/>
      <c r="Z76" s="142"/>
      <c r="AA76" s="142"/>
      <c r="AB76" s="142"/>
      <c r="AC76" s="142"/>
      <c r="AD76" s="141"/>
      <c r="AE76" s="141"/>
      <c r="AF76" s="141"/>
      <c r="AG76" s="141"/>
      <c r="AH76" s="141"/>
      <c r="AI76" s="141"/>
      <c r="AJ76" s="142"/>
      <c r="AK76" s="141"/>
      <c r="AL76" s="141"/>
      <c r="AM76" s="219"/>
      <c r="AN76" s="141"/>
      <c r="AO76" s="141"/>
      <c r="AP76" s="141"/>
      <c r="AQ76" s="141"/>
      <c r="AR76" s="141"/>
      <c r="AS76" s="141"/>
      <c r="AT76" s="141"/>
      <c r="AU76" s="536" t="str">
        <f t="shared" ca="1" si="4"/>
        <v/>
      </c>
      <c r="AV76" s="141"/>
      <c r="AW76" s="141"/>
      <c r="AX76" s="485"/>
      <c r="AY76" s="141"/>
      <c r="AZ76" s="141"/>
    </row>
    <row r="77" spans="1:52" s="138" customFormat="1" ht="25.5" hidden="1" customHeight="1" x14ac:dyDescent="0.3">
      <c r="A77" s="219"/>
      <c r="B77" s="224"/>
      <c r="C77" s="219"/>
      <c r="D77" s="142" t="s">
        <v>78</v>
      </c>
      <c r="E77" s="142" t="s">
        <v>78</v>
      </c>
      <c r="F77" s="142"/>
      <c r="G77" s="142"/>
      <c r="H77" s="142"/>
      <c r="I77" s="142"/>
      <c r="J77" s="142"/>
      <c r="K77" s="142"/>
      <c r="L77" s="142"/>
      <c r="M77" s="536"/>
      <c r="N77" s="519"/>
      <c r="O77" s="519" t="s">
        <v>224</v>
      </c>
      <c r="P77" s="519"/>
      <c r="Q77" s="519"/>
      <c r="R77" s="519">
        <f ca="1">IF(AND(Y15&gt;10,Y15&lt;15),Rates!K59,IF(AND(Y15&gt;=15,Y15&lt;20),Rates!K60,IF(Y15&lt;11,0,Working!I20)))</f>
        <v>0</v>
      </c>
      <c r="S77" s="519"/>
      <c r="T77" s="519"/>
      <c r="U77" s="142"/>
      <c r="V77" s="142"/>
      <c r="W77" s="142"/>
      <c r="X77" s="142"/>
      <c r="Y77" s="142"/>
      <c r="Z77" s="142"/>
      <c r="AA77" s="142"/>
      <c r="AB77" s="142"/>
      <c r="AC77" s="142"/>
      <c r="AD77" s="141"/>
      <c r="AE77" s="141"/>
      <c r="AF77" s="141"/>
      <c r="AG77" s="141"/>
      <c r="AH77" s="141"/>
      <c r="AI77" s="141"/>
      <c r="AJ77" s="142"/>
      <c r="AK77" s="141"/>
      <c r="AL77" s="141"/>
      <c r="AM77" s="219"/>
      <c r="AN77" s="141"/>
      <c r="AO77" s="141"/>
      <c r="AP77" s="141"/>
      <c r="AQ77" s="141"/>
      <c r="AR77" s="141"/>
      <c r="AS77" s="141"/>
      <c r="AT77" s="141"/>
      <c r="AU77" s="536" t="str">
        <f t="shared" ca="1" si="4"/>
        <v/>
      </c>
      <c r="AV77" s="141"/>
      <c r="AW77" s="141"/>
      <c r="AX77" s="485"/>
      <c r="AY77" s="141"/>
      <c r="AZ77" s="141"/>
    </row>
    <row r="78" spans="1:52" s="138" customFormat="1" hidden="1" x14ac:dyDescent="0.3">
      <c r="A78" s="219"/>
      <c r="B78" s="224"/>
      <c r="C78" s="219"/>
      <c r="D78" s="142" t="s">
        <v>114</v>
      </c>
      <c r="E78" s="142" t="s">
        <v>114</v>
      </c>
      <c r="F78" s="142"/>
      <c r="G78" s="142"/>
      <c r="H78" s="142"/>
      <c r="I78" s="142"/>
      <c r="J78" s="142"/>
      <c r="K78" s="142"/>
      <c r="L78" s="142"/>
      <c r="M78" s="536"/>
      <c r="N78" s="519"/>
      <c r="O78" s="519" t="s">
        <v>41</v>
      </c>
      <c r="P78" s="519"/>
      <c r="Q78" s="519"/>
      <c r="R78" s="519">
        <f>IF(OR(H9=Administration!C21,Working!H9=Administration!C22),Rates!K61,0)</f>
        <v>0</v>
      </c>
      <c r="S78" s="519"/>
      <c r="T78" s="519"/>
      <c r="U78" s="142"/>
      <c r="V78" s="142"/>
      <c r="W78" s="142"/>
      <c r="X78" s="142"/>
      <c r="Y78" s="142"/>
      <c r="Z78" s="142"/>
      <c r="AA78" s="142"/>
      <c r="AB78" s="142"/>
      <c r="AC78" s="142"/>
      <c r="AD78" s="141"/>
      <c r="AE78" s="141"/>
      <c r="AF78" s="141"/>
      <c r="AG78" s="141"/>
      <c r="AH78" s="141"/>
      <c r="AI78" s="141"/>
      <c r="AJ78" s="142"/>
      <c r="AK78" s="141"/>
      <c r="AL78" s="141"/>
      <c r="AM78" s="219"/>
      <c r="AN78" s="141"/>
      <c r="AO78" s="141"/>
      <c r="AP78" s="141"/>
      <c r="AQ78" s="141"/>
      <c r="AR78" s="141"/>
      <c r="AS78" s="141"/>
      <c r="AT78" s="141"/>
      <c r="AU78" s="536" t="str">
        <f t="shared" ca="1" si="4"/>
        <v/>
      </c>
      <c r="AV78" s="141"/>
      <c r="AW78" s="141"/>
      <c r="AX78" s="485"/>
      <c r="AY78" s="141"/>
      <c r="AZ78" s="141"/>
    </row>
    <row r="79" spans="1:52" s="138" customFormat="1" hidden="1" x14ac:dyDescent="0.3">
      <c r="A79" s="219"/>
      <c r="B79" s="224"/>
      <c r="C79" s="219"/>
      <c r="D79" s="142"/>
      <c r="E79" s="142"/>
      <c r="F79" s="142"/>
      <c r="G79" s="142"/>
      <c r="H79" s="142"/>
      <c r="I79" s="142"/>
      <c r="J79" s="142"/>
      <c r="K79" s="142"/>
      <c r="L79" s="142"/>
      <c r="M79" s="536"/>
      <c r="N79" s="519"/>
      <c r="O79" s="519" t="s">
        <v>42</v>
      </c>
      <c r="P79" s="519"/>
      <c r="Q79" s="519"/>
      <c r="R79" s="519">
        <f>IF(H9="Rent A vehicle",Rates!K62,0)</f>
        <v>0</v>
      </c>
      <c r="S79" s="519"/>
      <c r="T79" s="519"/>
      <c r="U79" s="142"/>
      <c r="V79" s="142"/>
      <c r="W79" s="142"/>
      <c r="X79" s="142"/>
      <c r="Y79" s="142"/>
      <c r="Z79" s="142"/>
      <c r="AA79" s="142"/>
      <c r="AB79" s="142"/>
      <c r="AC79" s="142"/>
      <c r="AD79" s="141"/>
      <c r="AE79" s="141"/>
      <c r="AF79" s="141"/>
      <c r="AG79" s="141"/>
      <c r="AH79" s="141"/>
      <c r="AI79" s="141"/>
      <c r="AJ79" s="142"/>
      <c r="AK79" s="141"/>
      <c r="AL79" s="141"/>
      <c r="AM79" s="219"/>
      <c r="AN79" s="141"/>
      <c r="AO79" s="141"/>
      <c r="AP79" s="141"/>
      <c r="AQ79" s="141"/>
      <c r="AR79" s="141"/>
      <c r="AS79" s="141"/>
      <c r="AT79" s="141"/>
      <c r="AU79" s="536" t="str">
        <f t="shared" ca="1" si="4"/>
        <v/>
      </c>
      <c r="AV79" s="141"/>
      <c r="AW79" s="141"/>
      <c r="AX79" s="485"/>
      <c r="AY79" s="141"/>
      <c r="AZ79" s="141"/>
    </row>
    <row r="80" spans="1:52" s="138" customFormat="1" hidden="1" x14ac:dyDescent="0.3">
      <c r="A80" s="219"/>
      <c r="B80" s="224"/>
      <c r="C80" s="219"/>
      <c r="D80" s="142" t="s">
        <v>78</v>
      </c>
      <c r="E80" s="142" t="s">
        <v>78</v>
      </c>
      <c r="F80" s="142"/>
      <c r="G80" s="142"/>
      <c r="H80" s="142"/>
      <c r="I80" s="142"/>
      <c r="J80" s="142"/>
      <c r="K80" s="142"/>
      <c r="L80" s="142"/>
      <c r="M80" s="536"/>
      <c r="N80" s="519"/>
      <c r="O80" s="518" t="s">
        <v>277</v>
      </c>
      <c r="P80" s="519"/>
      <c r="Q80" s="519"/>
      <c r="R80" s="539">
        <f ca="1">SUM(R77:R79)</f>
        <v>0</v>
      </c>
      <c r="S80" s="519"/>
      <c r="T80" s="519"/>
      <c r="U80" s="142"/>
      <c r="V80" s="142"/>
      <c r="W80" s="142"/>
      <c r="X80" s="142"/>
      <c r="Y80" s="142"/>
      <c r="Z80" s="142"/>
      <c r="AA80" s="142"/>
      <c r="AB80" s="142"/>
      <c r="AC80" s="142"/>
      <c r="AD80" s="141"/>
      <c r="AE80" s="141"/>
      <c r="AF80" s="141"/>
      <c r="AG80" s="141"/>
      <c r="AH80" s="141"/>
      <c r="AI80" s="141"/>
      <c r="AJ80" s="142"/>
      <c r="AK80" s="141"/>
      <c r="AL80" s="141"/>
      <c r="AM80" s="219"/>
      <c r="AN80" s="141"/>
      <c r="AO80" s="141"/>
      <c r="AP80" s="141"/>
      <c r="AQ80" s="141"/>
      <c r="AR80" s="141"/>
      <c r="AS80" s="141"/>
      <c r="AT80" s="141"/>
      <c r="AU80" s="536" t="str">
        <f t="shared" ca="1" si="4"/>
        <v/>
      </c>
      <c r="AV80" s="141"/>
      <c r="AW80" s="141"/>
      <c r="AX80" s="485"/>
      <c r="AY80" s="141"/>
      <c r="AZ80" s="141"/>
    </row>
    <row r="81" spans="1:52" s="138" customFormat="1" hidden="1" x14ac:dyDescent="0.3">
      <c r="A81" s="219"/>
      <c r="B81" s="224"/>
      <c r="C81" s="219"/>
      <c r="D81" s="142" t="s">
        <v>114</v>
      </c>
      <c r="E81" s="142" t="s">
        <v>114</v>
      </c>
      <c r="F81" s="142"/>
      <c r="G81" s="142"/>
      <c r="H81" s="142"/>
      <c r="I81" s="142"/>
      <c r="J81" s="142"/>
      <c r="K81" s="142"/>
      <c r="L81" s="142"/>
      <c r="M81" s="536"/>
      <c r="N81" s="519"/>
      <c r="O81" s="519"/>
      <c r="P81" s="519"/>
      <c r="Q81" s="519"/>
      <c r="R81" s="519"/>
      <c r="S81" s="519"/>
      <c r="T81" s="519"/>
      <c r="U81" s="142"/>
      <c r="V81" s="142"/>
      <c r="W81" s="142"/>
      <c r="X81" s="142"/>
      <c r="Y81" s="142"/>
      <c r="Z81" s="142"/>
      <c r="AA81" s="142"/>
      <c r="AB81" s="142"/>
      <c r="AC81" s="142"/>
      <c r="AD81" s="141"/>
      <c r="AE81" s="141"/>
      <c r="AF81" s="141"/>
      <c r="AG81" s="141"/>
      <c r="AH81" s="141"/>
      <c r="AI81" s="141"/>
      <c r="AJ81" s="142"/>
      <c r="AK81" s="141"/>
      <c r="AL81" s="141"/>
      <c r="AM81" s="219"/>
      <c r="AN81" s="141"/>
      <c r="AO81" s="141"/>
      <c r="AP81" s="141"/>
      <c r="AQ81" s="141"/>
      <c r="AR81" s="141"/>
      <c r="AS81" s="141"/>
      <c r="AT81" s="141"/>
      <c r="AU81" s="536" t="str">
        <f t="shared" ca="1" si="4"/>
        <v/>
      </c>
      <c r="AV81" s="141"/>
      <c r="AW81" s="141"/>
      <c r="AX81" s="485"/>
      <c r="AY81" s="141"/>
      <c r="AZ81" s="141"/>
    </row>
    <row r="82" spans="1:52" s="138" customFormat="1" hidden="1" x14ac:dyDescent="0.3">
      <c r="A82" s="219"/>
      <c r="B82" s="224"/>
      <c r="C82" s="219"/>
      <c r="D82" s="142"/>
      <c r="E82" s="142"/>
      <c r="F82" s="142"/>
      <c r="G82" s="142"/>
      <c r="H82" s="142"/>
      <c r="I82" s="142"/>
      <c r="J82" s="142"/>
      <c r="K82" s="142"/>
      <c r="L82" s="142"/>
      <c r="M82" s="536"/>
      <c r="N82" s="519"/>
      <c r="O82" s="519" t="s">
        <v>60</v>
      </c>
      <c r="P82" s="519"/>
      <c r="Q82" s="519"/>
      <c r="R82" s="519">
        <f>IF(M8=Administration!C13,Rates!K66,IF(Working!M8=Administration!C14,Rates!K67,0))</f>
        <v>0</v>
      </c>
      <c r="S82" s="519"/>
      <c r="T82" s="519"/>
      <c r="U82" s="142"/>
      <c r="V82" s="142"/>
      <c r="W82" s="142"/>
      <c r="X82" s="142"/>
      <c r="Y82" s="142"/>
      <c r="Z82" s="142"/>
      <c r="AA82" s="142"/>
      <c r="AB82" s="142"/>
      <c r="AC82" s="142"/>
      <c r="AD82" s="141"/>
      <c r="AE82" s="141"/>
      <c r="AF82" s="141"/>
      <c r="AG82" s="141"/>
      <c r="AH82" s="141"/>
      <c r="AI82" s="141"/>
      <c r="AJ82" s="142"/>
      <c r="AK82" s="141"/>
      <c r="AL82" s="141"/>
      <c r="AM82" s="219"/>
      <c r="AN82" s="141"/>
      <c r="AO82" s="141"/>
      <c r="AP82" s="141"/>
      <c r="AQ82" s="141"/>
      <c r="AR82" s="141"/>
      <c r="AS82" s="141"/>
      <c r="AT82" s="141"/>
      <c r="AU82" s="536" t="str">
        <f t="shared" ca="1" si="4"/>
        <v/>
      </c>
      <c r="AV82" s="141"/>
      <c r="AW82" s="141"/>
      <c r="AX82" s="485"/>
      <c r="AY82" s="141"/>
      <c r="AZ82" s="141"/>
    </row>
    <row r="83" spans="1:52" s="138" customFormat="1" hidden="1" x14ac:dyDescent="0.3">
      <c r="A83" s="219"/>
      <c r="B83" s="224"/>
      <c r="C83" s="219"/>
      <c r="D83" s="142"/>
      <c r="E83" s="142"/>
      <c r="F83" s="142"/>
      <c r="G83" s="142"/>
      <c r="H83" s="142"/>
      <c r="I83" s="142"/>
      <c r="J83" s="142"/>
      <c r="K83" s="142"/>
      <c r="L83" s="142"/>
      <c r="M83" s="536"/>
      <c r="N83" s="519"/>
      <c r="O83" s="519" t="s">
        <v>210</v>
      </c>
      <c r="P83" s="519"/>
      <c r="Q83" s="519"/>
      <c r="R83" s="519">
        <f>IF(M8=Administration!C9,Rates!K69,0)</f>
        <v>0</v>
      </c>
      <c r="S83" s="519"/>
      <c r="T83" s="519"/>
      <c r="U83" s="142"/>
      <c r="V83" s="142"/>
      <c r="W83" s="142"/>
      <c r="X83" s="142"/>
      <c r="Y83" s="142"/>
      <c r="Z83" s="142"/>
      <c r="AA83" s="142"/>
      <c r="AB83" s="142"/>
      <c r="AC83" s="142"/>
      <c r="AD83" s="141"/>
      <c r="AE83" s="141"/>
      <c r="AF83" s="141"/>
      <c r="AG83" s="141"/>
      <c r="AH83" s="141"/>
      <c r="AI83" s="141"/>
      <c r="AJ83" s="142"/>
      <c r="AK83" s="141"/>
      <c r="AL83" s="141"/>
      <c r="AM83" s="219"/>
      <c r="AN83" s="141"/>
      <c r="AO83" s="141"/>
      <c r="AP83" s="141"/>
      <c r="AQ83" s="141"/>
      <c r="AR83" s="141"/>
      <c r="AS83" s="141"/>
      <c r="AT83" s="141"/>
      <c r="AU83" s="536" t="str">
        <f t="shared" ca="1" si="4"/>
        <v/>
      </c>
      <c r="AV83" s="141"/>
      <c r="AW83" s="141"/>
      <c r="AX83" s="485"/>
      <c r="AY83" s="141"/>
      <c r="AZ83" s="141"/>
    </row>
    <row r="84" spans="1:52" s="138" customFormat="1" hidden="1" x14ac:dyDescent="0.3">
      <c r="A84" s="219"/>
      <c r="B84" s="224"/>
      <c r="C84" s="219"/>
      <c r="D84" s="142"/>
      <c r="E84" s="142"/>
      <c r="F84" s="142"/>
      <c r="G84" s="142"/>
      <c r="H84" s="142"/>
      <c r="I84" s="142"/>
      <c r="J84" s="142"/>
      <c r="K84" s="142"/>
      <c r="L84" s="142"/>
      <c r="M84" s="536"/>
      <c r="N84" s="519"/>
      <c r="O84" s="519" t="s">
        <v>272</v>
      </c>
      <c r="P84" s="519"/>
      <c r="Q84" s="519"/>
      <c r="R84" s="519">
        <f>IF(M8=Administration!C7,Rates!K70,0)</f>
        <v>0</v>
      </c>
      <c r="S84" s="519"/>
      <c r="T84" s="519"/>
      <c r="U84" s="142"/>
      <c r="V84" s="142"/>
      <c r="W84" s="142"/>
      <c r="X84" s="142"/>
      <c r="Y84" s="142"/>
      <c r="Z84" s="142"/>
      <c r="AA84" s="142"/>
      <c r="AB84" s="142"/>
      <c r="AC84" s="142"/>
      <c r="AD84" s="141"/>
      <c r="AE84" s="141"/>
      <c r="AF84" s="141"/>
      <c r="AG84" s="141"/>
      <c r="AH84" s="141"/>
      <c r="AI84" s="141"/>
      <c r="AJ84" s="142"/>
      <c r="AK84" s="141"/>
      <c r="AL84" s="141"/>
      <c r="AM84" s="219"/>
      <c r="AN84" s="141"/>
      <c r="AO84" s="141"/>
      <c r="AP84" s="141"/>
      <c r="AQ84" s="141"/>
      <c r="AR84" s="141"/>
      <c r="AS84" s="141"/>
      <c r="AT84" s="141"/>
      <c r="AU84" s="536" t="str">
        <f t="shared" ca="1" si="4"/>
        <v/>
      </c>
      <c r="AV84" s="141"/>
      <c r="AW84" s="141"/>
      <c r="AX84" s="485"/>
      <c r="AY84" s="141"/>
      <c r="AZ84" s="141"/>
    </row>
    <row r="85" spans="1:52" s="138" customFormat="1" hidden="1" x14ac:dyDescent="0.3">
      <c r="A85" s="219"/>
      <c r="B85" s="224"/>
      <c r="C85" s="219"/>
      <c r="D85" s="142"/>
      <c r="E85" s="142"/>
      <c r="F85" s="142"/>
      <c r="G85" s="142"/>
      <c r="H85" s="142"/>
      <c r="I85" s="142"/>
      <c r="J85" s="142"/>
      <c r="K85" s="142"/>
      <c r="L85" s="142"/>
      <c r="M85" s="536"/>
      <c r="N85" s="519"/>
      <c r="O85" s="519" t="s">
        <v>273</v>
      </c>
      <c r="P85" s="519"/>
      <c r="Q85" s="519"/>
      <c r="R85" s="519">
        <f>IF(M8=Administration!C8,Rates!K71,0)</f>
        <v>0</v>
      </c>
      <c r="S85" s="519"/>
      <c r="T85" s="519"/>
      <c r="U85" s="142"/>
      <c r="V85" s="142"/>
      <c r="W85" s="142"/>
      <c r="X85" s="142"/>
      <c r="Y85" s="142"/>
      <c r="Z85" s="142"/>
      <c r="AA85" s="142"/>
      <c r="AB85" s="142"/>
      <c r="AC85" s="142"/>
      <c r="AD85" s="141"/>
      <c r="AE85" s="141"/>
      <c r="AF85" s="141"/>
      <c r="AG85" s="141"/>
      <c r="AH85" s="141"/>
      <c r="AI85" s="141"/>
      <c r="AJ85" s="142"/>
      <c r="AK85" s="141"/>
      <c r="AL85" s="141"/>
      <c r="AM85" s="219"/>
      <c r="AN85" s="141"/>
      <c r="AO85" s="141"/>
      <c r="AP85" s="141"/>
      <c r="AQ85" s="141"/>
      <c r="AR85" s="141"/>
      <c r="AS85" s="141"/>
      <c r="AT85" s="141"/>
      <c r="AU85" s="536" t="e">
        <f t="shared" ref="AU85:AU105" ca="1" si="5">AU84+1</f>
        <v>#VALUE!</v>
      </c>
      <c r="AV85" s="141"/>
      <c r="AW85" s="141"/>
      <c r="AX85" s="485"/>
      <c r="AY85" s="141"/>
      <c r="AZ85" s="141"/>
    </row>
    <row r="86" spans="1:52" s="138" customFormat="1" hidden="1" x14ac:dyDescent="0.3">
      <c r="A86" s="219"/>
      <c r="B86" s="224"/>
      <c r="C86" s="219"/>
      <c r="D86" s="142"/>
      <c r="E86" s="142"/>
      <c r="F86" s="142"/>
      <c r="G86" s="142"/>
      <c r="H86" s="142"/>
      <c r="I86" s="142"/>
      <c r="J86" s="142"/>
      <c r="K86" s="142"/>
      <c r="L86" s="142"/>
      <c r="M86" s="536"/>
      <c r="N86" s="519"/>
      <c r="O86" s="519" t="s">
        <v>274</v>
      </c>
      <c r="P86" s="519"/>
      <c r="Q86" s="519"/>
      <c r="R86" s="519">
        <f>IF(M8=Administration!C16,Rates!K72,0)</f>
        <v>0</v>
      </c>
      <c r="S86" s="519"/>
      <c r="T86" s="519"/>
      <c r="U86" s="142"/>
      <c r="V86" s="142"/>
      <c r="W86" s="142"/>
      <c r="X86" s="142"/>
      <c r="Y86" s="142"/>
      <c r="Z86" s="142"/>
      <c r="AA86" s="142"/>
      <c r="AB86" s="142"/>
      <c r="AC86" s="142"/>
      <c r="AD86" s="141"/>
      <c r="AE86" s="141"/>
      <c r="AF86" s="141"/>
      <c r="AG86" s="141"/>
      <c r="AH86" s="141"/>
      <c r="AI86" s="141"/>
      <c r="AJ86" s="142"/>
      <c r="AK86" s="141"/>
      <c r="AL86" s="141"/>
      <c r="AM86" s="219"/>
      <c r="AN86" s="141"/>
      <c r="AO86" s="141"/>
      <c r="AP86" s="141"/>
      <c r="AQ86" s="141"/>
      <c r="AR86" s="141"/>
      <c r="AS86" s="141"/>
      <c r="AT86" s="141"/>
      <c r="AU86" s="536" t="e">
        <f t="shared" ca="1" si="5"/>
        <v>#VALUE!</v>
      </c>
      <c r="AV86" s="141"/>
      <c r="AW86" s="141"/>
      <c r="AX86" s="485"/>
      <c r="AY86" s="141"/>
      <c r="AZ86" s="141"/>
    </row>
    <row r="87" spans="1:52" s="138" customFormat="1" hidden="1" x14ac:dyDescent="0.3">
      <c r="A87" s="219"/>
      <c r="B87" s="224"/>
      <c r="C87" s="219"/>
      <c r="D87" s="142"/>
      <c r="E87" s="142"/>
      <c r="F87" s="142"/>
      <c r="G87" s="142"/>
      <c r="H87" s="142"/>
      <c r="I87" s="142"/>
      <c r="J87" s="142"/>
      <c r="K87" s="142"/>
      <c r="L87" s="142"/>
      <c r="M87" s="536"/>
      <c r="N87" s="519"/>
      <c r="O87" s="519" t="s">
        <v>360</v>
      </c>
      <c r="P87" s="519"/>
      <c r="Q87" s="519"/>
      <c r="R87" s="519">
        <f>IF(M8=Administration!C11,Rates!K73,0)</f>
        <v>0</v>
      </c>
      <c r="S87" s="519"/>
      <c r="T87" s="519"/>
      <c r="U87" s="142"/>
      <c r="V87" s="142"/>
      <c r="W87" s="142"/>
      <c r="X87" s="142"/>
      <c r="Y87" s="142"/>
      <c r="Z87" s="142"/>
      <c r="AA87" s="142"/>
      <c r="AB87" s="142"/>
      <c r="AC87" s="142"/>
      <c r="AD87" s="141"/>
      <c r="AE87" s="141"/>
      <c r="AF87" s="141"/>
      <c r="AG87" s="141"/>
      <c r="AH87" s="141"/>
      <c r="AI87" s="141"/>
      <c r="AJ87" s="142"/>
      <c r="AK87" s="141"/>
      <c r="AL87" s="141"/>
      <c r="AM87" s="219"/>
      <c r="AN87" s="141"/>
      <c r="AO87" s="141"/>
      <c r="AP87" s="141"/>
      <c r="AQ87" s="141"/>
      <c r="AR87" s="141"/>
      <c r="AS87" s="141"/>
      <c r="AT87" s="141"/>
      <c r="AU87" s="536" t="e">
        <f t="shared" ca="1" si="5"/>
        <v>#VALUE!</v>
      </c>
      <c r="AV87" s="141"/>
      <c r="AW87" s="141"/>
      <c r="AX87" s="485"/>
      <c r="AY87" s="141"/>
      <c r="AZ87" s="141"/>
    </row>
    <row r="88" spans="1:52" s="138" customFormat="1" hidden="1" x14ac:dyDescent="0.3">
      <c r="A88" s="219"/>
      <c r="B88" s="224"/>
      <c r="C88" s="219"/>
      <c r="D88" s="142"/>
      <c r="E88" s="142"/>
      <c r="F88" s="142"/>
      <c r="G88" s="142"/>
      <c r="H88" s="142"/>
      <c r="I88" s="142"/>
      <c r="J88" s="142"/>
      <c r="K88" s="142"/>
      <c r="L88" s="142"/>
      <c r="M88" s="536"/>
      <c r="N88" s="519"/>
      <c r="O88" s="519" t="s">
        <v>211</v>
      </c>
      <c r="P88" s="519"/>
      <c r="Q88" s="519"/>
      <c r="R88" s="519">
        <f>IF(M8=Administration!C10,Rates!K74,0)</f>
        <v>0</v>
      </c>
      <c r="S88" s="519"/>
      <c r="T88" s="519"/>
      <c r="U88" s="142"/>
      <c r="V88" s="142"/>
      <c r="W88" s="142"/>
      <c r="X88" s="142"/>
      <c r="Y88" s="142"/>
      <c r="Z88" s="142"/>
      <c r="AA88" s="142"/>
      <c r="AB88" s="142"/>
      <c r="AC88" s="142"/>
      <c r="AD88" s="141"/>
      <c r="AE88" s="141"/>
      <c r="AF88" s="141"/>
      <c r="AG88" s="141"/>
      <c r="AH88" s="141"/>
      <c r="AI88" s="141"/>
      <c r="AJ88" s="142"/>
      <c r="AK88" s="141"/>
      <c r="AL88" s="141"/>
      <c r="AM88" s="219"/>
      <c r="AN88" s="141"/>
      <c r="AO88" s="141"/>
      <c r="AP88" s="141"/>
      <c r="AQ88" s="141"/>
      <c r="AR88" s="141"/>
      <c r="AS88" s="141"/>
      <c r="AT88" s="141"/>
      <c r="AU88" s="536" t="e">
        <f t="shared" ca="1" si="5"/>
        <v>#VALUE!</v>
      </c>
      <c r="AV88" s="141"/>
      <c r="AW88" s="141"/>
      <c r="AX88" s="485"/>
      <c r="AY88" s="141"/>
      <c r="AZ88" s="141"/>
    </row>
    <row r="89" spans="1:52" s="138" customFormat="1" hidden="1" x14ac:dyDescent="0.3">
      <c r="A89" s="219"/>
      <c r="B89" s="224"/>
      <c r="C89" s="219"/>
      <c r="D89" s="142"/>
      <c r="E89" s="142"/>
      <c r="F89" s="142"/>
      <c r="G89" s="142"/>
      <c r="H89" s="142"/>
      <c r="I89" s="142"/>
      <c r="J89" s="142"/>
      <c r="K89" s="142"/>
      <c r="L89" s="142"/>
      <c r="M89" s="536"/>
      <c r="N89" s="519"/>
      <c r="O89" s="519" t="s">
        <v>215</v>
      </c>
      <c r="P89" s="519"/>
      <c r="Q89" s="519"/>
      <c r="R89" s="519">
        <f>IF(M8=Administration!C15,Rates!K75,0)</f>
        <v>0</v>
      </c>
      <c r="S89" s="519"/>
      <c r="T89" s="519"/>
      <c r="U89" s="142"/>
      <c r="V89" s="142"/>
      <c r="W89" s="142"/>
      <c r="X89" s="142"/>
      <c r="Y89" s="142"/>
      <c r="Z89" s="142"/>
      <c r="AA89" s="142"/>
      <c r="AB89" s="142"/>
      <c r="AC89" s="142"/>
      <c r="AD89" s="141"/>
      <c r="AE89" s="141"/>
      <c r="AF89" s="141"/>
      <c r="AG89" s="141"/>
      <c r="AH89" s="141"/>
      <c r="AI89" s="141"/>
      <c r="AJ89" s="142"/>
      <c r="AK89" s="141"/>
      <c r="AL89" s="141"/>
      <c r="AM89" s="219"/>
      <c r="AN89" s="141"/>
      <c r="AO89" s="141"/>
      <c r="AP89" s="141"/>
      <c r="AQ89" s="141"/>
      <c r="AR89" s="141"/>
      <c r="AS89" s="141"/>
      <c r="AT89" s="141"/>
      <c r="AU89" s="536" t="e">
        <f t="shared" ca="1" si="5"/>
        <v>#VALUE!</v>
      </c>
      <c r="AV89" s="141"/>
      <c r="AW89" s="141"/>
      <c r="AX89" s="485"/>
      <c r="AY89" s="141"/>
      <c r="AZ89" s="141"/>
    </row>
    <row r="90" spans="1:52" s="138" customFormat="1" hidden="1" x14ac:dyDescent="0.3">
      <c r="A90" s="142"/>
      <c r="B90" s="4"/>
      <c r="C90" s="219"/>
      <c r="D90" s="142"/>
      <c r="E90" s="142"/>
      <c r="F90" s="142"/>
      <c r="G90" s="142"/>
      <c r="H90" s="142"/>
      <c r="I90" s="142"/>
      <c r="J90" s="142"/>
      <c r="K90" s="142"/>
      <c r="L90" s="142"/>
      <c r="M90" s="536"/>
      <c r="N90" s="519"/>
      <c r="O90" s="519" t="s">
        <v>212</v>
      </c>
      <c r="P90" s="519"/>
      <c r="Q90" s="519"/>
      <c r="R90" s="519">
        <f>IF(M8=Administration!C12,Rates!K76,0)</f>
        <v>3000</v>
      </c>
      <c r="S90" s="519"/>
      <c r="T90" s="519"/>
      <c r="U90" s="142"/>
      <c r="V90" s="142"/>
      <c r="W90" s="142"/>
      <c r="X90" s="142"/>
      <c r="Y90" s="142"/>
      <c r="Z90" s="142"/>
      <c r="AA90" s="142"/>
      <c r="AB90" s="142"/>
      <c r="AC90" s="142"/>
      <c r="AD90" s="141"/>
      <c r="AE90" s="141"/>
      <c r="AF90" s="141"/>
      <c r="AG90" s="141"/>
      <c r="AH90" s="141"/>
      <c r="AI90" s="141"/>
      <c r="AJ90" s="142"/>
      <c r="AK90" s="141"/>
      <c r="AL90" s="141"/>
      <c r="AM90" s="219"/>
      <c r="AN90" s="141"/>
      <c r="AO90" s="141"/>
      <c r="AP90" s="141"/>
      <c r="AQ90" s="141"/>
      <c r="AR90" s="141"/>
      <c r="AS90" s="141"/>
      <c r="AT90" s="141"/>
      <c r="AU90" s="536" t="e">
        <f t="shared" ca="1" si="5"/>
        <v>#VALUE!</v>
      </c>
      <c r="AV90" s="141"/>
      <c r="AW90" s="141"/>
      <c r="AX90" s="485"/>
      <c r="AY90" s="141"/>
      <c r="AZ90" s="141"/>
    </row>
    <row r="91" spans="1:52" s="138" customFormat="1" hidden="1" x14ac:dyDescent="0.3">
      <c r="A91" s="142"/>
      <c r="B91" s="4"/>
      <c r="C91" s="219"/>
      <c r="D91" s="142"/>
      <c r="E91" s="142"/>
      <c r="F91" s="142"/>
      <c r="G91" s="142"/>
      <c r="H91" s="142"/>
      <c r="I91" s="142"/>
      <c r="J91" s="142"/>
      <c r="K91" s="142"/>
      <c r="L91" s="142"/>
      <c r="M91" s="536"/>
      <c r="N91" s="519"/>
      <c r="O91" s="518" t="s">
        <v>268</v>
      </c>
      <c r="P91" s="519"/>
      <c r="Q91" s="519"/>
      <c r="R91" s="540">
        <f ca="1">R80+SUM(R82:R90)+R95</f>
        <v>3000</v>
      </c>
      <c r="S91" s="519"/>
      <c r="T91" s="519"/>
      <c r="U91" s="142"/>
      <c r="V91" s="142"/>
      <c r="W91" s="142"/>
      <c r="X91" s="142"/>
      <c r="Y91" s="142"/>
      <c r="Z91" s="142"/>
      <c r="AA91" s="142"/>
      <c r="AB91" s="142"/>
      <c r="AC91" s="142"/>
      <c r="AD91" s="141"/>
      <c r="AE91" s="141"/>
      <c r="AF91" s="141"/>
      <c r="AG91" s="141"/>
      <c r="AH91" s="141"/>
      <c r="AI91" s="141"/>
      <c r="AJ91" s="142"/>
      <c r="AK91" s="141"/>
      <c r="AL91" s="141"/>
      <c r="AM91" s="219"/>
      <c r="AN91" s="141"/>
      <c r="AO91" s="141"/>
      <c r="AP91" s="141"/>
      <c r="AQ91" s="141"/>
      <c r="AR91" s="141"/>
      <c r="AS91" s="141"/>
      <c r="AT91" s="141"/>
      <c r="AU91" s="536" t="e">
        <f t="shared" ca="1" si="5"/>
        <v>#VALUE!</v>
      </c>
      <c r="AV91" s="141"/>
      <c r="AW91" s="141"/>
      <c r="AX91" s="485"/>
      <c r="AY91" s="141"/>
      <c r="AZ91" s="141"/>
    </row>
    <row r="92" spans="1:52" s="138" customFormat="1" hidden="1" x14ac:dyDescent="0.3">
      <c r="A92" s="142"/>
      <c r="B92" s="4"/>
      <c r="C92" s="219"/>
      <c r="D92" s="142"/>
      <c r="E92" s="142"/>
      <c r="F92" s="142"/>
      <c r="G92" s="142"/>
      <c r="H92" s="142"/>
      <c r="I92" s="142"/>
      <c r="J92" s="142"/>
      <c r="K92" s="142"/>
      <c r="L92" s="142"/>
      <c r="M92" s="536"/>
      <c r="N92" s="519"/>
      <c r="O92" s="519"/>
      <c r="P92" s="519"/>
      <c r="Q92" s="519"/>
      <c r="R92" s="519">
        <f ca="1">IF(AND(I18&gt;R91,I18&lt;H15/2),I18,R91)</f>
        <v>3000</v>
      </c>
      <c r="S92" s="519"/>
      <c r="T92" s="519"/>
      <c r="U92" s="142"/>
      <c r="V92" s="142"/>
      <c r="W92" s="142"/>
      <c r="X92" s="142"/>
      <c r="Y92" s="142"/>
      <c r="Z92" s="142"/>
      <c r="AA92" s="142"/>
      <c r="AB92" s="142"/>
      <c r="AC92" s="142"/>
      <c r="AD92" s="141"/>
      <c r="AE92" s="141"/>
      <c r="AF92" s="141"/>
      <c r="AG92" s="141"/>
      <c r="AH92" s="141"/>
      <c r="AI92" s="141"/>
      <c r="AJ92" s="142"/>
      <c r="AK92" s="141"/>
      <c r="AL92" s="141"/>
      <c r="AM92" s="219"/>
      <c r="AN92" s="141"/>
      <c r="AO92" s="141"/>
      <c r="AP92" s="141"/>
      <c r="AQ92" s="141"/>
      <c r="AR92" s="141"/>
      <c r="AS92" s="141"/>
      <c r="AT92" s="141"/>
      <c r="AU92" s="142" t="e">
        <f t="shared" ca="1" si="5"/>
        <v>#VALUE!</v>
      </c>
      <c r="AV92" s="141"/>
      <c r="AW92" s="141"/>
      <c r="AX92" s="485"/>
      <c r="AY92" s="141"/>
      <c r="AZ92" s="141"/>
    </row>
    <row r="93" spans="1:52" s="138" customFormat="1" hidden="1" x14ac:dyDescent="0.3">
      <c r="A93" s="142"/>
      <c r="B93" s="4"/>
      <c r="D93" s="142"/>
      <c r="E93" s="142"/>
      <c r="F93" s="671" t="s">
        <v>395</v>
      </c>
      <c r="G93" s="142"/>
      <c r="H93" s="142"/>
      <c r="I93" s="142"/>
      <c r="J93" s="142"/>
      <c r="K93" s="142"/>
      <c r="L93" s="142"/>
      <c r="M93" s="536"/>
      <c r="N93" s="519"/>
      <c r="O93" s="519"/>
      <c r="P93" s="519"/>
      <c r="Q93" s="519"/>
      <c r="R93" s="519"/>
      <c r="S93" s="519"/>
      <c r="T93" s="519"/>
      <c r="U93" s="142"/>
      <c r="V93" s="142"/>
      <c r="W93" s="142"/>
      <c r="X93" s="142"/>
      <c r="Y93" s="142"/>
      <c r="Z93" s="142"/>
      <c r="AA93" s="142"/>
      <c r="AB93" s="142"/>
      <c r="AC93" s="142"/>
      <c r="AD93" s="141"/>
      <c r="AE93" s="141"/>
      <c r="AF93" s="141"/>
      <c r="AG93" s="141"/>
      <c r="AH93" s="141"/>
      <c r="AI93" s="141"/>
      <c r="AJ93" s="142"/>
      <c r="AK93" s="141"/>
      <c r="AL93" s="141"/>
      <c r="AM93" s="219"/>
      <c r="AN93" s="141"/>
      <c r="AO93" s="141"/>
      <c r="AP93" s="141"/>
      <c r="AQ93" s="141"/>
      <c r="AR93" s="141"/>
      <c r="AS93" s="141"/>
      <c r="AT93" s="141"/>
      <c r="AU93" s="142" t="e">
        <f t="shared" ca="1" si="5"/>
        <v>#VALUE!</v>
      </c>
      <c r="AV93" s="141"/>
      <c r="AW93" s="141"/>
      <c r="AX93" s="485"/>
      <c r="AY93" s="141"/>
      <c r="AZ93" s="141"/>
    </row>
    <row r="94" spans="1:52" s="138" customFormat="1" ht="20.149999999999999" hidden="1" customHeight="1" x14ac:dyDescent="0.3">
      <c r="A94" s="142"/>
      <c r="B94" s="4"/>
      <c r="D94" s="142"/>
      <c r="E94" s="142"/>
      <c r="F94" s="691" t="str">
        <f>Administration!J6</f>
        <v>Abans Finance PLC</v>
      </c>
      <c r="G94" s="142"/>
      <c r="H94" s="142"/>
      <c r="I94" s="142"/>
      <c r="J94" s="142"/>
      <c r="K94" s="142"/>
      <c r="L94" s="219"/>
      <c r="M94" s="537" t="s">
        <v>234</v>
      </c>
      <c r="N94" s="519" t="s">
        <v>269</v>
      </c>
      <c r="O94" s="519"/>
      <c r="P94" s="519"/>
      <c r="Q94" s="519"/>
      <c r="R94" s="1581" t="str">
        <f>IF(X43&gt;0,MAX(H30*Rates!K68%,Rates!L68),"")</f>
        <v/>
      </c>
      <c r="S94" s="1581"/>
      <c r="T94" s="1581"/>
      <c r="U94" s="142"/>
      <c r="V94" s="142"/>
      <c r="W94" s="142"/>
      <c r="X94" s="142"/>
      <c r="Y94" s="142"/>
      <c r="Z94" s="142"/>
      <c r="AA94" s="142"/>
      <c r="AB94" s="142"/>
      <c r="AC94" s="142"/>
      <c r="AD94" s="141"/>
      <c r="AE94" s="141"/>
      <c r="AF94" s="141"/>
      <c r="AG94" s="141"/>
      <c r="AH94" s="141"/>
      <c r="AI94" s="141"/>
      <c r="AJ94" s="142"/>
      <c r="AK94" s="141"/>
      <c r="AL94" s="141"/>
      <c r="AM94" s="219"/>
      <c r="AN94" s="141"/>
      <c r="AO94" s="141"/>
      <c r="AP94" s="141"/>
      <c r="AQ94" s="141"/>
      <c r="AR94" s="141"/>
      <c r="AS94" s="141"/>
      <c r="AT94" s="141"/>
      <c r="AU94" s="142" t="e">
        <f t="shared" ca="1" si="5"/>
        <v>#VALUE!</v>
      </c>
      <c r="AV94" s="141"/>
      <c r="AW94" s="141"/>
      <c r="AX94" s="485"/>
      <c r="AY94" s="141"/>
      <c r="AZ94" s="141"/>
    </row>
    <row r="95" spans="1:52" s="138" customFormat="1" ht="20.149999999999999" hidden="1" customHeight="1" x14ac:dyDescent="0.3">
      <c r="A95" s="142"/>
      <c r="B95" s="4"/>
      <c r="D95" s="142"/>
      <c r="E95" s="142"/>
      <c r="F95" s="691" t="str">
        <f>Administration!J7</f>
        <v>Alliance Finance Co. PLC</v>
      </c>
      <c r="G95" s="142"/>
      <c r="H95" s="142"/>
      <c r="I95" s="142"/>
      <c r="J95" s="142"/>
      <c r="K95" s="142"/>
      <c r="L95" s="219"/>
      <c r="M95" s="536"/>
      <c r="N95" s="519"/>
      <c r="O95" s="519" t="s">
        <v>227</v>
      </c>
      <c r="P95" s="519"/>
      <c r="Q95" s="519"/>
      <c r="R95" s="541">
        <f>I22</f>
        <v>0</v>
      </c>
      <c r="S95" s="519"/>
      <c r="T95" s="519"/>
      <c r="U95" s="142"/>
      <c r="V95" s="142"/>
      <c r="W95" s="142"/>
      <c r="X95" s="142"/>
      <c r="Y95" s="142"/>
      <c r="Z95" s="142"/>
      <c r="AA95" s="142"/>
      <c r="AB95" s="142"/>
      <c r="AC95" s="142"/>
      <c r="AD95" s="141"/>
      <c r="AE95" s="141"/>
      <c r="AF95" s="141"/>
      <c r="AG95" s="141"/>
      <c r="AH95" s="141"/>
      <c r="AI95" s="141"/>
      <c r="AJ95" s="142"/>
      <c r="AK95" s="141"/>
      <c r="AL95" s="141"/>
      <c r="AM95" s="219"/>
      <c r="AN95" s="141"/>
      <c r="AO95" s="141"/>
      <c r="AP95" s="141"/>
      <c r="AQ95" s="141"/>
      <c r="AR95" s="141"/>
      <c r="AS95" s="141"/>
      <c r="AT95" s="141"/>
      <c r="AU95" s="142" t="e">
        <f t="shared" ca="1" si="5"/>
        <v>#VALUE!</v>
      </c>
      <c r="AV95" s="141"/>
      <c r="AW95" s="141"/>
      <c r="AX95" s="485"/>
      <c r="AY95" s="141"/>
      <c r="AZ95" s="141"/>
    </row>
    <row r="96" spans="1:52" s="138" customFormat="1" ht="20.149999999999999" hidden="1" customHeight="1" x14ac:dyDescent="0.3">
      <c r="A96" s="142"/>
      <c r="B96" s="4"/>
      <c r="D96" s="142"/>
      <c r="E96" s="142"/>
      <c r="F96" s="691" t="str">
        <f>Administration!J8</f>
        <v>Asia Asset Finance Ltd</v>
      </c>
      <c r="G96" s="142"/>
      <c r="H96" s="142"/>
      <c r="I96" s="142"/>
      <c r="J96" s="142"/>
      <c r="K96" s="142"/>
      <c r="L96" s="142"/>
      <c r="M96" s="142"/>
      <c r="N96" s="142"/>
      <c r="O96" s="142" t="s">
        <v>225</v>
      </c>
      <c r="P96" s="219"/>
      <c r="Q96" s="142"/>
      <c r="R96" s="142">
        <f ca="1">IF(OR(C39=1,M39&gt;0),Rates!K63,0)</f>
        <v>0</v>
      </c>
      <c r="S96" s="142"/>
      <c r="T96" s="142"/>
      <c r="U96" s="142"/>
      <c r="V96" s="142"/>
      <c r="W96" s="142"/>
      <c r="X96" s="142"/>
      <c r="Y96" s="142"/>
      <c r="Z96" s="142"/>
      <c r="AA96" s="142"/>
      <c r="AB96" s="142"/>
      <c r="AC96" s="142"/>
      <c r="AD96" s="141"/>
      <c r="AE96" s="141"/>
      <c r="AF96" s="141"/>
      <c r="AG96" s="141"/>
      <c r="AH96" s="141"/>
      <c r="AI96" s="141"/>
      <c r="AJ96" s="142"/>
      <c r="AK96" s="141"/>
      <c r="AL96" s="141"/>
      <c r="AM96" s="219"/>
      <c r="AN96" s="141"/>
      <c r="AO96" s="141"/>
      <c r="AP96" s="141"/>
      <c r="AQ96" s="141"/>
      <c r="AR96" s="141"/>
      <c r="AS96" s="141"/>
      <c r="AT96" s="141"/>
      <c r="AU96" s="142" t="e">
        <f t="shared" ca="1" si="5"/>
        <v>#VALUE!</v>
      </c>
      <c r="AV96" s="141"/>
      <c r="AW96" s="141"/>
      <c r="AX96" s="485"/>
      <c r="AY96" s="141"/>
      <c r="AZ96" s="141"/>
    </row>
    <row r="97" spans="1:52" s="138" customFormat="1" ht="20.149999999999999" hidden="1" customHeight="1" x14ac:dyDescent="0.3">
      <c r="A97" s="142"/>
      <c r="B97" s="4"/>
      <c r="D97" s="142"/>
      <c r="E97" s="142"/>
      <c r="F97" s="691" t="str">
        <f>Administration!J9</f>
        <v>Assetline Leasing Co Ltd</v>
      </c>
      <c r="G97" s="142"/>
      <c r="H97" s="142"/>
      <c r="I97" s="142"/>
      <c r="J97" s="142"/>
      <c r="K97" s="142"/>
      <c r="L97" s="142"/>
      <c r="M97" s="142"/>
      <c r="N97" s="142"/>
      <c r="O97" s="142" t="s">
        <v>226</v>
      </c>
      <c r="P97" s="219"/>
      <c r="Q97" s="142"/>
      <c r="R97" s="142">
        <f>IF(OR(H54&gt;0,M54&gt;0),Rates!K64,0)</f>
        <v>0</v>
      </c>
      <c r="S97" s="142"/>
      <c r="T97" s="142"/>
      <c r="U97" s="142"/>
      <c r="V97" s="142"/>
      <c r="W97" s="142"/>
      <c r="X97" s="142"/>
      <c r="Y97" s="142"/>
      <c r="Z97" s="142"/>
      <c r="AA97" s="142"/>
      <c r="AB97" s="142"/>
      <c r="AC97" s="142"/>
      <c r="AD97" s="141"/>
      <c r="AE97" s="141"/>
      <c r="AF97" s="141"/>
      <c r="AG97" s="141"/>
      <c r="AH97" s="141"/>
      <c r="AI97" s="141"/>
      <c r="AJ97" s="142"/>
      <c r="AK97" s="141"/>
      <c r="AL97" s="141"/>
      <c r="AM97" s="219"/>
      <c r="AN97" s="141"/>
      <c r="AO97" s="141"/>
      <c r="AP97" s="141"/>
      <c r="AQ97" s="141"/>
      <c r="AR97" s="141"/>
      <c r="AS97" s="141"/>
      <c r="AT97" s="141"/>
      <c r="AU97" s="142" t="e">
        <f t="shared" ca="1" si="5"/>
        <v>#VALUE!</v>
      </c>
      <c r="AV97" s="141"/>
      <c r="AW97" s="141"/>
      <c r="AX97" s="485"/>
      <c r="AY97" s="141"/>
      <c r="AZ97" s="141"/>
    </row>
    <row r="98" spans="1:52" s="138" customFormat="1" ht="20.149999999999999" hidden="1" customHeight="1" x14ac:dyDescent="0.3">
      <c r="A98" s="142"/>
      <c r="B98" s="4"/>
      <c r="D98" s="142"/>
      <c r="E98" s="142"/>
      <c r="F98" s="691" t="str">
        <f>Administration!J10</f>
        <v>Arpico Finance PLC</v>
      </c>
      <c r="G98" s="142"/>
      <c r="H98" s="142"/>
      <c r="I98" s="142"/>
      <c r="J98" s="142"/>
      <c r="K98" s="142"/>
      <c r="L98" s="142"/>
      <c r="M98" s="142"/>
      <c r="N98" s="142"/>
      <c r="O98" s="142" t="s">
        <v>228</v>
      </c>
      <c r="P98" s="219"/>
      <c r="Q98" s="142"/>
      <c r="R98" s="142">
        <f ca="1">IF(OR(U57=1,M46&gt;0),Rates!K65,0)</f>
        <v>0</v>
      </c>
      <c r="S98" s="142"/>
      <c r="T98" s="142"/>
      <c r="U98" s="142"/>
      <c r="V98" s="142"/>
      <c r="W98" s="142"/>
      <c r="X98" s="142"/>
      <c r="Y98" s="142"/>
      <c r="Z98" s="142"/>
      <c r="AA98" s="142"/>
      <c r="AB98" s="142"/>
      <c r="AC98" s="142"/>
      <c r="AD98" s="141"/>
      <c r="AE98" s="141"/>
      <c r="AF98" s="141"/>
      <c r="AG98" s="141"/>
      <c r="AH98" s="141"/>
      <c r="AI98" s="141"/>
      <c r="AJ98" s="142"/>
      <c r="AK98" s="141"/>
      <c r="AL98" s="141"/>
      <c r="AM98" s="219"/>
      <c r="AN98" s="141"/>
      <c r="AO98" s="141"/>
      <c r="AP98" s="141"/>
      <c r="AQ98" s="141"/>
      <c r="AR98" s="141"/>
      <c r="AS98" s="141"/>
      <c r="AT98" s="141"/>
      <c r="AU98" s="142" t="e">
        <f t="shared" ca="1" si="5"/>
        <v>#VALUE!</v>
      </c>
      <c r="AV98" s="141"/>
      <c r="AW98" s="141"/>
      <c r="AX98" s="485"/>
      <c r="AY98" s="141"/>
      <c r="AZ98" s="141"/>
    </row>
    <row r="99" spans="1:52" s="138" customFormat="1" ht="20.149999999999999" hidden="1" customHeight="1" x14ac:dyDescent="0.3">
      <c r="A99" s="142"/>
      <c r="B99" s="4"/>
      <c r="D99" s="142"/>
      <c r="E99" s="142"/>
      <c r="F99" s="691" t="str">
        <f>Administration!J11</f>
        <v>Bank of Ceylon</v>
      </c>
      <c r="G99" s="142"/>
      <c r="H99" s="142"/>
      <c r="I99" s="142"/>
      <c r="J99" s="142"/>
      <c r="K99" s="142"/>
      <c r="L99" s="142"/>
      <c r="M99" s="142"/>
      <c r="N99" s="142"/>
      <c r="O99" s="142"/>
      <c r="P99" s="219"/>
      <c r="Q99" s="142"/>
      <c r="R99" s="142"/>
      <c r="S99" s="142"/>
      <c r="T99" s="142"/>
      <c r="U99" s="142"/>
      <c r="V99" s="142"/>
      <c r="W99" s="142"/>
      <c r="X99" s="142"/>
      <c r="Y99" s="142"/>
      <c r="Z99" s="142"/>
      <c r="AA99" s="142"/>
      <c r="AB99" s="142"/>
      <c r="AC99" s="142"/>
      <c r="AD99" s="141"/>
      <c r="AE99" s="141"/>
      <c r="AF99" s="141"/>
      <c r="AG99" s="141"/>
      <c r="AH99" s="141"/>
      <c r="AI99" s="141"/>
      <c r="AJ99" s="142"/>
      <c r="AK99" s="141"/>
      <c r="AL99" s="141"/>
      <c r="AM99" s="219"/>
      <c r="AN99" s="141"/>
      <c r="AO99" s="141"/>
      <c r="AP99" s="141"/>
      <c r="AQ99" s="141"/>
      <c r="AR99" s="141"/>
      <c r="AS99" s="141"/>
      <c r="AT99" s="141"/>
      <c r="AU99" s="142" t="e">
        <f t="shared" ca="1" si="5"/>
        <v>#VALUE!</v>
      </c>
      <c r="AV99" s="141"/>
      <c r="AW99" s="141"/>
      <c r="AX99" s="485"/>
      <c r="AY99" s="141"/>
      <c r="AZ99" s="141"/>
    </row>
    <row r="100" spans="1:52" s="138" customFormat="1" ht="20.149999999999999" hidden="1" customHeight="1" x14ac:dyDescent="0.3">
      <c r="A100" s="142"/>
      <c r="B100" s="4"/>
      <c r="D100" s="142"/>
      <c r="E100" s="142"/>
      <c r="F100" s="691" t="str">
        <f>Administration!J12</f>
        <v>Citizens Development Business Finance PLC</v>
      </c>
      <c r="G100" s="142"/>
      <c r="H100" s="142"/>
      <c r="I100" s="142"/>
      <c r="J100" s="142"/>
      <c r="K100" s="142"/>
      <c r="L100" s="142"/>
      <c r="M100" s="142"/>
      <c r="N100" s="142"/>
      <c r="O100" s="142"/>
      <c r="P100" s="219"/>
      <c r="Q100" s="142"/>
      <c r="R100" s="142"/>
      <c r="S100" s="142"/>
      <c r="T100" s="142"/>
      <c r="U100" s="142"/>
      <c r="V100" s="142"/>
      <c r="W100" s="142"/>
      <c r="X100" s="142"/>
      <c r="Y100" s="142"/>
      <c r="Z100" s="142"/>
      <c r="AA100" s="142"/>
      <c r="AB100" s="142"/>
      <c r="AC100" s="142"/>
      <c r="AD100" s="141"/>
      <c r="AE100" s="141"/>
      <c r="AF100" s="141"/>
      <c r="AG100" s="141"/>
      <c r="AH100" s="141"/>
      <c r="AI100" s="141"/>
      <c r="AJ100" s="142"/>
      <c r="AK100" s="141"/>
      <c r="AL100" s="141"/>
      <c r="AM100" s="219"/>
      <c r="AN100" s="141"/>
      <c r="AO100" s="141"/>
      <c r="AP100" s="141"/>
      <c r="AQ100" s="141"/>
      <c r="AR100" s="141"/>
      <c r="AS100" s="141"/>
      <c r="AT100" s="141"/>
      <c r="AU100" s="142" t="e">
        <f t="shared" ca="1" si="5"/>
        <v>#VALUE!</v>
      </c>
      <c r="AV100" s="141"/>
      <c r="AW100" s="141"/>
      <c r="AX100" s="485"/>
      <c r="AY100" s="141"/>
      <c r="AZ100" s="141"/>
    </row>
    <row r="101" spans="1:52" s="138" customFormat="1" ht="20.149999999999999" hidden="1" customHeight="1" x14ac:dyDescent="0.3">
      <c r="A101" s="142"/>
      <c r="B101" s="4"/>
      <c r="D101" s="139"/>
      <c r="E101" s="139"/>
      <c r="F101" s="691" t="str">
        <f>Administration!J13</f>
        <v>Commercial Credit PLC</v>
      </c>
      <c r="G101" s="139"/>
      <c r="H101" s="139"/>
      <c r="I101" s="139"/>
      <c r="J101" s="139"/>
      <c r="K101" s="142"/>
      <c r="L101" s="142"/>
      <c r="M101" s="142"/>
      <c r="N101" s="142"/>
      <c r="O101" s="142"/>
      <c r="P101" s="219"/>
      <c r="Q101" s="142"/>
      <c r="R101" s="142"/>
      <c r="S101" s="142"/>
      <c r="T101" s="142"/>
      <c r="U101" s="142"/>
      <c r="V101" s="142"/>
      <c r="W101" s="142"/>
      <c r="X101" s="142"/>
      <c r="Y101" s="142"/>
      <c r="Z101" s="142"/>
      <c r="AA101" s="142"/>
      <c r="AB101" s="142"/>
      <c r="AC101" s="142"/>
      <c r="AD101" s="141"/>
      <c r="AE101" s="141"/>
      <c r="AF101" s="141"/>
      <c r="AG101" s="141"/>
      <c r="AH101" s="141"/>
      <c r="AI101" s="141"/>
      <c r="AJ101" s="142"/>
      <c r="AK101" s="141"/>
      <c r="AL101" s="141"/>
      <c r="AM101" s="219"/>
      <c r="AN101" s="141"/>
      <c r="AO101" s="141"/>
      <c r="AP101" s="141"/>
      <c r="AQ101" s="141"/>
      <c r="AR101" s="141"/>
      <c r="AS101" s="141"/>
      <c r="AT101" s="141"/>
      <c r="AU101" s="142" t="e">
        <f t="shared" ca="1" si="5"/>
        <v>#VALUE!</v>
      </c>
      <c r="AV101" s="141"/>
      <c r="AW101" s="141"/>
      <c r="AX101" s="485"/>
      <c r="AY101" s="141"/>
      <c r="AZ101" s="141"/>
    </row>
    <row r="102" spans="1:52" s="138" customFormat="1" ht="20.149999999999999" hidden="1" customHeight="1" x14ac:dyDescent="0.3">
      <c r="A102" s="142"/>
      <c r="B102" s="4"/>
      <c r="D102" s="139"/>
      <c r="E102" s="139"/>
      <c r="F102" s="691" t="str">
        <f>Administration!J14</f>
        <v>Commercial Trust Investment (Pvt) Ltd.</v>
      </c>
      <c r="G102" s="139"/>
      <c r="H102" s="139"/>
      <c r="I102" s="139"/>
      <c r="J102" s="139"/>
      <c r="K102" s="139"/>
      <c r="L102" s="139"/>
      <c r="M102" s="219"/>
      <c r="N102" s="142"/>
      <c r="O102" s="142"/>
      <c r="P102" s="219"/>
      <c r="Q102" s="142"/>
      <c r="R102" s="142"/>
      <c r="S102" s="142"/>
      <c r="T102" s="142"/>
      <c r="U102" s="142"/>
      <c r="V102" s="142"/>
      <c r="W102" s="142"/>
      <c r="X102" s="142"/>
      <c r="Y102" s="142"/>
      <c r="Z102" s="142"/>
      <c r="AA102" s="142"/>
      <c r="AB102" s="142"/>
      <c r="AC102" s="142"/>
      <c r="AD102" s="141"/>
      <c r="AE102" s="141"/>
      <c r="AF102" s="141"/>
      <c r="AG102" s="141"/>
      <c r="AH102" s="141"/>
      <c r="AI102" s="141"/>
      <c r="AJ102" s="142"/>
      <c r="AK102" s="141"/>
      <c r="AL102" s="141"/>
      <c r="AM102" s="219"/>
      <c r="AN102" s="141"/>
      <c r="AO102" s="141"/>
      <c r="AP102" s="141"/>
      <c r="AQ102" s="141"/>
      <c r="AR102" s="141"/>
      <c r="AS102" s="141"/>
      <c r="AT102" s="141"/>
      <c r="AU102" s="142" t="e">
        <f t="shared" ca="1" si="5"/>
        <v>#VALUE!</v>
      </c>
      <c r="AV102" s="141"/>
      <c r="AW102" s="141"/>
      <c r="AX102" s="485"/>
      <c r="AY102" s="141"/>
      <c r="AZ102" s="141"/>
    </row>
    <row r="103" spans="1:52" s="138" customFormat="1" ht="20.149999999999999" hidden="1" customHeight="1" x14ac:dyDescent="0.3">
      <c r="A103" s="142"/>
      <c r="B103" s="4"/>
      <c r="D103" s="139"/>
      <c r="E103" s="139"/>
      <c r="F103" s="691" t="str">
        <f>Administration!J15</f>
        <v>David Pieris Leasing</v>
      </c>
      <c r="G103" s="139"/>
      <c r="H103" s="139"/>
      <c r="I103" s="139"/>
      <c r="J103" s="139"/>
      <c r="K103" s="139"/>
      <c r="L103" s="139"/>
      <c r="M103" s="219"/>
      <c r="N103" s="219"/>
      <c r="O103" s="263"/>
      <c r="P103" s="219"/>
      <c r="Q103" s="142"/>
      <c r="R103" s="142"/>
      <c r="S103" s="142"/>
      <c r="T103" s="142"/>
      <c r="U103" s="142"/>
      <c r="V103" s="142"/>
      <c r="W103" s="142"/>
      <c r="X103" s="142"/>
      <c r="Y103" s="142"/>
      <c r="Z103" s="142"/>
      <c r="AA103" s="142"/>
      <c r="AB103" s="142"/>
      <c r="AC103" s="142"/>
      <c r="AD103" s="142"/>
      <c r="AE103" s="142"/>
      <c r="AF103" s="142"/>
      <c r="AG103" s="142"/>
      <c r="AH103" s="142"/>
      <c r="AI103" s="142"/>
      <c r="AJ103" s="142"/>
      <c r="AM103" s="219"/>
      <c r="AU103" s="142" t="e">
        <f t="shared" ca="1" si="5"/>
        <v>#VALUE!</v>
      </c>
      <c r="AX103" s="487"/>
    </row>
    <row r="104" spans="1:52" s="138" customFormat="1" ht="20.149999999999999" hidden="1" customHeight="1" x14ac:dyDescent="0.3">
      <c r="A104" s="142"/>
      <c r="B104" s="4"/>
      <c r="D104" s="139"/>
      <c r="E104" s="139"/>
      <c r="F104" s="691" t="str">
        <f>Administration!J16</f>
        <v>Dharmasiri Investments (Pvt) Ltd.</v>
      </c>
      <c r="G104" s="139"/>
      <c r="H104" s="139"/>
      <c r="I104" s="139"/>
      <c r="J104" s="139"/>
      <c r="K104" s="139"/>
      <c r="L104" s="139"/>
      <c r="M104" s="219"/>
      <c r="N104" s="219"/>
      <c r="O104" s="219"/>
      <c r="P104" s="219"/>
      <c r="Q104" s="142"/>
      <c r="R104" s="142"/>
      <c r="S104" s="142"/>
      <c r="T104" s="142"/>
      <c r="U104" s="142"/>
      <c r="V104" s="142"/>
      <c r="W104" s="142"/>
      <c r="X104" s="142"/>
      <c r="Y104" s="142"/>
      <c r="Z104" s="142"/>
      <c r="AA104" s="142"/>
      <c r="AB104" s="142"/>
      <c r="AC104" s="142"/>
      <c r="AD104" s="142"/>
      <c r="AE104" s="142"/>
      <c r="AF104" s="142"/>
      <c r="AG104" s="142"/>
      <c r="AH104" s="142"/>
      <c r="AI104" s="142"/>
      <c r="AJ104" s="142"/>
      <c r="AM104" s="219"/>
      <c r="AU104" s="142" t="e">
        <f t="shared" ca="1" si="5"/>
        <v>#VALUE!</v>
      </c>
      <c r="AX104" s="487"/>
    </row>
    <row r="105" spans="1:52" s="138" customFormat="1" ht="20.149999999999999" hidden="1" customHeight="1" x14ac:dyDescent="0.3">
      <c r="A105" s="142"/>
      <c r="B105" s="4"/>
      <c r="D105" s="139"/>
      <c r="E105" s="139"/>
      <c r="F105" s="691" t="str">
        <f>Administration!J17</f>
        <v>Indra Finance Ltd.</v>
      </c>
      <c r="G105" s="139"/>
      <c r="H105" s="139"/>
      <c r="I105" s="139"/>
      <c r="J105" s="139"/>
      <c r="K105" s="139"/>
      <c r="L105" s="139"/>
      <c r="M105" s="219"/>
      <c r="N105" s="219"/>
      <c r="O105" s="219"/>
      <c r="P105" s="219"/>
      <c r="Q105" s="142"/>
      <c r="R105" s="142"/>
      <c r="S105" s="142"/>
      <c r="T105" s="142"/>
      <c r="U105" s="142"/>
      <c r="V105" s="142"/>
      <c r="W105" s="142"/>
      <c r="X105" s="142"/>
      <c r="Y105" s="142"/>
      <c r="Z105" s="142"/>
      <c r="AA105" s="142"/>
      <c r="AB105" s="142"/>
      <c r="AC105" s="142"/>
      <c r="AD105" s="142"/>
      <c r="AE105" s="142"/>
      <c r="AF105" s="142"/>
      <c r="AG105" s="142"/>
      <c r="AH105" s="142"/>
      <c r="AI105" s="142"/>
      <c r="AJ105" s="142"/>
      <c r="AM105" s="219"/>
      <c r="AU105" s="142" t="e">
        <f t="shared" ca="1" si="5"/>
        <v>#VALUE!</v>
      </c>
      <c r="AX105" s="487"/>
    </row>
    <row r="106" spans="1:52" s="138" customFormat="1" ht="20.149999999999999" hidden="1" customHeight="1" x14ac:dyDescent="0.3">
      <c r="A106" s="142"/>
      <c r="B106" s="4"/>
      <c r="D106" s="139"/>
      <c r="E106" s="139"/>
      <c r="F106" s="691" t="str">
        <f>Administration!J18</f>
        <v>L B Finance PLC</v>
      </c>
      <c r="G106" s="139"/>
      <c r="H106" s="139"/>
      <c r="I106" s="139"/>
      <c r="J106" s="139"/>
      <c r="K106" s="139"/>
      <c r="L106" s="139"/>
      <c r="M106" s="139"/>
      <c r="N106" s="139"/>
      <c r="O106" s="139"/>
      <c r="Q106" s="142"/>
      <c r="R106" s="142"/>
      <c r="S106" s="142"/>
      <c r="T106" s="142"/>
      <c r="U106" s="142"/>
      <c r="V106" s="142"/>
      <c r="W106" s="142"/>
      <c r="X106" s="142"/>
      <c r="Y106" s="142"/>
      <c r="Z106" s="142"/>
      <c r="AA106" s="142"/>
      <c r="AB106" s="142"/>
      <c r="AC106" s="142"/>
      <c r="AD106" s="142"/>
      <c r="AE106" s="142"/>
      <c r="AF106" s="142"/>
      <c r="AG106" s="142"/>
      <c r="AH106" s="142"/>
      <c r="AI106" s="142"/>
      <c r="AJ106" s="142"/>
      <c r="AM106" s="219"/>
      <c r="AU106" s="142"/>
      <c r="AX106" s="487"/>
    </row>
    <row r="107" spans="1:52" s="138" customFormat="1" ht="20.149999999999999" hidden="1" customHeight="1" x14ac:dyDescent="0.3">
      <c r="A107" s="142"/>
      <c r="B107" s="4"/>
      <c r="D107" s="139"/>
      <c r="E107" s="139"/>
      <c r="F107" s="691" t="str">
        <f>Administration!J19</f>
        <v>Lanka ORIX Finance PLC</v>
      </c>
      <c r="G107" s="139"/>
      <c r="H107" s="139"/>
      <c r="I107" s="139"/>
      <c r="J107" s="139"/>
      <c r="K107" s="139"/>
      <c r="L107" s="139"/>
      <c r="M107" s="139"/>
      <c r="N107" s="139"/>
      <c r="O107" s="139"/>
      <c r="Q107" s="142"/>
      <c r="R107" s="142"/>
      <c r="S107" s="142"/>
      <c r="T107" s="142"/>
      <c r="U107" s="142"/>
      <c r="V107" s="142"/>
      <c r="W107" s="142"/>
      <c r="X107" s="142"/>
      <c r="Y107" s="142"/>
      <c r="Z107" s="142"/>
      <c r="AA107" s="142"/>
      <c r="AB107" s="142"/>
      <c r="AC107" s="142"/>
      <c r="AD107" s="142"/>
      <c r="AE107" s="142"/>
      <c r="AF107" s="142"/>
      <c r="AG107" s="142"/>
      <c r="AH107" s="142"/>
      <c r="AI107" s="142"/>
      <c r="AJ107" s="142"/>
      <c r="AM107" s="219"/>
      <c r="AU107" s="142" t="e">
        <f ca="1">AU105+1</f>
        <v>#VALUE!</v>
      </c>
      <c r="AX107" s="487"/>
    </row>
    <row r="108" spans="1:52" s="138" customFormat="1" ht="28" hidden="1" x14ac:dyDescent="0.3">
      <c r="A108" s="142"/>
      <c r="B108" s="4"/>
      <c r="D108" s="139"/>
      <c r="E108" s="139"/>
      <c r="F108" s="691" t="str">
        <f>Administration!J20</f>
        <v>Matara District Capital Co-op Society Ltd</v>
      </c>
      <c r="G108" s="139"/>
      <c r="H108" s="139"/>
      <c r="I108" s="139"/>
      <c r="J108" s="139"/>
      <c r="K108" s="139"/>
      <c r="L108" s="139"/>
      <c r="M108" s="139"/>
      <c r="N108" s="139"/>
      <c r="O108" s="139"/>
      <c r="Q108" s="142"/>
      <c r="R108" s="142"/>
      <c r="S108" s="142"/>
      <c r="T108" s="142"/>
      <c r="U108" s="142"/>
      <c r="V108" s="142"/>
      <c r="W108" s="142"/>
      <c r="X108" s="142"/>
      <c r="Y108" s="142"/>
      <c r="Z108" s="142"/>
      <c r="AA108" s="142"/>
      <c r="AB108" s="142"/>
      <c r="AC108" s="142"/>
      <c r="AD108" s="142"/>
      <c r="AE108" s="142"/>
      <c r="AF108" s="142"/>
      <c r="AG108" s="142"/>
      <c r="AH108" s="142"/>
      <c r="AI108" s="142"/>
      <c r="AJ108" s="142"/>
      <c r="AM108" s="219"/>
      <c r="AU108" s="142" t="e">
        <f t="shared" ref="AU108:AU152" ca="1" si="6">AU107+1</f>
        <v>#VALUE!</v>
      </c>
      <c r="AX108" s="487"/>
    </row>
    <row r="109" spans="1:52" s="138" customFormat="1" ht="28" hidden="1" x14ac:dyDescent="0.3">
      <c r="A109" s="142"/>
      <c r="B109" s="4"/>
      <c r="D109" s="139"/>
      <c r="E109" s="139"/>
      <c r="F109" s="691" t="str">
        <f>Administration!J21</f>
        <v>Mercantile Investments &amp; Finance PLC</v>
      </c>
      <c r="G109" s="139"/>
      <c r="H109" s="139"/>
      <c r="I109" s="139"/>
      <c r="J109" s="139"/>
      <c r="K109" s="139"/>
      <c r="L109" s="139"/>
      <c r="M109" s="139"/>
      <c r="O109" s="139"/>
      <c r="Q109" s="142"/>
      <c r="R109" s="142"/>
      <c r="S109" s="142"/>
      <c r="T109" s="142"/>
      <c r="U109" s="142"/>
      <c r="V109" s="142"/>
      <c r="W109" s="142"/>
      <c r="X109" s="142"/>
      <c r="Y109" s="142"/>
      <c r="Z109" s="142"/>
      <c r="AA109" s="142"/>
      <c r="AB109" s="142"/>
      <c r="AC109" s="142"/>
      <c r="AD109" s="142"/>
      <c r="AE109" s="142"/>
      <c r="AF109" s="142"/>
      <c r="AG109" s="142"/>
      <c r="AH109" s="142"/>
      <c r="AI109" s="142"/>
      <c r="AJ109" s="142"/>
      <c r="AM109" s="219"/>
      <c r="AU109" s="142" t="e">
        <f t="shared" ca="1" si="6"/>
        <v>#VALUE!</v>
      </c>
      <c r="AX109" s="487"/>
    </row>
    <row r="110" spans="1:52" s="138" customFormat="1" hidden="1" x14ac:dyDescent="0.3">
      <c r="A110" s="142"/>
      <c r="B110" s="4"/>
      <c r="D110" s="139"/>
      <c r="E110" s="139"/>
      <c r="F110" s="691" t="str">
        <f>Administration!J22</f>
        <v>Merchant Bank of Sri Lanka PLC</v>
      </c>
      <c r="G110" s="139"/>
      <c r="H110" s="139"/>
      <c r="I110" s="139"/>
      <c r="J110" s="139"/>
      <c r="K110" s="139"/>
      <c r="L110" s="139"/>
      <c r="M110" s="139"/>
      <c r="O110" s="139"/>
      <c r="Q110" s="142"/>
      <c r="R110" s="142"/>
      <c r="S110" s="142"/>
      <c r="T110" s="142"/>
      <c r="U110" s="142"/>
      <c r="V110" s="142"/>
      <c r="W110" s="142"/>
      <c r="X110" s="142"/>
      <c r="Y110" s="142"/>
      <c r="Z110" s="142"/>
      <c r="AA110" s="142"/>
      <c r="AB110" s="142"/>
      <c r="AC110" s="142"/>
      <c r="AD110" s="142"/>
      <c r="AE110" s="142"/>
      <c r="AF110" s="142"/>
      <c r="AG110" s="142"/>
      <c r="AH110" s="142"/>
      <c r="AI110" s="142"/>
      <c r="AJ110" s="142"/>
      <c r="AM110" s="219"/>
      <c r="AU110" s="142" t="e">
        <f t="shared" ca="1" si="6"/>
        <v>#VALUE!</v>
      </c>
      <c r="AX110" s="487"/>
    </row>
    <row r="111" spans="1:52" s="138" customFormat="1" hidden="1" x14ac:dyDescent="0.3">
      <c r="A111" s="142"/>
      <c r="B111" s="4"/>
      <c r="D111" s="139"/>
      <c r="E111" s="139"/>
      <c r="F111" s="691" t="str">
        <f>Administration!J23</f>
        <v>Merchant Credit of Sri Lanka Ltd</v>
      </c>
      <c r="G111" s="139"/>
      <c r="H111" s="139"/>
      <c r="I111" s="139"/>
      <c r="J111" s="139"/>
      <c r="K111" s="139"/>
      <c r="L111" s="139"/>
      <c r="M111" s="139"/>
      <c r="O111" s="139"/>
      <c r="Q111" s="142"/>
      <c r="R111" s="142"/>
      <c r="S111" s="142"/>
      <c r="T111" s="142"/>
      <c r="U111" s="142"/>
      <c r="V111" s="142"/>
      <c r="W111" s="142"/>
      <c r="X111" s="142"/>
      <c r="Y111" s="142"/>
      <c r="Z111" s="142"/>
      <c r="AA111" s="142"/>
      <c r="AB111" s="142"/>
      <c r="AC111" s="142"/>
      <c r="AD111" s="142"/>
      <c r="AE111" s="142"/>
      <c r="AF111" s="142"/>
      <c r="AG111" s="142"/>
      <c r="AH111" s="142"/>
      <c r="AI111" s="142"/>
      <c r="AJ111" s="142"/>
      <c r="AM111" s="219"/>
      <c r="AU111" s="142" t="e">
        <f t="shared" ca="1" si="6"/>
        <v>#VALUE!</v>
      </c>
      <c r="AX111" s="487"/>
    </row>
    <row r="112" spans="1:52" s="138" customFormat="1" hidden="1" x14ac:dyDescent="0.3">
      <c r="A112" s="142"/>
      <c r="B112" s="4"/>
      <c r="D112" s="139"/>
      <c r="E112" s="139"/>
      <c r="F112" s="691" t="str">
        <f>Administration!J24</f>
        <v>Nations Lanka Finance PLC</v>
      </c>
      <c r="G112" s="139"/>
      <c r="H112" s="139"/>
      <c r="I112" s="139"/>
      <c r="J112" s="139"/>
      <c r="K112" s="139"/>
      <c r="L112" s="139"/>
      <c r="M112" s="139"/>
      <c r="O112" s="139"/>
      <c r="Q112" s="142"/>
      <c r="R112" s="142"/>
      <c r="S112" s="142"/>
      <c r="T112" s="142"/>
      <c r="U112" s="142"/>
      <c r="V112" s="142"/>
      <c r="W112" s="142"/>
      <c r="X112" s="142"/>
      <c r="Y112" s="142"/>
      <c r="Z112" s="142"/>
      <c r="AA112" s="142"/>
      <c r="AB112" s="142"/>
      <c r="AC112" s="142"/>
      <c r="AD112" s="142"/>
      <c r="AE112" s="142"/>
      <c r="AF112" s="142"/>
      <c r="AG112" s="142"/>
      <c r="AH112" s="142"/>
      <c r="AI112" s="142"/>
      <c r="AJ112" s="142"/>
      <c r="AM112" s="219"/>
      <c r="AU112" s="142" t="e">
        <f t="shared" ca="1" si="6"/>
        <v>#VALUE!</v>
      </c>
      <c r="AX112" s="487"/>
    </row>
    <row r="113" spans="1:50" s="138" customFormat="1" hidden="1" x14ac:dyDescent="0.3">
      <c r="A113" s="142"/>
      <c r="B113" s="4"/>
      <c r="D113" s="139"/>
      <c r="E113" s="139"/>
      <c r="F113" s="691" t="str">
        <f>Administration!J25</f>
        <v>Omek Investments</v>
      </c>
      <c r="G113" s="139"/>
      <c r="H113" s="139"/>
      <c r="I113" s="139"/>
      <c r="J113" s="139"/>
      <c r="K113" s="139"/>
      <c r="L113" s="139"/>
      <c r="M113" s="139"/>
      <c r="O113" s="139"/>
      <c r="Q113" s="219"/>
      <c r="AJ113" s="142"/>
      <c r="AM113" s="219"/>
      <c r="AU113" s="142" t="e">
        <f t="shared" ca="1" si="6"/>
        <v>#VALUE!</v>
      </c>
      <c r="AX113" s="487"/>
    </row>
    <row r="114" spans="1:50" s="138" customFormat="1" hidden="1" x14ac:dyDescent="0.3">
      <c r="A114" s="142"/>
      <c r="B114" s="4"/>
      <c r="D114" s="139"/>
      <c r="E114" s="139"/>
      <c r="F114" s="691" t="str">
        <f>Administration!J26</f>
        <v>People's Leasing Company PLC</v>
      </c>
      <c r="G114" s="139"/>
      <c r="H114" s="139"/>
      <c r="I114" s="139"/>
      <c r="J114" s="139"/>
      <c r="K114" s="139"/>
      <c r="L114" s="139"/>
      <c r="M114" s="139"/>
      <c r="O114" s="139"/>
      <c r="Q114" s="219"/>
      <c r="AJ114" s="142"/>
      <c r="AM114" s="219"/>
      <c r="AU114" s="142" t="e">
        <f t="shared" ca="1" si="6"/>
        <v>#VALUE!</v>
      </c>
      <c r="AX114" s="487"/>
    </row>
    <row r="115" spans="1:50" s="138" customFormat="1" hidden="1" x14ac:dyDescent="0.3">
      <c r="A115" s="142"/>
      <c r="B115" s="4"/>
      <c r="D115" s="139"/>
      <c r="E115" s="139"/>
      <c r="F115" s="691" t="str">
        <f>Administration!J27</f>
        <v>Singer Finance (Lanka) PLC</v>
      </c>
      <c r="G115" s="139"/>
      <c r="H115" s="139"/>
      <c r="I115" s="139"/>
      <c r="J115" s="139"/>
      <c r="K115" s="139"/>
      <c r="L115" s="139"/>
      <c r="M115" s="139"/>
      <c r="O115" s="139"/>
      <c r="Q115" s="219"/>
      <c r="AJ115" s="142"/>
      <c r="AM115" s="219"/>
      <c r="AU115" s="142" t="e">
        <f t="shared" ca="1" si="6"/>
        <v>#VALUE!</v>
      </c>
      <c r="AX115" s="487"/>
    </row>
    <row r="116" spans="1:50" s="138" customFormat="1" hidden="1" x14ac:dyDescent="0.3">
      <c r="A116" s="142"/>
      <c r="B116" s="4"/>
      <c r="D116" s="139"/>
      <c r="E116" s="139"/>
      <c r="F116" s="691" t="str">
        <f>Administration!J28</f>
        <v>SN Finance</v>
      </c>
      <c r="G116" s="139"/>
      <c r="H116" s="139"/>
      <c r="I116" s="139"/>
      <c r="J116" s="139"/>
      <c r="K116" s="139"/>
      <c r="L116" s="139"/>
      <c r="M116" s="139"/>
      <c r="O116" s="139"/>
      <c r="Q116" s="219"/>
      <c r="AJ116" s="142"/>
      <c r="AM116" s="219"/>
      <c r="AU116" s="142" t="e">
        <f t="shared" ca="1" si="6"/>
        <v>#VALUE!</v>
      </c>
      <c r="AX116" s="487"/>
    </row>
    <row r="117" spans="1:50" s="138" customFormat="1" hidden="1" x14ac:dyDescent="0.3">
      <c r="A117" s="142"/>
      <c r="B117" s="4"/>
      <c r="F117" s="691" t="str">
        <f>Administration!J29</f>
        <v>Softlogic Finance PLC</v>
      </c>
      <c r="O117" s="139"/>
      <c r="Q117" s="219"/>
      <c r="AJ117" s="142"/>
      <c r="AM117" s="219"/>
      <c r="AU117" s="142" t="e">
        <f t="shared" ca="1" si="6"/>
        <v>#VALUE!</v>
      </c>
      <c r="AX117" s="487"/>
    </row>
    <row r="118" spans="1:50" s="138" customFormat="1" hidden="1" x14ac:dyDescent="0.3">
      <c r="A118" s="142"/>
      <c r="B118" s="4"/>
      <c r="F118" s="691" t="str">
        <f>Administration!J30</f>
        <v>Thamalu Enterprises</v>
      </c>
      <c r="O118" s="139"/>
      <c r="Q118" s="219"/>
      <c r="AJ118" s="142"/>
      <c r="AM118" s="219"/>
      <c r="AU118" s="142" t="e">
        <f t="shared" ca="1" si="6"/>
        <v>#VALUE!</v>
      </c>
      <c r="AX118" s="487"/>
    </row>
    <row r="119" spans="1:50" s="138" customFormat="1" hidden="1" x14ac:dyDescent="0.3">
      <c r="A119" s="142"/>
      <c r="B119" s="4"/>
      <c r="F119" s="691" t="str">
        <f>Administration!J31</f>
        <v>Trade Finance</v>
      </c>
      <c r="O119" s="139"/>
      <c r="Q119" s="219"/>
      <c r="AJ119" s="142"/>
      <c r="AM119" s="219"/>
      <c r="AU119" s="142" t="e">
        <f t="shared" ca="1" si="6"/>
        <v>#VALUE!</v>
      </c>
      <c r="AX119" s="487"/>
    </row>
    <row r="120" spans="1:50" s="138" customFormat="1" hidden="1" x14ac:dyDescent="0.3">
      <c r="A120" s="142"/>
      <c r="B120" s="4"/>
      <c r="F120" s="691" t="str">
        <f>Administration!J32</f>
        <v>UB Finance</v>
      </c>
      <c r="O120" s="139"/>
      <c r="Q120" s="219"/>
      <c r="AJ120" s="142"/>
      <c r="AM120" s="219"/>
      <c r="AU120" s="142" t="e">
        <f t="shared" ca="1" si="6"/>
        <v>#VALUE!</v>
      </c>
      <c r="AX120" s="487"/>
    </row>
    <row r="121" spans="1:50" s="138" customFormat="1" hidden="1" x14ac:dyDescent="0.3">
      <c r="A121" s="142"/>
      <c r="B121" s="4"/>
      <c r="F121" s="691" t="str">
        <f>Administration!J33</f>
        <v>Vallibel Finance PLC</v>
      </c>
      <c r="O121" s="139"/>
      <c r="Q121" s="219"/>
      <c r="AJ121" s="142"/>
      <c r="AM121" s="219"/>
      <c r="AU121" s="142" t="e">
        <f t="shared" ca="1" si="6"/>
        <v>#VALUE!</v>
      </c>
      <c r="AX121" s="487"/>
    </row>
    <row r="122" spans="1:50" s="138" customFormat="1" hidden="1" x14ac:dyDescent="0.3">
      <c r="A122" s="142"/>
      <c r="B122" s="4"/>
      <c r="F122" s="691">
        <f>Administration!J34</f>
        <v>0</v>
      </c>
      <c r="O122" s="139"/>
      <c r="Q122" s="219"/>
      <c r="AJ122" s="142"/>
      <c r="AM122" s="219"/>
      <c r="AU122" s="142" t="e">
        <f t="shared" ca="1" si="6"/>
        <v>#VALUE!</v>
      </c>
      <c r="AX122" s="487"/>
    </row>
    <row r="123" spans="1:50" s="138" customFormat="1" hidden="1" x14ac:dyDescent="0.3">
      <c r="A123" s="142"/>
      <c r="B123" s="4"/>
      <c r="F123" s="691">
        <f>Administration!J35</f>
        <v>0</v>
      </c>
      <c r="O123" s="139"/>
      <c r="Q123" s="219"/>
      <c r="AJ123" s="142"/>
      <c r="AM123" s="219"/>
      <c r="AU123" s="142" t="e">
        <f t="shared" ca="1" si="6"/>
        <v>#VALUE!</v>
      </c>
      <c r="AX123" s="487"/>
    </row>
    <row r="124" spans="1:50" s="138" customFormat="1" hidden="1" x14ac:dyDescent="0.3">
      <c r="A124" s="142"/>
      <c r="B124" s="4"/>
      <c r="F124" s="691">
        <f>Administration!J36</f>
        <v>0</v>
      </c>
      <c r="O124" s="139"/>
      <c r="Q124" s="219"/>
      <c r="AJ124" s="142"/>
      <c r="AM124" s="219"/>
      <c r="AU124" s="142" t="e">
        <f t="shared" ca="1" si="6"/>
        <v>#VALUE!</v>
      </c>
      <c r="AX124" s="487"/>
    </row>
    <row r="125" spans="1:50" s="138" customFormat="1" hidden="1" x14ac:dyDescent="0.3">
      <c r="A125" s="142"/>
      <c r="B125" s="4"/>
      <c r="F125" s="691">
        <f>Administration!J37</f>
        <v>0</v>
      </c>
      <c r="O125" s="139"/>
      <c r="Q125" s="219"/>
      <c r="AJ125" s="142"/>
      <c r="AM125" s="219"/>
      <c r="AU125" s="142" t="e">
        <f t="shared" ca="1" si="6"/>
        <v>#VALUE!</v>
      </c>
      <c r="AX125" s="487"/>
    </row>
    <row r="126" spans="1:50" s="138" customFormat="1" hidden="1" x14ac:dyDescent="0.3">
      <c r="A126" s="142"/>
      <c r="B126" s="4"/>
      <c r="F126" s="691">
        <f>Administration!J38</f>
        <v>0</v>
      </c>
      <c r="O126" s="139"/>
      <c r="Q126" s="219"/>
      <c r="AJ126" s="142"/>
      <c r="AM126" s="219"/>
      <c r="AU126" s="142" t="e">
        <f t="shared" ca="1" si="6"/>
        <v>#VALUE!</v>
      </c>
      <c r="AX126" s="487"/>
    </row>
    <row r="127" spans="1:50" s="138" customFormat="1" hidden="1" x14ac:dyDescent="0.3">
      <c r="A127" s="142"/>
      <c r="B127" s="4"/>
      <c r="F127" s="691">
        <f>Administration!J39</f>
        <v>0</v>
      </c>
      <c r="O127" s="139"/>
      <c r="Q127" s="219"/>
      <c r="AJ127" s="142"/>
      <c r="AM127" s="219"/>
      <c r="AU127" s="142" t="e">
        <f t="shared" ca="1" si="6"/>
        <v>#VALUE!</v>
      </c>
      <c r="AX127" s="487"/>
    </row>
    <row r="128" spans="1:50" s="138" customFormat="1" hidden="1" x14ac:dyDescent="0.3">
      <c r="A128" s="142"/>
      <c r="B128" s="4"/>
      <c r="F128" s="691">
        <f>Administration!J40</f>
        <v>0</v>
      </c>
      <c r="O128" s="139"/>
      <c r="Q128" s="219"/>
      <c r="AJ128" s="142"/>
      <c r="AM128" s="219"/>
      <c r="AU128" s="142" t="e">
        <f t="shared" ca="1" si="6"/>
        <v>#VALUE!</v>
      </c>
      <c r="AX128" s="487"/>
    </row>
    <row r="129" spans="1:50" s="138" customFormat="1" hidden="1" x14ac:dyDescent="0.3">
      <c r="A129" s="142"/>
      <c r="B129" s="4"/>
      <c r="F129" s="691">
        <f>Administration!J41</f>
        <v>0</v>
      </c>
      <c r="O129" s="139"/>
      <c r="Q129" s="219"/>
      <c r="AJ129" s="142"/>
      <c r="AM129" s="219"/>
      <c r="AU129" s="142" t="e">
        <f t="shared" ca="1" si="6"/>
        <v>#VALUE!</v>
      </c>
      <c r="AX129" s="487"/>
    </row>
    <row r="130" spans="1:50" s="138" customFormat="1" hidden="1" x14ac:dyDescent="0.3">
      <c r="A130" s="142"/>
      <c r="B130" s="4"/>
      <c r="F130" s="691">
        <f>Administration!J42</f>
        <v>0</v>
      </c>
      <c r="O130" s="139"/>
      <c r="Q130" s="219"/>
      <c r="AJ130" s="142"/>
      <c r="AM130" s="219"/>
      <c r="AU130" s="142" t="e">
        <f t="shared" ca="1" si="6"/>
        <v>#VALUE!</v>
      </c>
      <c r="AX130" s="487"/>
    </row>
    <row r="131" spans="1:50" s="138" customFormat="1" hidden="1" x14ac:dyDescent="0.3">
      <c r="A131" s="142"/>
      <c r="B131" s="4"/>
      <c r="F131" s="691">
        <f>Administration!J43</f>
        <v>0</v>
      </c>
      <c r="O131" s="139"/>
      <c r="Q131" s="219"/>
      <c r="AJ131" s="142"/>
      <c r="AM131" s="219"/>
      <c r="AU131" s="142" t="e">
        <f t="shared" ca="1" si="6"/>
        <v>#VALUE!</v>
      </c>
      <c r="AX131" s="487"/>
    </row>
    <row r="132" spans="1:50" s="138" customFormat="1" hidden="1" x14ac:dyDescent="0.3">
      <c r="A132" s="142"/>
      <c r="B132" s="4"/>
      <c r="F132" s="691">
        <f>Administration!J44</f>
        <v>0</v>
      </c>
      <c r="O132" s="139"/>
      <c r="Q132" s="219"/>
      <c r="AJ132" s="142"/>
      <c r="AM132" s="219"/>
      <c r="AU132" s="142" t="e">
        <f t="shared" ca="1" si="6"/>
        <v>#VALUE!</v>
      </c>
      <c r="AX132" s="487"/>
    </row>
    <row r="133" spans="1:50" s="138" customFormat="1" hidden="1" x14ac:dyDescent="0.3">
      <c r="A133" s="142"/>
      <c r="B133" s="4"/>
      <c r="F133" s="691">
        <f>Administration!J45</f>
        <v>0</v>
      </c>
      <c r="O133" s="139"/>
      <c r="Q133" s="219"/>
      <c r="AJ133" s="142"/>
      <c r="AM133" s="219"/>
      <c r="AU133" s="142" t="e">
        <f t="shared" ca="1" si="6"/>
        <v>#VALUE!</v>
      </c>
      <c r="AX133" s="487"/>
    </row>
    <row r="134" spans="1:50" s="138" customFormat="1" hidden="1" x14ac:dyDescent="0.3">
      <c r="A134" s="142"/>
      <c r="B134" s="4"/>
      <c r="F134" s="691">
        <f>Administration!J46</f>
        <v>0</v>
      </c>
      <c r="O134" s="139"/>
      <c r="Q134" s="219"/>
      <c r="AJ134" s="142"/>
      <c r="AM134" s="219"/>
      <c r="AU134" s="142" t="e">
        <f t="shared" ca="1" si="6"/>
        <v>#VALUE!</v>
      </c>
      <c r="AX134" s="487"/>
    </row>
    <row r="135" spans="1:50" s="138" customFormat="1" hidden="1" x14ac:dyDescent="0.3">
      <c r="A135" s="142"/>
      <c r="B135" s="4"/>
      <c r="F135" s="691">
        <f>Administration!J47</f>
        <v>0</v>
      </c>
      <c r="O135" s="139"/>
      <c r="Q135" s="219"/>
      <c r="AJ135" s="142"/>
      <c r="AM135" s="219"/>
      <c r="AU135" s="142" t="e">
        <f t="shared" ca="1" si="6"/>
        <v>#VALUE!</v>
      </c>
      <c r="AX135" s="487"/>
    </row>
    <row r="136" spans="1:50" s="138" customFormat="1" hidden="1" x14ac:dyDescent="0.3">
      <c r="A136" s="142"/>
      <c r="B136" s="4"/>
      <c r="F136" s="691">
        <f>Administration!J48</f>
        <v>0</v>
      </c>
      <c r="O136" s="139"/>
      <c r="Q136" s="219"/>
      <c r="AJ136" s="142"/>
      <c r="AM136" s="219"/>
      <c r="AU136" s="142" t="e">
        <f t="shared" ca="1" si="6"/>
        <v>#VALUE!</v>
      </c>
      <c r="AX136" s="487"/>
    </row>
    <row r="137" spans="1:50" s="138" customFormat="1" hidden="1" x14ac:dyDescent="0.3">
      <c r="A137" s="142"/>
      <c r="B137" s="4"/>
      <c r="F137" s="691">
        <f>Administration!J49</f>
        <v>0</v>
      </c>
      <c r="O137" s="139"/>
      <c r="Q137" s="219"/>
      <c r="AJ137" s="142"/>
      <c r="AM137" s="219"/>
      <c r="AU137" s="142" t="e">
        <f t="shared" ca="1" si="6"/>
        <v>#VALUE!</v>
      </c>
      <c r="AX137" s="487"/>
    </row>
    <row r="138" spans="1:50" s="138" customFormat="1" hidden="1" x14ac:dyDescent="0.3">
      <c r="A138" s="142"/>
      <c r="B138" s="4"/>
      <c r="F138" s="691">
        <f>Administration!J50</f>
        <v>0</v>
      </c>
      <c r="O138" s="139"/>
      <c r="Q138" s="219"/>
      <c r="AJ138" s="142"/>
      <c r="AM138" s="219"/>
      <c r="AU138" s="142" t="e">
        <f t="shared" ca="1" si="6"/>
        <v>#VALUE!</v>
      </c>
      <c r="AX138" s="487"/>
    </row>
    <row r="139" spans="1:50" s="138" customFormat="1" hidden="1" x14ac:dyDescent="0.3">
      <c r="A139" s="142"/>
      <c r="B139" s="4"/>
      <c r="F139" s="691">
        <f>Administration!J51</f>
        <v>0</v>
      </c>
      <c r="O139" s="139"/>
      <c r="Q139" s="219"/>
      <c r="AJ139" s="142"/>
      <c r="AM139" s="219"/>
      <c r="AU139" s="142" t="e">
        <f t="shared" ca="1" si="6"/>
        <v>#VALUE!</v>
      </c>
      <c r="AX139" s="487"/>
    </row>
    <row r="140" spans="1:50" s="138" customFormat="1" hidden="1" x14ac:dyDescent="0.3">
      <c r="A140" s="142"/>
      <c r="B140" s="4"/>
      <c r="F140" s="691">
        <f>Administration!J52</f>
        <v>0</v>
      </c>
      <c r="O140" s="139"/>
      <c r="Q140" s="219"/>
      <c r="AJ140" s="142"/>
      <c r="AM140" s="219"/>
      <c r="AU140" s="142" t="e">
        <f t="shared" ca="1" si="6"/>
        <v>#VALUE!</v>
      </c>
      <c r="AX140" s="487"/>
    </row>
    <row r="141" spans="1:50" s="138" customFormat="1" hidden="1" x14ac:dyDescent="0.3">
      <c r="A141" s="142"/>
      <c r="B141" s="4"/>
      <c r="F141" s="691">
        <f>Administration!J53</f>
        <v>0</v>
      </c>
      <c r="O141" s="139"/>
      <c r="Q141" s="219"/>
      <c r="AJ141" s="142"/>
      <c r="AM141" s="219"/>
      <c r="AU141" s="142" t="e">
        <f t="shared" ca="1" si="6"/>
        <v>#VALUE!</v>
      </c>
      <c r="AX141" s="487"/>
    </row>
    <row r="142" spans="1:50" s="138" customFormat="1" hidden="1" x14ac:dyDescent="0.3">
      <c r="A142" s="142"/>
      <c r="B142" s="4"/>
      <c r="F142" s="691">
        <f>Administration!J54</f>
        <v>0</v>
      </c>
      <c r="O142" s="139"/>
      <c r="Q142" s="219"/>
      <c r="AJ142" s="142"/>
      <c r="AM142" s="219"/>
      <c r="AU142" s="142" t="e">
        <f t="shared" ca="1" si="6"/>
        <v>#VALUE!</v>
      </c>
      <c r="AX142" s="487"/>
    </row>
    <row r="143" spans="1:50" s="138" customFormat="1" hidden="1" x14ac:dyDescent="0.3">
      <c r="A143" s="142"/>
      <c r="B143" s="4"/>
      <c r="F143" s="691">
        <f>Administration!J55</f>
        <v>0</v>
      </c>
      <c r="O143" s="139"/>
      <c r="Q143" s="219"/>
      <c r="AJ143" s="142"/>
      <c r="AM143" s="219"/>
      <c r="AU143" s="142" t="e">
        <f t="shared" ca="1" si="6"/>
        <v>#VALUE!</v>
      </c>
      <c r="AX143" s="487"/>
    </row>
    <row r="144" spans="1:50" s="138" customFormat="1" hidden="1" x14ac:dyDescent="0.3">
      <c r="A144" s="142"/>
      <c r="B144" s="4"/>
      <c r="F144" s="691">
        <f>Administration!J56</f>
        <v>0</v>
      </c>
      <c r="O144" s="139"/>
      <c r="Q144" s="219"/>
      <c r="AJ144" s="142"/>
      <c r="AM144" s="219"/>
      <c r="AU144" s="142" t="e">
        <f t="shared" ca="1" si="6"/>
        <v>#VALUE!</v>
      </c>
      <c r="AX144" s="487"/>
    </row>
    <row r="145" spans="1:50" s="138" customFormat="1" hidden="1" x14ac:dyDescent="0.3">
      <c r="A145" s="142"/>
      <c r="B145" s="4"/>
      <c r="F145" s="691">
        <f>Administration!J57</f>
        <v>0</v>
      </c>
      <c r="O145" s="139"/>
      <c r="Q145" s="219"/>
      <c r="AJ145" s="142"/>
      <c r="AM145" s="219"/>
      <c r="AU145" s="142" t="e">
        <f t="shared" ca="1" si="6"/>
        <v>#VALUE!</v>
      </c>
      <c r="AX145" s="487"/>
    </row>
    <row r="146" spans="1:50" s="138" customFormat="1" hidden="1" x14ac:dyDescent="0.3">
      <c r="A146" s="142"/>
      <c r="B146" s="4"/>
      <c r="F146" s="691">
        <f>Administration!J58</f>
        <v>0</v>
      </c>
      <c r="O146" s="139"/>
      <c r="Q146" s="219"/>
      <c r="AJ146" s="142"/>
      <c r="AM146" s="219"/>
      <c r="AU146" s="142" t="e">
        <f t="shared" ca="1" si="6"/>
        <v>#VALUE!</v>
      </c>
      <c r="AX146" s="487"/>
    </row>
    <row r="147" spans="1:50" s="138" customFormat="1" hidden="1" x14ac:dyDescent="0.3">
      <c r="A147" s="142"/>
      <c r="B147" s="4"/>
      <c r="F147" s="691">
        <f>Administration!J59</f>
        <v>0</v>
      </c>
      <c r="O147" s="139"/>
      <c r="Q147" s="219"/>
      <c r="AJ147" s="142"/>
      <c r="AM147" s="219"/>
      <c r="AU147" s="142" t="e">
        <f t="shared" ca="1" si="6"/>
        <v>#VALUE!</v>
      </c>
      <c r="AX147" s="487"/>
    </row>
    <row r="148" spans="1:50" s="138" customFormat="1" hidden="1" x14ac:dyDescent="0.3">
      <c r="A148" s="142"/>
      <c r="B148" s="4"/>
      <c r="F148" s="691">
        <f>Administration!J60</f>
        <v>0</v>
      </c>
      <c r="O148" s="139"/>
      <c r="Q148" s="219"/>
      <c r="AJ148" s="142"/>
      <c r="AM148" s="219"/>
      <c r="AU148" s="142" t="e">
        <f t="shared" ca="1" si="6"/>
        <v>#VALUE!</v>
      </c>
      <c r="AX148" s="487"/>
    </row>
    <row r="149" spans="1:50" s="138" customFormat="1" hidden="1" x14ac:dyDescent="0.3">
      <c r="A149" s="142"/>
      <c r="B149" s="4"/>
      <c r="F149" s="691">
        <f>Administration!J61</f>
        <v>0</v>
      </c>
      <c r="O149" s="139"/>
      <c r="Q149" s="219"/>
      <c r="AJ149" s="142"/>
      <c r="AM149" s="219"/>
      <c r="AU149" s="142" t="e">
        <f t="shared" ca="1" si="6"/>
        <v>#VALUE!</v>
      </c>
      <c r="AX149" s="487"/>
    </row>
    <row r="150" spans="1:50" s="138" customFormat="1" hidden="1" x14ac:dyDescent="0.3">
      <c r="A150" s="142"/>
      <c r="B150" s="4"/>
      <c r="F150" s="691">
        <f>Administration!J62</f>
        <v>0</v>
      </c>
      <c r="O150" s="139"/>
      <c r="Q150" s="219"/>
      <c r="AJ150" s="142"/>
      <c r="AM150" s="219"/>
      <c r="AU150" s="142" t="e">
        <f t="shared" ca="1" si="6"/>
        <v>#VALUE!</v>
      </c>
      <c r="AX150" s="487"/>
    </row>
    <row r="151" spans="1:50" s="138" customFormat="1" hidden="1" x14ac:dyDescent="0.3">
      <c r="A151" s="142"/>
      <c r="B151" s="4"/>
      <c r="F151" s="691">
        <f>Administration!J63</f>
        <v>0</v>
      </c>
      <c r="O151" s="139"/>
      <c r="Q151" s="219"/>
      <c r="AJ151" s="142"/>
      <c r="AM151" s="219"/>
      <c r="AU151" s="142" t="e">
        <f t="shared" ca="1" si="6"/>
        <v>#VALUE!</v>
      </c>
      <c r="AX151" s="487"/>
    </row>
    <row r="152" spans="1:50" s="138" customFormat="1" hidden="1" x14ac:dyDescent="0.3">
      <c r="A152" s="142"/>
      <c r="B152" s="4"/>
      <c r="O152" s="139"/>
      <c r="Q152" s="219"/>
      <c r="AJ152" s="142"/>
      <c r="AM152" s="219"/>
      <c r="AU152" s="142" t="e">
        <f t="shared" ca="1" si="6"/>
        <v>#VALUE!</v>
      </c>
      <c r="AX152" s="487"/>
    </row>
  </sheetData>
  <sheetProtection selectLockedCells="1" selectUnlockedCells="1"/>
  <dataConsolidate/>
  <mergeCells count="45">
    <mergeCell ref="I23:L23"/>
    <mergeCell ref="I28:K28"/>
    <mergeCell ref="I30:J30"/>
    <mergeCell ref="K2:M2"/>
    <mergeCell ref="N1:O1"/>
    <mergeCell ref="J11:L11"/>
    <mergeCell ref="I14:J14"/>
    <mergeCell ref="L10:M10"/>
    <mergeCell ref="H2:I2"/>
    <mergeCell ref="L3:M4"/>
    <mergeCell ref="H8:I8"/>
    <mergeCell ref="K9:M9"/>
    <mergeCell ref="L6:M6"/>
    <mergeCell ref="I6:K6"/>
    <mergeCell ref="H7:K7"/>
    <mergeCell ref="L7:M7"/>
    <mergeCell ref="N17:O18"/>
    <mergeCell ref="H9:I9"/>
    <mergeCell ref="H15:I15"/>
    <mergeCell ref="H10:I10"/>
    <mergeCell ref="E16:H17"/>
    <mergeCell ref="E10:F10"/>
    <mergeCell ref="I16:M17"/>
    <mergeCell ref="E15:F15"/>
    <mergeCell ref="I13:K13"/>
    <mergeCell ref="J12:L12"/>
    <mergeCell ref="H11:I11"/>
    <mergeCell ref="K14:M14"/>
    <mergeCell ref="H12:I12"/>
    <mergeCell ref="I37:K37"/>
    <mergeCell ref="I36:K36"/>
    <mergeCell ref="I25:K25"/>
    <mergeCell ref="E61:F66"/>
    <mergeCell ref="R94:T94"/>
    <mergeCell ref="O40:V41"/>
    <mergeCell ref="H46:K46"/>
    <mergeCell ref="M69:M70"/>
    <mergeCell ref="I49:K49"/>
    <mergeCell ref="I52:K52"/>
    <mergeCell ref="N66:O66"/>
    <mergeCell ref="F70:H71"/>
    <mergeCell ref="F58:G58"/>
    <mergeCell ref="F59:G59"/>
    <mergeCell ref="N33:O34"/>
    <mergeCell ref="F27:H28"/>
  </mergeCells>
  <phoneticPr fontId="0" type="noConversion"/>
  <conditionalFormatting sqref="E54 E50">
    <cfRule type="expression" dxfId="280" priority="13" stopIfTrue="1">
      <formula>H50&gt;0</formula>
    </cfRule>
  </conditionalFormatting>
  <conditionalFormatting sqref="E56 E45">
    <cfRule type="expression" dxfId="279" priority="14" stopIfTrue="1">
      <formula>O45=1</formula>
    </cfRule>
  </conditionalFormatting>
  <conditionalFormatting sqref="E55">
    <cfRule type="expression" dxfId="278" priority="16" stopIfTrue="1">
      <formula>Q55=1</formula>
    </cfRule>
  </conditionalFormatting>
  <conditionalFormatting sqref="F56:G56">
    <cfRule type="expression" dxfId="277" priority="17" stopIfTrue="1">
      <formula>O56=1</formula>
    </cfRule>
  </conditionalFormatting>
  <conditionalFormatting sqref="F55:G55 G40">
    <cfRule type="expression" dxfId="276" priority="18" stopIfTrue="1">
      <formula>Q40=1</formula>
    </cfRule>
  </conditionalFormatting>
  <conditionalFormatting sqref="E44">
    <cfRule type="expression" dxfId="275" priority="19" stopIfTrue="1">
      <formula>M44&gt;1</formula>
    </cfRule>
  </conditionalFormatting>
  <conditionalFormatting sqref="E46">
    <cfRule type="expression" dxfId="274" priority="20" stopIfTrue="1">
      <formula>OR(T46=1,Q48=0)</formula>
    </cfRule>
  </conditionalFormatting>
  <conditionalFormatting sqref="F46:G46">
    <cfRule type="expression" dxfId="273" priority="21" stopIfTrue="1">
      <formula>OR(T46=1,Q48=0)</formula>
    </cfRule>
  </conditionalFormatting>
  <conditionalFormatting sqref="F39:G39">
    <cfRule type="expression" dxfId="272" priority="24" stopIfTrue="1">
      <formula>B39="Yes"</formula>
    </cfRule>
  </conditionalFormatting>
  <conditionalFormatting sqref="E39">
    <cfRule type="expression" dxfId="271" priority="25" stopIfTrue="1">
      <formula>B39="Yes"</formula>
    </cfRule>
  </conditionalFormatting>
  <conditionalFormatting sqref="F23">
    <cfRule type="expression" dxfId="270" priority="26" stopIfTrue="1">
      <formula>M23&lt;0</formula>
    </cfRule>
  </conditionalFormatting>
  <conditionalFormatting sqref="E23">
    <cfRule type="expression" dxfId="269" priority="27" stopIfTrue="1">
      <formula>M23&lt;0</formula>
    </cfRule>
  </conditionalFormatting>
  <conditionalFormatting sqref="F48:G48">
    <cfRule type="expression" dxfId="268" priority="28" stopIfTrue="1">
      <formula>T48=1</formula>
    </cfRule>
  </conditionalFormatting>
  <conditionalFormatting sqref="E48">
    <cfRule type="expression" dxfId="267" priority="29" stopIfTrue="1">
      <formula>T48=1</formula>
    </cfRule>
  </conditionalFormatting>
  <conditionalFormatting sqref="F44:G44">
    <cfRule type="expression" dxfId="266" priority="31" stopIfTrue="1">
      <formula>AND(O45=1,R45=1)</formula>
    </cfRule>
  </conditionalFormatting>
  <conditionalFormatting sqref="F45:G45">
    <cfRule type="expression" dxfId="265" priority="32" stopIfTrue="1">
      <formula>AND(O45=1,R45=1)</formula>
    </cfRule>
  </conditionalFormatting>
  <conditionalFormatting sqref="E20">
    <cfRule type="expression" dxfId="264" priority="33" stopIfTrue="1">
      <formula>H20&gt;0</formula>
    </cfRule>
  </conditionalFormatting>
  <conditionalFormatting sqref="F20:G20">
    <cfRule type="expression" dxfId="263" priority="34" stopIfTrue="1">
      <formula>H20&gt;0</formula>
    </cfRule>
  </conditionalFormatting>
  <conditionalFormatting sqref="F36:F37">
    <cfRule type="expression" dxfId="262" priority="35" stopIfTrue="1">
      <formula>AND(H36&gt;0%,M36&lt;0)</formula>
    </cfRule>
  </conditionalFormatting>
  <conditionalFormatting sqref="E36:E37">
    <cfRule type="expression" dxfId="261" priority="36" stopIfTrue="1">
      <formula>AND(H36&gt;0%,M36&lt;0)</formula>
    </cfRule>
  </conditionalFormatting>
  <conditionalFormatting sqref="E47">
    <cfRule type="expression" dxfId="260" priority="37" stopIfTrue="1">
      <formula>R64=1</formula>
    </cfRule>
  </conditionalFormatting>
  <conditionalFormatting sqref="F51:G51">
    <cfRule type="expression" dxfId="259" priority="39" stopIfTrue="1">
      <formula>AND($H$51&gt;0,Z49=1,Y49=1)</formula>
    </cfRule>
  </conditionalFormatting>
  <conditionalFormatting sqref="E51">
    <cfRule type="expression" dxfId="258" priority="40" stopIfTrue="1">
      <formula>AND($H$51&gt;0,Z49=1,Y49=1)</formula>
    </cfRule>
  </conditionalFormatting>
  <conditionalFormatting sqref="E60">
    <cfRule type="expression" dxfId="257" priority="41" stopIfTrue="1">
      <formula>C60=1</formula>
    </cfRule>
  </conditionalFormatting>
  <conditionalFormatting sqref="M19:M20 M22 M30 M36:M37 M39:M57">
    <cfRule type="expression" dxfId="256" priority="42" stopIfTrue="1">
      <formula>L19=1</formula>
    </cfRule>
  </conditionalFormatting>
  <conditionalFormatting sqref="M29 M23 M25">
    <cfRule type="expression" dxfId="255" priority="43" stopIfTrue="1">
      <formula>O23=1</formula>
    </cfRule>
  </conditionalFormatting>
  <conditionalFormatting sqref="E58:E59">
    <cfRule type="expression" dxfId="254" priority="45" stopIfTrue="1">
      <formula>O58=1</formula>
    </cfRule>
  </conditionalFormatting>
  <conditionalFormatting sqref="E21">
    <cfRule type="expression" dxfId="253" priority="48" stopIfTrue="1">
      <formula>OR(B21="Free",Q21=1)</formula>
    </cfRule>
  </conditionalFormatting>
  <conditionalFormatting sqref="E25">
    <cfRule type="expression" dxfId="252" priority="50" stopIfTrue="1">
      <formula>OR($R$25&gt;1,AA25=1)</formula>
    </cfRule>
  </conditionalFormatting>
  <conditionalFormatting sqref="I36">
    <cfRule type="expression" dxfId="251" priority="51" stopIfTrue="1">
      <formula>OR(H36&gt;R36,I36="NCB Not Allowed")</formula>
    </cfRule>
  </conditionalFormatting>
  <conditionalFormatting sqref="E57">
    <cfRule type="expression" dxfId="250" priority="54" stopIfTrue="1">
      <formula>M57&gt;1</formula>
    </cfRule>
  </conditionalFormatting>
  <conditionalFormatting sqref="H53">
    <cfRule type="expression" dxfId="249" priority="55" stopIfTrue="1">
      <formula>T48=0</formula>
    </cfRule>
  </conditionalFormatting>
  <conditionalFormatting sqref="F25">
    <cfRule type="expression" dxfId="248" priority="56" stopIfTrue="1">
      <formula>OR($R$25&gt;1,AA25=1)</formula>
    </cfRule>
  </conditionalFormatting>
  <conditionalFormatting sqref="F26">
    <cfRule type="expression" dxfId="247" priority="57" stopIfTrue="1">
      <formula>H25&gt;0</formula>
    </cfRule>
  </conditionalFormatting>
  <conditionalFormatting sqref="H26">
    <cfRule type="expression" dxfId="246" priority="58" stopIfTrue="1">
      <formula>H25&gt;0</formula>
    </cfRule>
  </conditionalFormatting>
  <conditionalFormatting sqref="K26">
    <cfRule type="expression" dxfId="245" priority="59" stopIfTrue="1">
      <formula>H25&gt;0</formula>
    </cfRule>
  </conditionalFormatting>
  <conditionalFormatting sqref="I29:J29">
    <cfRule type="expression" dxfId="244" priority="60" stopIfTrue="1">
      <formula>M29=0</formula>
    </cfRule>
  </conditionalFormatting>
  <conditionalFormatting sqref="I27">
    <cfRule type="expression" dxfId="243" priority="62" stopIfTrue="1">
      <formula>OR($R$25&gt;1,AA25=1)</formula>
    </cfRule>
  </conditionalFormatting>
  <conditionalFormatting sqref="L25">
    <cfRule type="expression" dxfId="242" priority="63" stopIfTrue="1">
      <formula>OR($R$25&gt;1,AA25=1)</formula>
    </cfRule>
  </conditionalFormatting>
  <conditionalFormatting sqref="G42">
    <cfRule type="expression" dxfId="241" priority="64" stopIfTrue="1">
      <formula>AND(R41=1,R40=1)</formula>
    </cfRule>
  </conditionalFormatting>
  <conditionalFormatting sqref="E40">
    <cfRule type="expression" dxfId="240" priority="65" stopIfTrue="1">
      <formula>Q38=1</formula>
    </cfRule>
  </conditionalFormatting>
  <conditionalFormatting sqref="F40">
    <cfRule type="expression" dxfId="239" priority="66" stopIfTrue="1">
      <formula>Q38=1</formula>
    </cfRule>
  </conditionalFormatting>
  <conditionalFormatting sqref="E42">
    <cfRule type="expression" dxfId="238" priority="67" stopIfTrue="1">
      <formula>AND(Q39=1,Q38=1)</formula>
    </cfRule>
  </conditionalFormatting>
  <conditionalFormatting sqref="F42">
    <cfRule type="expression" dxfId="237" priority="68" stopIfTrue="1">
      <formula>AND(Q39=1,Q38=1)</formula>
    </cfRule>
  </conditionalFormatting>
  <conditionalFormatting sqref="E53">
    <cfRule type="expression" dxfId="236" priority="79" stopIfTrue="1">
      <formula>AND(H53&gt;1000,T48=1,Z50=1,O53=1)</formula>
    </cfRule>
  </conditionalFormatting>
  <conditionalFormatting sqref="G4">
    <cfRule type="expression" dxfId="235" priority="86" stopIfTrue="1">
      <formula>D3=1</formula>
    </cfRule>
  </conditionalFormatting>
  <conditionalFormatting sqref="H4">
    <cfRule type="expression" dxfId="234" priority="87" stopIfTrue="1">
      <formula>D3=1</formula>
    </cfRule>
  </conditionalFormatting>
  <conditionalFormatting sqref="I4:J4">
    <cfRule type="expression" dxfId="233" priority="88" stopIfTrue="1">
      <formula>D3=1</formula>
    </cfRule>
  </conditionalFormatting>
  <conditionalFormatting sqref="G5">
    <cfRule type="expression" dxfId="232" priority="89" stopIfTrue="1">
      <formula>D3=1</formula>
    </cfRule>
  </conditionalFormatting>
  <conditionalFormatting sqref="I5:J5">
    <cfRule type="expression" dxfId="231" priority="90" stopIfTrue="1">
      <formula>D3=1</formula>
    </cfRule>
  </conditionalFormatting>
  <conditionalFormatting sqref="H5">
    <cfRule type="expression" dxfId="230" priority="91" stopIfTrue="1">
      <formula>D3=1</formula>
    </cfRule>
  </conditionalFormatting>
  <conditionalFormatting sqref="M5">
    <cfRule type="expression" dxfId="229" priority="92" stopIfTrue="1">
      <formula>D3=1</formula>
    </cfRule>
  </conditionalFormatting>
  <conditionalFormatting sqref="I3:J3">
    <cfRule type="expression" dxfId="228" priority="93" stopIfTrue="1">
      <formula>D3=1</formula>
    </cfRule>
  </conditionalFormatting>
  <conditionalFormatting sqref="E22">
    <cfRule type="expression" dxfId="227" priority="94" stopIfTrue="1">
      <formula>I22&gt;1000</formula>
    </cfRule>
  </conditionalFormatting>
  <conditionalFormatting sqref="F22">
    <cfRule type="expression" dxfId="226" priority="96" stopIfTrue="1">
      <formula>I22&gt;1</formula>
    </cfRule>
  </conditionalFormatting>
  <conditionalFormatting sqref="K8">
    <cfRule type="expression" dxfId="225" priority="85" stopIfTrue="1">
      <formula>M8=L8</formula>
    </cfRule>
  </conditionalFormatting>
  <conditionalFormatting sqref="I24:J24">
    <cfRule type="expression" dxfId="224" priority="178" stopIfTrue="1">
      <formula>AND(C24=1,U23=0)</formula>
    </cfRule>
  </conditionalFormatting>
  <conditionalFormatting sqref="F49:G49">
    <cfRule type="expression" dxfId="223" priority="22" stopIfTrue="1">
      <formula>OR(Q49&gt;0,H49&gt;0)</formula>
    </cfRule>
  </conditionalFormatting>
  <conditionalFormatting sqref="F47:G47">
    <cfRule type="expression" dxfId="222" priority="38" stopIfTrue="1">
      <formula>AND(H47&gt;1,T47=1,Z49=1)</formula>
    </cfRule>
  </conditionalFormatting>
  <conditionalFormatting sqref="F21:G21">
    <cfRule type="expression" dxfId="221" priority="49" stopIfTrue="1">
      <formula>OR(B21="Free",Q21=1)</formula>
    </cfRule>
  </conditionalFormatting>
  <conditionalFormatting sqref="E29">
    <cfRule type="expression" dxfId="220" priority="52" stopIfTrue="1">
      <formula>AND(R29&gt;1,Z49=1,Y49=1)</formula>
    </cfRule>
  </conditionalFormatting>
  <conditionalFormatting sqref="F29:G29">
    <cfRule type="expression" dxfId="219" priority="53" stopIfTrue="1">
      <formula>AND(R29&gt;1,Z49=1,Y49=1)</formula>
    </cfRule>
  </conditionalFormatting>
  <conditionalFormatting sqref="E41">
    <cfRule type="expression" dxfId="218" priority="184" stopIfTrue="1">
      <formula>AND($C$40=1,D41=1)</formula>
    </cfRule>
  </conditionalFormatting>
  <conditionalFormatting sqref="G41">
    <cfRule type="expression" dxfId="217" priority="185" stopIfTrue="1">
      <formula>AND($C$40=1,M30&gt;0)</formula>
    </cfRule>
  </conditionalFormatting>
  <conditionalFormatting sqref="F41">
    <cfRule type="expression" dxfId="216" priority="186" stopIfTrue="1">
      <formula>E41=1</formula>
    </cfRule>
  </conditionalFormatting>
  <conditionalFormatting sqref="K41">
    <cfRule type="expression" dxfId="215" priority="187" stopIfTrue="1">
      <formula>AND(Z42&gt;0,J41=1)</formula>
    </cfRule>
  </conditionalFormatting>
  <conditionalFormatting sqref="J41">
    <cfRule type="expression" dxfId="214" priority="188" stopIfTrue="1">
      <formula>AND($C$40=1,OR(H50&gt;0,H51&gt;0))</formula>
    </cfRule>
  </conditionalFormatting>
  <conditionalFormatting sqref="F43 K43">
    <cfRule type="expression" dxfId="213" priority="189" stopIfTrue="1">
      <formula>AND(E43=1,E41=1)</formula>
    </cfRule>
  </conditionalFormatting>
  <conditionalFormatting sqref="G43">
    <cfRule type="expression" dxfId="212" priority="190" stopIfTrue="1">
      <formula>AND($C$40=1,$C$42=1,M30&gt;0)</formula>
    </cfRule>
  </conditionalFormatting>
  <conditionalFormatting sqref="E43">
    <cfRule type="expression" dxfId="211" priority="191" stopIfTrue="1">
      <formula>AND($C$40=1,$C$42=1,D41=1)</formula>
    </cfRule>
  </conditionalFormatting>
  <conditionalFormatting sqref="J43">
    <cfRule type="expression" dxfId="210" priority="192" stopIfTrue="1">
      <formula>AND($C$40=1,$C$42=1,OR(H50&gt;0,H51&gt;0))</formula>
    </cfRule>
  </conditionalFormatting>
  <conditionalFormatting sqref="H58:H59">
    <cfRule type="expression" dxfId="209" priority="195" stopIfTrue="1">
      <formula>AND(C58=1,F58="")</formula>
    </cfRule>
  </conditionalFormatting>
  <conditionalFormatting sqref="H24">
    <cfRule type="expression" dxfId="208" priority="196" stopIfTrue="1">
      <formula>U23=0</formula>
    </cfRule>
  </conditionalFormatting>
  <conditionalFormatting sqref="I16:M17">
    <cfRule type="expression" dxfId="207" priority="200" stopIfTrue="1">
      <formula>R15=0</formula>
    </cfRule>
  </conditionalFormatting>
  <conditionalFormatting sqref="H41">
    <cfRule type="expression" dxfId="206" priority="209" stopIfTrue="1">
      <formula>AND($C$40=1,M30&gt;0,G41=1)</formula>
    </cfRule>
  </conditionalFormatting>
  <conditionalFormatting sqref="H43">
    <cfRule type="expression" dxfId="205" priority="210" stopIfTrue="1">
      <formula>AND($C$40=1,M30&gt;0,G43=1,G41=1)</formula>
    </cfRule>
  </conditionalFormatting>
  <conditionalFormatting sqref="O25 L22 L36:L37 L30 O23 L19:L20 O29 L39:L59">
    <cfRule type="expression" dxfId="204" priority="101" stopIfTrue="1">
      <formula>$C$2="Yes"</formula>
    </cfRule>
  </conditionalFormatting>
  <conditionalFormatting sqref="I41">
    <cfRule type="expression" dxfId="203" priority="82" stopIfTrue="1">
      <formula>AND(B40="Yes",T42="Yes",H25&gt;0,L27&gt;0)</formula>
    </cfRule>
  </conditionalFormatting>
  <conditionalFormatting sqref="I43">
    <cfRule type="expression" dxfId="202" priority="83" stopIfTrue="1">
      <formula>AND(B40="Yes",T42="Yes",H25&gt;0,L27&gt;0,B41="Yes",T43="Yes")</formula>
    </cfRule>
  </conditionalFormatting>
  <conditionalFormatting sqref="E30">
    <cfRule type="expression" dxfId="201" priority="98" stopIfTrue="1">
      <formula>AND(H30&gt;1,C30="Yes",AA2=1,Z49=1,Y49=1)</formula>
    </cfRule>
  </conditionalFormatting>
  <conditionalFormatting sqref="H42 I49:J49 H44 K42 K44">
    <cfRule type="cellIs" dxfId="200" priority="105" stopIfTrue="1" operator="equal">
      <formula>0</formula>
    </cfRule>
  </conditionalFormatting>
  <conditionalFormatting sqref="K47">
    <cfRule type="cellIs" dxfId="199" priority="100" stopIfTrue="1" operator="equal">
      <formula>0</formula>
    </cfRule>
  </conditionalFormatting>
  <conditionalFormatting sqref="F54:G54">
    <cfRule type="expression" dxfId="198" priority="103" stopIfTrue="1">
      <formula>$H$54&gt;0</formula>
    </cfRule>
  </conditionalFormatting>
  <conditionalFormatting sqref="F50:G50">
    <cfRule type="expression" dxfId="197" priority="104" stopIfTrue="1">
      <formula>$H$50&gt;0</formula>
    </cfRule>
  </conditionalFormatting>
  <conditionalFormatting sqref="F57:G60">
    <cfRule type="cellIs" dxfId="196" priority="106" stopIfTrue="1" operator="equal">
      <formula>"."</formula>
    </cfRule>
  </conditionalFormatting>
  <conditionalFormatting sqref="K48">
    <cfRule type="cellIs" dxfId="195" priority="107" stopIfTrue="1" operator="equal">
      <formula>0</formula>
    </cfRule>
  </conditionalFormatting>
  <conditionalFormatting sqref="I52:K53">
    <cfRule type="cellIs" dxfId="194" priority="116" stopIfTrue="1" operator="equal">
      <formula>"Enter Number of Air Bags"</formula>
    </cfRule>
  </conditionalFormatting>
  <conditionalFormatting sqref="K15">
    <cfRule type="cellIs" dxfId="193" priority="222" stopIfTrue="1" operator="equal">
      <formula>"Chinese Vehicles Covered"</formula>
    </cfRule>
  </conditionalFormatting>
  <conditionalFormatting sqref="K9:M9">
    <cfRule type="expression" dxfId="192" priority="114" stopIfTrue="1">
      <formula>OR($T$2=3,$W$2=0)</formula>
    </cfRule>
  </conditionalFormatting>
  <conditionalFormatting sqref="G22:G23">
    <cfRule type="expression" dxfId="191" priority="95" stopIfTrue="1">
      <formula>#REF!&gt;1</formula>
    </cfRule>
  </conditionalFormatting>
  <conditionalFormatting sqref="N25 N19:N20 N22:N23 N29:N30 N36:N37 N39:N57">
    <cfRule type="expression" dxfId="190" priority="102" stopIfTrue="1">
      <formula>$C$2="Yes"</formula>
    </cfRule>
  </conditionalFormatting>
  <conditionalFormatting sqref="H19">
    <cfRule type="cellIs" dxfId="189" priority="108" stopIfTrue="1" operator="equal">
      <formula>"This Quotation system is not valid anymore"</formula>
    </cfRule>
  </conditionalFormatting>
  <conditionalFormatting sqref="E26 G26 L26">
    <cfRule type="expression" dxfId="188" priority="109" stopIfTrue="1">
      <formula>$H$25&gt;0</formula>
    </cfRule>
  </conditionalFormatting>
  <conditionalFormatting sqref="I31:I34">
    <cfRule type="expression" dxfId="187" priority="112" stopIfTrue="1">
      <formula>$H$30=0</formula>
    </cfRule>
  </conditionalFormatting>
  <conditionalFormatting sqref="E32:E34">
    <cfRule type="expression" dxfId="186" priority="113" stopIfTrue="1">
      <formula>AND($H$30&gt;0,$O$31=1)</formula>
    </cfRule>
  </conditionalFormatting>
  <conditionalFormatting sqref="K22">
    <cfRule type="expression" dxfId="185" priority="117" stopIfTrue="1">
      <formula>$C$2="Yes"</formula>
    </cfRule>
  </conditionalFormatting>
  <conditionalFormatting sqref="K14:M14">
    <cfRule type="expression" dxfId="184" priority="233" stopIfTrue="1">
      <formula>$H$14="Yes"</formula>
    </cfRule>
  </conditionalFormatting>
  <conditionalFormatting sqref="K30">
    <cfRule type="expression" dxfId="183" priority="234" stopIfTrue="1">
      <formula>AND($H$30&gt;0,$O$31&gt;0)</formula>
    </cfRule>
  </conditionalFormatting>
  <conditionalFormatting sqref="F30">
    <cfRule type="expression" dxfId="182" priority="235" stopIfTrue="1">
      <formula>AND(H30&gt;1,C30="Yes",AA2=1,Z49=1,Y49=1)</formula>
    </cfRule>
  </conditionalFormatting>
  <conditionalFormatting sqref="I30:J30">
    <cfRule type="expression" dxfId="181" priority="236" stopIfTrue="1">
      <formula>AND($H$30&gt;0,$O$31&gt;0)</formula>
    </cfRule>
  </conditionalFormatting>
  <conditionalFormatting sqref="I25:K25">
    <cfRule type="expression" dxfId="180" priority="12" stopIfTrue="1">
      <formula>$H$25=0</formula>
    </cfRule>
  </conditionalFormatting>
  <conditionalFormatting sqref="E16:H17">
    <cfRule type="notContainsBlanks" dxfId="179" priority="238" stopIfTrue="1">
      <formula>LEN(TRIM(E16))&gt;0</formula>
    </cfRule>
  </conditionalFormatting>
  <conditionalFormatting sqref="E15:F15">
    <cfRule type="cellIs" dxfId="178" priority="10" stopIfTrue="1" operator="equal">
      <formula>"SUM COVERED - Above Retention"</formula>
    </cfRule>
  </conditionalFormatting>
  <conditionalFormatting sqref="M13">
    <cfRule type="expression" dxfId="177" priority="239" stopIfTrue="1">
      <formula>OR(L13="",L13=0)</formula>
    </cfRule>
  </conditionalFormatting>
  <conditionalFormatting sqref="AA1">
    <cfRule type="expression" dxfId="176" priority="7" stopIfTrue="1">
      <formula>AND($H$12="HYBRID",$H$14="No")</formula>
    </cfRule>
  </conditionalFormatting>
  <conditionalFormatting sqref="M12">
    <cfRule type="expression" dxfId="175" priority="3" stopIfTrue="1">
      <formula>AND(H12="Hybrid",H14="No")</formula>
    </cfRule>
  </conditionalFormatting>
  <conditionalFormatting sqref="M12">
    <cfRule type="expression" dxfId="174" priority="2" stopIfTrue="1">
      <formula>AND(H12="Hybrid",H14="No")</formula>
    </cfRule>
  </conditionalFormatting>
  <conditionalFormatting sqref="M12">
    <cfRule type="expression" dxfId="173" priority="1" stopIfTrue="1">
      <formula>H8="Motor Cycle"</formula>
    </cfRule>
  </conditionalFormatting>
  <conditionalFormatting sqref="K50">
    <cfRule type="expression" dxfId="172" priority="250" stopIfTrue="1">
      <formula>T47=0</formula>
    </cfRule>
  </conditionalFormatting>
  <conditionalFormatting sqref="F52:F53">
    <cfRule type="expression" dxfId="171" priority="251" stopIfTrue="1">
      <formula>AND($K$50&gt;0,T47=1,Z49=1,O52=1)</formula>
    </cfRule>
  </conditionalFormatting>
  <conditionalFormatting sqref="E52">
    <cfRule type="expression" dxfId="170" priority="253" stopIfTrue="1">
      <formula>Q38=1</formula>
    </cfRule>
  </conditionalFormatting>
  <dataValidations xWindow="423" yWindow="431" count="60">
    <dataValidation type="whole" operator="greaterThanOrEqual" showInputMessage="1" showErrorMessage="1" errorTitle="Free Towing Facility" error="Enter above free towing facility limit_x000a_" sqref="H49" xr:uid="{00000000-0002-0000-0500-000000000000}">
      <formula1>Q49</formula1>
    </dataValidation>
    <dataValidation type="whole" operator="lessThanOrEqual" allowBlank="1" showInputMessage="1" showErrorMessage="1" error="Limit Exceeded._x000a_M/R Not Allowed" sqref="H20" xr:uid="{00000000-0002-0000-0500-000001000000}">
      <formula1>T20</formula1>
    </dataValidation>
    <dataValidation type="whole" showInputMessage="1" showErrorMessage="1" sqref="H30" xr:uid="{00000000-0002-0000-0500-000002000000}">
      <formula1>0</formula1>
      <formula2>U30</formula2>
    </dataValidation>
    <dataValidation type="decimal" operator="lessThanOrEqual" showErrorMessage="1" promptTitle="MAXIMUM NCB ALLOWED" prompt="for Private Cars  - 75%_x000a_for Commercial    - 65%_x000a_for Motor Cycles - 35%" sqref="H36" xr:uid="{00000000-0002-0000-0500-000003000000}">
      <formula1>R36</formula1>
    </dataValidation>
    <dataValidation type="whole" operator="lessThan" showInputMessage="1" showErrorMessage="1" sqref="H18" xr:uid="{00000000-0002-0000-0500-000004000000}">
      <formula1>O16+1</formula1>
    </dataValidation>
    <dataValidation type="decimal" allowBlank="1" showInputMessage="1" showErrorMessage="1" error="MAXIMUM  60%" sqref="I24:J24" xr:uid="{00000000-0002-0000-0500-000005000000}">
      <formula1>0</formula1>
      <formula2>Q23</formula2>
    </dataValidation>
    <dataValidation type="whole" operator="lessThan" showInputMessage="1" showErrorMessage="1" sqref="I18:J18" xr:uid="{00000000-0002-0000-0500-000006000000}">
      <formula1>H15/2</formula1>
    </dataValidation>
    <dataValidation type="whole" operator="lessThan" showInputMessage="1" showErrorMessage="1" sqref="H15" xr:uid="{00000000-0002-0000-0500-000007000000}">
      <formula1>O15+1</formula1>
    </dataValidation>
    <dataValidation type="whole" allowBlank="1" showInputMessage="1" showErrorMessage="1" sqref="K50" xr:uid="{00000000-0002-0000-0500-000008000000}">
      <formula1>-1</formula1>
      <formula2>H15/4</formula2>
    </dataValidation>
    <dataValidation type="whole" errorStyle="warning" allowBlank="1" showInputMessage="1" showErrorMessage="1" error="Enter Value between Rs.2000/- and 50% of vehicle value" sqref="K22" xr:uid="{00000000-0002-0000-0500-000009000000}">
      <formula1>10000</formula1>
      <formula2>H15/2</formula2>
    </dataValidation>
    <dataValidation type="list" operator="lessThan" showInputMessage="1" showErrorMessage="1" sqref="H13" xr:uid="{00000000-0002-0000-0500-00000A000000}">
      <formula1>AU45:AU54</formula1>
    </dataValidation>
    <dataValidation type="decimal" showErrorMessage="1" promptTitle="MAXIMUM NCB ALLOWED" prompt="for Private Cars  - 75%_x000a_for Commercial    - 65%_x000a_for Motor Cycles - 35%" sqref="H37" xr:uid="{00000000-0002-0000-0500-00000B000000}">
      <formula1>0</formula1>
      <formula2>R36</formula2>
    </dataValidation>
    <dataValidation type="whole" allowBlank="1" showInputMessage="1" showErrorMessage="1" sqref="H53" xr:uid="{00000000-0002-0000-0500-00000C000000}">
      <formula1>-1</formula1>
      <formula2>H15/4</formula2>
    </dataValidation>
    <dataValidation type="whole" operator="lessThanOrEqual" allowBlank="1" showInputMessage="1" showErrorMessage="1" error="Should Net Exceed Number of Persons PAB cover required._x000a_" sqref="I27" xr:uid="{00000000-0002-0000-0500-00000D000000}">
      <formula1>L25</formula1>
    </dataValidation>
    <dataValidation type="list" showInputMessage="1" showErrorMessage="1" sqref="H29" xr:uid="{00000000-0002-0000-0500-00000E000000}">
      <formula1>"0,2000,10000,20000,50000,100000,200000,500000"</formula1>
    </dataValidation>
    <dataValidation type="list" showInputMessage="1" showErrorMessage="1" sqref="L13" xr:uid="{00000000-0002-0000-0500-00000F000000}">
      <formula1>"1,2,3,4,5"</formula1>
    </dataValidation>
    <dataValidation type="list" allowBlank="1" showInputMessage="1" showErrorMessage="1" sqref="AA1" xr:uid="{00000000-0002-0000-0500-000010000000}">
      <formula1>"Born Hybrid,non-born Hybrid"</formula1>
    </dataValidation>
    <dataValidation type="list" allowBlank="1" showInputMessage="1" showErrorMessage="1" sqref="O25 C58:C60 C55:C56 G43 E43 J43 E41 C39:C40 G41 L30 L22 O23 L36:L37 O29 E32:E34 L19:L20 L39:L59 J41 C45:C46 C42" xr:uid="{00000000-0002-0000-0500-000011000000}">
      <formula1>"0,1"</formula1>
    </dataValidation>
    <dataValidation type="whole" showInputMessage="1" showErrorMessage="1" error="Should Not Exceed Number of Seats" sqref="G53" xr:uid="{00000000-0002-0000-0500-000012000000}">
      <formula1>0</formula1>
      <formula2>25</formula2>
    </dataValidation>
    <dataValidation type="whole" showInputMessage="1" showErrorMessage="1" error="Should Not Exceed Number of Seats" sqref="G52" xr:uid="{00000000-0002-0000-0500-000013000000}">
      <formula1>0</formula1>
      <formula2>2</formula2>
    </dataValidation>
    <dataValidation type="list" allowBlank="1" showInputMessage="1" showErrorMessage="1" sqref="J11" xr:uid="{00000000-0002-0000-0500-000014000000}">
      <formula1>"BRAND NEW,RECONDITIONED,REGISTERED"</formula1>
    </dataValidation>
    <dataValidation type="whole" allowBlank="1" showInputMessage="1" showErrorMessage="1" sqref="E42 E44:E60 I43 E20:E23 E25 E39:E40 I41 E29:E30 E36:E37 T28:V28 G31:G34" xr:uid="{00000000-0002-0000-0500-000015000000}">
      <formula1>0</formula1>
      <formula2>1</formula2>
    </dataValidation>
    <dataValidation type="list" allowBlank="1" showInputMessage="1" showErrorMessage="1" sqref="B55:B56 Q42:Q43 B46 T42:T43 W42:W43 M5 C30 B39:B41 C2:C5 H14" xr:uid="{00000000-0002-0000-0500-000016000000}">
      <formula1>"Yes,No"</formula1>
    </dataValidation>
    <dataValidation type="decimal" allowBlank="1" showInputMessage="1" showErrorMessage="1" sqref="N58:N60" xr:uid="{00000000-0002-0000-0500-000017000000}">
      <formula1>-100000</formula1>
      <formula2>100000</formula2>
    </dataValidation>
    <dataValidation type="decimal" operator="greaterThanOrEqual" allowBlank="1" showInputMessage="1" showErrorMessage="1" sqref="M49" xr:uid="{00000000-0002-0000-0500-000018000000}">
      <formula1>0</formula1>
    </dataValidation>
    <dataValidation type="whole" showInputMessage="1" showErrorMessage="1" sqref="H54" xr:uid="{00000000-0002-0000-0500-000019000000}">
      <formula1>-1</formula1>
      <formula2>10</formula2>
    </dataValidation>
    <dataValidation type="whole" operator="greaterThan" allowBlank="1" showInputMessage="1" showErrorMessage="1" sqref="H47 H51" xr:uid="{00000000-0002-0000-0500-00001A000000}">
      <formula1>-1</formula1>
    </dataValidation>
    <dataValidation type="list" operator="notBetween" allowBlank="1" showInputMessage="1" showErrorMessage="1" sqref="H48" xr:uid="{00000000-0002-0000-0500-00001B000000}">
      <formula1>"15000,100000,300000,500000,1000000"</formula1>
    </dataValidation>
    <dataValidation type="whole" allowBlank="1" showInputMessage="1" showErrorMessage="1" sqref="H50" xr:uid="{00000000-0002-0000-0500-00001C000000}">
      <formula1>-1</formula1>
      <formula2>10</formula2>
    </dataValidation>
    <dataValidation type="textLength" allowBlank="1" showInputMessage="1" showErrorMessage="1" sqref="F59:G59" xr:uid="{00000000-0002-0000-0500-00001D000000}">
      <formula1>0</formula1>
      <formula2>21</formula2>
    </dataValidation>
    <dataValidation type="textLength" allowBlank="1" showInputMessage="1" showErrorMessage="1" error="Should Enter Between _x000a_2 to 14 Digits only_x000a__x000a_" sqref="L10:M10" xr:uid="{00000000-0002-0000-0500-00001E000000}">
      <formula1>2</formula1>
      <formula2>14</formula2>
    </dataValidation>
    <dataValidation type="textLength" showInputMessage="1" showErrorMessage="1" sqref="L6 E12" xr:uid="{00000000-0002-0000-0500-00001F000000}">
      <formula1>0</formula1>
      <formula2>25</formula2>
    </dataValidation>
    <dataValidation type="list" allowBlank="1" showInputMessage="1" showErrorMessage="1" sqref="H6" xr:uid="{00000000-0002-0000-0500-000020000000}">
      <formula1>"Mr.,Mrs.,Miss,Madam,Sir,Sir/Madam"</formula1>
    </dataValidation>
    <dataValidation type="list" allowBlank="1" showInputMessage="1" showErrorMessage="1" sqref="K8" xr:uid="{00000000-0002-0000-0500-000021000000}">
      <formula1>"1.25%,2%"</formula1>
    </dataValidation>
    <dataValidation type="list" showInputMessage="1" showErrorMessage="1" sqref="H9:I9" xr:uid="{00000000-0002-0000-0500-000022000000}">
      <formula1>$AP$6:$AP$7</formula1>
    </dataValidation>
    <dataValidation type="list" showInputMessage="1" showErrorMessage="1" sqref="H12" xr:uid="{00000000-0002-0000-0500-000023000000}">
      <formula1>"PETROL (non hybrid),DIESEL (non hybrid),HYBRID,ELECTRIC"</formula1>
    </dataValidation>
    <dataValidation type="list" operator="equal" showInputMessage="1" showErrorMessage="1" sqref="H22" xr:uid="{00000000-0002-0000-0500-000024000000}">
      <formula1>"0,2000,5000,10000"</formula1>
    </dataValidation>
    <dataValidation type="list" allowBlank="1" showInputMessage="1" showErrorMessage="1" sqref="I38:J38" xr:uid="{00000000-0002-0000-0500-000025000000}">
      <formula1>"Conceal,Reveal"</formula1>
    </dataValidation>
    <dataValidation type="decimal" allowBlank="1" showInputMessage="1" showErrorMessage="1" sqref="N25 N46:N57 N39:N43 N19:N20 N29:N30" xr:uid="{00000000-0002-0000-0500-000026000000}">
      <formula1>0</formula1>
      <formula2>1000000</formula2>
    </dataValidation>
    <dataValidation allowBlank="1" showInputMessage="1" showErrorMessage="1" error="Should not exceed number of seats _x000a_(excluding driver's seat)_x000a_" sqref="I29:J29" xr:uid="{00000000-0002-0000-0500-000027000000}"/>
    <dataValidation type="list" allowBlank="1" showInputMessage="1" showErrorMessage="1" sqref="B31:C31" xr:uid="{00000000-0002-0000-0500-000028000000}">
      <formula1>"1"</formula1>
    </dataValidation>
    <dataValidation type="list" showInputMessage="1" showErrorMessage="1" sqref="H25" xr:uid="{00000000-0002-0000-0500-000029000000}">
      <formula1>"25000,50000,75000,100000,125000,150000,175000,200000,225000,250000,275000,300000,350000,400000,450000,500000,1000000"</formula1>
    </dataValidation>
    <dataValidation type="list" allowBlank="1" showInputMessage="1" showErrorMessage="1" sqref="B21" xr:uid="{00000000-0002-0000-0500-00002A000000}">
      <formula1>"Yes,No,Free"</formula1>
    </dataValidation>
    <dataValidation type="list" allowBlank="1" showInputMessage="1" showErrorMessage="1" sqref="C21" xr:uid="{00000000-0002-0000-0500-00002B000000}">
      <formula1>"0,1,2"</formula1>
    </dataValidation>
    <dataValidation type="decimal" allowBlank="1" showInputMessage="1" showErrorMessage="1" sqref="N22:N23 N36:N37" xr:uid="{00000000-0002-0000-0500-00002C000000}">
      <formula1>-10000000</formula1>
      <formula2>0</formula2>
    </dataValidation>
    <dataValidation type="list" allowBlank="1" showInputMessage="1" showErrorMessage="1" sqref="E26 L26 G26" xr:uid="{00000000-0002-0000-0500-00002D000000}">
      <formula1>"1,0"</formula1>
    </dataValidation>
    <dataValidation type="list" allowBlank="1" showInputMessage="1" showErrorMessage="1" sqref="H38" xr:uid="{00000000-0002-0000-0500-00002E000000}">
      <formula1>"Earned NCB,Upfront NCB"</formula1>
    </dataValidation>
    <dataValidation type="list" allowBlank="1" showInputMessage="1" showErrorMessage="1" sqref="I4:I5" xr:uid="{00000000-0002-0000-0500-00002F000000}">
      <formula1>"2010,2011,2012,2013,2014,2015"</formula1>
    </dataValidation>
    <dataValidation type="list" allowBlank="1" showInputMessage="1" showErrorMessage="1" sqref="H4:H5" xr:uid="{00000000-0002-0000-0500-000030000000}">
      <formula1>"January,February,March,April,May,June,July,August,September,October,November,December"</formula1>
    </dataValidation>
    <dataValidation type="list" allowBlank="1" showInputMessage="1" showErrorMessage="1" sqref="G4:G5" xr:uid="{00000000-0002-0000-0500-000031000000}">
      <formula1>"1,2,3,4,5,6,7,8,9,10,11,12,13,14,15,16,17,18,19,20,21,22,23,24,25,26,27,28,29,30,31"</formula1>
    </dataValidation>
    <dataValidation type="list" allowBlank="1" showInputMessage="1" showErrorMessage="1" sqref="H3" xr:uid="{00000000-0002-0000-0500-000032000000}">
      <formula1>"One Year,Pro Rata, Short Period"</formula1>
    </dataValidation>
    <dataValidation type="textLength" allowBlank="1" showInputMessage="1" showErrorMessage="1" error="Enter Above 5 letters_x000a_" sqref="F58:G58" xr:uid="{00000000-0002-0000-0500-000033000000}">
      <formula1>5</formula1>
      <formula2>21</formula2>
    </dataValidation>
    <dataValidation type="list" allowBlank="1" showInputMessage="1" showErrorMessage="1" sqref="H11:I11" xr:uid="{00000000-0002-0000-0500-000034000000}">
      <formula1>"NON chinese/korean,CHINESE,KOREAN,JAPAN,INDIA,MALAYSIAN,GERMAN,SRI LANKAN"</formula1>
    </dataValidation>
    <dataValidation type="decimal" allowBlank="1" showInputMessage="1" showErrorMessage="1" sqref="N44:N45" xr:uid="{00000000-0002-0000-0500-000035000000}">
      <formula1>0</formula1>
      <formula2>100</formula2>
    </dataValidation>
    <dataValidation type="list" showInputMessage="1" showErrorMessage="1" sqref="I25" xr:uid="{00000000-0002-0000-0500-000036000000}">
      <formula1>"Full Seating Capacity,Participant Only,Driver Only,Participant &amp; Driver Only"</formula1>
    </dataValidation>
    <dataValidation type="list" showInputMessage="1" showErrorMessage="1" sqref="I30" xr:uid="{00000000-0002-0000-0500-000037000000}">
      <formula1>"Non-Hazardous,Hazardous,Extra Hazardous"</formula1>
    </dataValidation>
    <dataValidation type="list" allowBlank="1" showInputMessage="1" showErrorMessage="1" sqref="K30" xr:uid="{00000000-0002-0000-0500-000038000000}">
      <formula1>"With Fire,Without Fire"</formula1>
    </dataValidation>
    <dataValidation type="list" allowBlank="1" showInputMessage="1" showErrorMessage="1" sqref="H8:I8" xr:uid="{00000000-0002-0000-0500-000039000000}">
      <formula1>"Motor Cycle,Three Wheeler"</formula1>
    </dataValidation>
    <dataValidation type="list" allowBlank="1" showInputMessage="1" showErrorMessage="1" sqref="M12" xr:uid="{00000000-0002-0000-0500-00003A000000}">
      <formula1>"Above 250cc,Below 250cc"</formula1>
    </dataValidation>
    <dataValidation type="list" allowBlank="1" showInputMessage="1" showErrorMessage="1" sqref="K14:M14" xr:uid="{00000000-0002-0000-0500-00003B000000}">
      <formula1>$F$94:$F$121</formula1>
    </dataValidation>
  </dataValidations>
  <hyperlinks>
    <hyperlink ref="AZ78" r:id="rId1" display="mailto:info@amanabank.lk" xr:uid="{00000000-0004-0000-0500-000000000000}"/>
    <hyperlink ref="AZ81" r:id="rId2" display="mailto:boc@boc.lk" xr:uid="{00000000-0004-0000-0500-000001000000}"/>
    <hyperlink ref="AZ84" r:id="rId3" display="mailto:email@combank.net" xr:uid="{00000000-0004-0000-0500-000002000000}"/>
    <hyperlink ref="AZ88" r:id="rId4" display="mailto:info@dfccvardhanabank.com" xr:uid="{00000000-0004-0000-0500-000003000000}"/>
    <hyperlink ref="AZ89" r:id="rId5" display="http://www.dfccvardhanabank.com/" xr:uid="{00000000-0004-0000-0500-000004000000}"/>
    <hyperlink ref="AZ91" r:id="rId6" display="mailto:moreinfo@hnb.net" xr:uid="{00000000-0004-0000-0500-000005000000}"/>
    <hyperlink ref="AZ92" r:id="rId7" display="http://www.hnb.net/" xr:uid="{00000000-0004-0000-0500-000006000000}"/>
    <hyperlink ref="AZ94" r:id="rId8" display="mailto:azfar.nomani@mcb.com.lk" xr:uid="{00000000-0004-0000-0500-000007000000}"/>
    <hyperlink ref="AZ97" r:id="rId9" display="mailto:contact@ndbbank.com" xr:uid="{00000000-0004-0000-0500-000008000000}"/>
    <hyperlink ref="AZ98" r:id="rId10" display="http://www.ndbbank.com/" xr:uid="{00000000-0004-0000-0500-000009000000}"/>
    <hyperlink ref="AZ100" r:id="rId11" display="mailto:info@nationstrust.com" xr:uid="{00000000-0004-0000-0500-00000A000000}"/>
    <hyperlink ref="AZ103" r:id="rId12" display="mailto:pabc@pabcbank.com" xr:uid="{00000000-0004-0000-0500-00000B000000}"/>
    <hyperlink ref="AZ104" r:id="rId13" display="http://www.pabcbank.com/" xr:uid="{00000000-0004-0000-0500-00000C000000}"/>
    <hyperlink ref="AZ106" r:id="rId14" display="mailto:info@peoplesbank.lk" xr:uid="{00000000-0004-0000-0500-00000D000000}"/>
    <hyperlink ref="AZ109" r:id="rId15" display="mailto:oper.mgr@sampath.lk" xr:uid="{00000000-0004-0000-0500-00000E000000}"/>
    <hyperlink ref="AZ112" r:id="rId16" display="mailto:info@seylan.lk" xr:uid="{00000000-0004-0000-0500-00000F000000}"/>
    <hyperlink ref="AZ113" r:id="rId17" display="http://www.eseylan.com/" xr:uid="{00000000-0004-0000-0500-000010000000}"/>
    <hyperlink ref="AZ115" r:id="rId18" display="mailto:ubc@unionb.com" xr:uid="{00000000-0004-0000-0500-000011000000}"/>
    <hyperlink ref="AZ118" r:id="rId19" display="mailto:info@dfccbank.com" xr:uid="{00000000-0004-0000-0500-000012000000}"/>
    <hyperlink ref="AZ121" r:id="rId20" display="mailto:info@lankaputhra.lk" xr:uid="{00000000-0004-0000-0500-000013000000}"/>
    <hyperlink ref="AZ122" r:id="rId21" display="http://www.lankaputhra.lk/" xr:uid="{00000000-0004-0000-0500-000014000000}"/>
    <hyperlink ref="AZ124" r:id="rId22" display="mailto:savingsbank@mbslsavingsbank.com" xr:uid="{00000000-0004-0000-0500-000015000000}"/>
    <hyperlink ref="AZ125" r:id="rId23" display="http://www.mbslsavingsbank.com/" xr:uid="{00000000-0004-0000-0500-000016000000}"/>
    <hyperlink ref="AZ127" r:id="rId24" display="mailto:siriwardener@rdb.lk" xr:uid="{00000000-0004-0000-0500-000017000000}"/>
    <hyperlink ref="AZ128" r:id="rId25" display="http://www.rdb.lk/" xr:uid="{00000000-0004-0000-0500-000018000000}"/>
    <hyperlink ref="AZ130" r:id="rId26" display="mailto:info@sdb.lk" xr:uid="{00000000-0004-0000-0500-000019000000}"/>
    <hyperlink ref="AZ131" r:id="rId27" display="http://www.sdb.lk/" xr:uid="{00000000-0004-0000-0500-00001A000000}"/>
    <hyperlink ref="AZ133" r:id="rId28" display="mailto:slsbl@sltnet.lk" xr:uid="{00000000-0004-0000-0500-00001B000000}"/>
    <hyperlink ref="AZ134" r:id="rId29" display="http://www.sdb.lk/" xr:uid="{00000000-0004-0000-0500-00001C000000}"/>
    <hyperlink ref="AZ136" r:id="rId30" display="mailto:aban@abansgroup.com" xr:uid="{00000000-0004-0000-0500-00001D000000}"/>
    <hyperlink ref="AZ137" r:id="rId31" display="http://www.abansgroup.com/" xr:uid="{00000000-0004-0000-0500-00001E000000}"/>
    <hyperlink ref="AZ139" r:id="rId32" display="mailto:info@alliancefinance.lk" xr:uid="{00000000-0004-0000-0500-00001F000000}"/>
    <hyperlink ref="AZ140" r:id="rId33" display="http://www.alliancefinance.lk/" xr:uid="{00000000-0004-0000-0500-000020000000}"/>
    <hyperlink ref="AZ143" r:id="rId34" display="http://www.amwltd.lk/" xr:uid="{00000000-0004-0000-0500-000021000000}"/>
    <hyperlink ref="AZ145" r:id="rId35" display="mailto:bedej@arpicofinance.com" xr:uid="{00000000-0004-0000-0500-000022000000}"/>
    <hyperlink ref="AZ146" r:id="rId36" display="http://www.arpicofinance.lk/" xr:uid="{00000000-0004-0000-0500-000023000000}"/>
    <hyperlink ref="AZ148" r:id="rId37" display="mailto:info@asiaassetfinance.lk" xr:uid="{00000000-0004-0000-0500-000024000000}"/>
    <hyperlink ref="AZ151" r:id="rId38" display="mailto:afl@asianfinance.lk" xr:uid="{00000000-0004-0000-0500-000025000000}"/>
    <hyperlink ref="AZ154" r:id="rId39" display="mailto:amfcoltd@sltnet.lk" xr:uid="{00000000-0004-0000-0500-000026000000}"/>
    <hyperlink ref="AZ157" r:id="rId40" display="mailto:bartfsl@bartleet.com" xr:uid="{00000000-0004-0000-0500-000027000000}"/>
    <hyperlink ref="AZ158" r:id="rId41" display="http://www.batrleetgroup.com/" xr:uid="{00000000-0004-0000-0500-000028000000}"/>
    <hyperlink ref="AZ160" r:id="rId42" display="mailto:bimputhlanka@daya-group.com" xr:uid="{00000000-0004-0000-0500-000029000000}"/>
    <hyperlink ref="AZ161" r:id="rId43" display="http://www.dayagroupofcompanies.com/" xr:uid="{00000000-0004-0000-0500-00002A000000}"/>
    <hyperlink ref="AZ163" r:id="rId44" display="mailto:silvereenkandy@sltnet.lk" xr:uid="{00000000-0004-0000-0500-00002B000000}"/>
    <hyperlink ref="AZ164" r:id="rId45" display="http://www.cbsl.gov.lk/htm/english/05_fss/popup/" xr:uid="{00000000-0004-0000-0500-00002C000000}"/>
    <hyperlink ref="AZ166" r:id="rId46" display="mailto:cenfin@cf.lk" xr:uid="{00000000-0004-0000-0500-00002D000000}"/>
    <hyperlink ref="AZ167" r:id="rId47" display="http://www.cf.lk/" xr:uid="{00000000-0004-0000-0500-00002E000000}"/>
    <hyperlink ref="AZ169" r:id="rId48" display="mailto:cifl@cifl.lk" xr:uid="{00000000-0004-0000-0500-00002F000000}"/>
    <hyperlink ref="AZ170" r:id="rId49" display="http://www.cifl.lk/" xr:uid="{00000000-0004-0000-0500-000030000000}"/>
    <hyperlink ref="AZ172" r:id="rId50" display="mailto:chifinco@gmail.com" xr:uid="{00000000-0004-0000-0500-000031000000}"/>
    <hyperlink ref="AZ175" r:id="rId51" display="mailto:cdb@cdb.lk" xr:uid="{00000000-0004-0000-0500-000032000000}"/>
    <hyperlink ref="AZ176" r:id="rId52" display="http://www.cdb.lk/" xr:uid="{00000000-0004-0000-0500-000033000000}"/>
    <hyperlink ref="AZ178" r:id="rId53" display="mailto:infoifl@infinltd.lk" xr:uid="{00000000-0004-0000-0500-000034000000}"/>
    <hyperlink ref="AZ179" r:id="rId54" display="http://www.ifl.lk/" xr:uid="{00000000-0004-0000-0500-000035000000}"/>
    <hyperlink ref="AZ181" r:id="rId55" display="mailto:ccl@cclk.lk" xr:uid="{00000000-0004-0000-0500-000036000000}"/>
    <hyperlink ref="AZ182" r:id="rId56" display="http://www.cclk.lk/" xr:uid="{00000000-0004-0000-0500-000037000000}"/>
    <hyperlink ref="AZ184" r:id="rId57" display="mailto:clc@.lk" xr:uid="{00000000-0004-0000-0500-000038000000}"/>
    <hyperlink ref="AZ185" r:id="rId58" display="http://www.clc.lk/" xr:uid="{00000000-0004-0000-0500-000039000000}"/>
    <hyperlink ref="AZ187" r:id="rId59" display="mailto:info@divasafinance.lk" xr:uid="{00000000-0004-0000-0500-00003A000000}"/>
    <hyperlink ref="AZ188" r:id="rId60" display="http://www.divasafinance.lk/" xr:uid="{00000000-0004-0000-0500-00003B000000}"/>
    <hyperlink ref="AZ190" r:id="rId61" display="mailto:info@eti.lk" xr:uid="{00000000-0004-0000-0500-00003C000000}"/>
    <hyperlink ref="AZ191" r:id="rId62" display="http://www.eti.lk/" xr:uid="{00000000-0004-0000-0500-00003D000000}"/>
    <hyperlink ref="AZ193" r:id="rId63" display="mailto:chandrin@kanrich.lk" xr:uid="{00000000-0004-0000-0500-00003E000000}"/>
    <hyperlink ref="AZ194" r:id="rId64" display="http://www.kanrich.lk/" xr:uid="{00000000-0004-0000-0500-00003F000000}"/>
    <hyperlink ref="AZ196" r:id="rId65" display="mailto:mail@lbfinance.lk" xr:uid="{00000000-0004-0000-0500-000040000000}"/>
    <hyperlink ref="AZ197" r:id="rId66" display="http://www.lbfinance.com/" xr:uid="{00000000-0004-0000-0500-000041000000}"/>
    <hyperlink ref="AZ199" r:id="rId67" display="mailto:lofin@lankaorix.com" xr:uid="{00000000-0004-0000-0500-000042000000}"/>
    <hyperlink ref="AZ200" r:id="rId68" display="http://www.lankaorix.com/" xr:uid="{00000000-0004-0000-0500-000043000000}"/>
    <hyperlink ref="AZ202" r:id="rId69" display="mailto:mercantile@mi.com.lk" xr:uid="{00000000-0004-0000-0500-000044000000}"/>
    <hyperlink ref="AZ203" r:id="rId70" display="http://www.mi.com.lk/" xr:uid="{00000000-0004-0000-0500-000045000000}"/>
    <hyperlink ref="AZ205" r:id="rId71" display="mailto:mcsl@mbslbank.com" xr:uid="{00000000-0004-0000-0500-000046000000}"/>
    <hyperlink ref="AZ206" r:id="rId72" display="http://www.mcsl.lk/" xr:uid="{00000000-0004-0000-0500-000047000000}"/>
    <hyperlink ref="AZ208" r:id="rId73" display="mailto:info@themultifinance.com" xr:uid="{00000000-0004-0000-0500-000048000000}"/>
    <hyperlink ref="AZ209" r:id="rId74" display="http://www.mcsl.lk/" xr:uid="{00000000-0004-0000-0500-000049000000}"/>
    <hyperlink ref="AZ211" r:id="rId75" display="mailto:info@nifl.lk" xr:uid="{00000000-0004-0000-0500-00004A000000}"/>
    <hyperlink ref="AZ214" r:id="rId76" display="mailto:bede@nflplc.com" xr:uid="{00000000-0004-0000-0500-00004B000000}"/>
    <hyperlink ref="AZ215" r:id="rId77" display="http://www.cbsl.gov.lk/htm/english/05_fss/popup/www.nflplc.lk/" xr:uid="{00000000-0004-0000-0500-00004C000000}"/>
    <hyperlink ref="AZ217" r:id="rId78" display="mailto:dinindus@plc.lk" xr:uid="{00000000-0004-0000-0500-00004D000000}"/>
    <hyperlink ref="AZ220" r:id="rId79" display="mailto:senk@senfin.com" xr:uid="{00000000-0004-0000-0500-00004E000000}"/>
    <hyperlink ref="AZ221" r:id="rId80" display="http://www.senfin.com/" xr:uid="{00000000-0004-0000-0500-00004F000000}"/>
    <hyperlink ref="AZ223" r:id="rId81" display="mailto:financecompany@singersl.com" xr:uid="{00000000-0004-0000-0500-000050000000}"/>
    <hyperlink ref="AZ224" r:id="rId82" display="http://www.singersl.com/" xr:uid="{00000000-0004-0000-0500-000051000000}"/>
    <hyperlink ref="AZ226" r:id="rId83" display="mailto:info@sinhaputhra.lk" xr:uid="{00000000-0004-0000-0500-000052000000}"/>
    <hyperlink ref="AZ227" r:id="rId84" display="http://www.sinhaputhra.lk/" xr:uid="{00000000-0004-0000-0500-000053000000}"/>
    <hyperlink ref="AZ229" r:id="rId85" display="mailto:info@softlogicfinance.lk" xr:uid="{00000000-0004-0000-0500-000054000000}"/>
    <hyperlink ref="AZ230" r:id="rId86" display="http://www.softlogicfinance.lk/" xr:uid="{00000000-0004-0000-0500-000055000000}"/>
    <hyperlink ref="AZ232" r:id="rId87" display="mailto:info@sfs.lk" xr:uid="{00000000-0004-0000-0500-000056000000}"/>
    <hyperlink ref="AZ233" r:id="rId88" display="http://www.sfs.lk/" xr:uid="{00000000-0004-0000-0500-000057000000}"/>
    <hyperlink ref="AZ235" r:id="rId89" display="mailto:info@fglk.com" xr:uid="{00000000-0004-0000-0500-000058000000}"/>
    <hyperlink ref="AZ236" r:id="rId90" display="http://www.fglk.com/" xr:uid="{00000000-0004-0000-0500-000059000000}"/>
    <hyperlink ref="AZ238" r:id="rId91" display="mailto:smi@thefinance.lk" xr:uid="{00000000-0004-0000-0500-00005A000000}"/>
    <hyperlink ref="AZ239" r:id="rId92" display="http://www.thefinance.lk/" xr:uid="{00000000-0004-0000-0500-00005B000000}"/>
    <hyperlink ref="AZ242" r:id="rId93" display="mailto:infomail@cir.lk" xr:uid="{00000000-0004-0000-0500-00005C000000}"/>
    <hyperlink ref="AZ245" r:id="rId94" display="mailto:tradefi@lankabiz.net" xr:uid="{00000000-0004-0000-0500-00005D000000}"/>
    <hyperlink ref="AZ248" r:id="rId95" display="mailto:info@vallibelfinance.com" xr:uid="{00000000-0004-0000-0500-00005E000000}"/>
    <hyperlink ref="AZ251" r:id="rId96" display="mailto:kushantha@dpmco.com" xr:uid="{00000000-0004-0000-0500-00005F000000}"/>
    <hyperlink ref="AZ252" r:id="rId97" display="http://www.assetline.lk/" xr:uid="{00000000-0004-0000-0500-000060000000}"/>
    <hyperlink ref="AZ254" r:id="rId98" display="mailto:%20ceylease@ceylease.lk" xr:uid="{00000000-0004-0000-0500-000061000000}"/>
    <hyperlink ref="AZ257" r:id="rId99" display="mailto:info@cooplease.com" xr:uid="{00000000-0004-0000-0500-000062000000}"/>
    <hyperlink ref="AZ258" r:id="rId100" display="http://www.cooplease.com./" xr:uid="{00000000-0004-0000-0500-000063000000}"/>
    <hyperlink ref="AZ260" r:id="rId101" display="mailto:indrafinance@sltnet.lk" xr:uid="{00000000-0004-0000-0500-000064000000}"/>
    <hyperlink ref="AZ263" r:id="rId102" display="mailto:lmewijesuriya@gmail.lk" xr:uid="{00000000-0004-0000-0500-000065000000}"/>
    <hyperlink ref="AZ266" r:id="rId103" display="mailto:koshilea@sltnet.lk" xr:uid="{00000000-0004-0000-0500-000066000000}"/>
    <hyperlink ref="AZ269" r:id="rId104" display="mailto:lisvin@lisvin.com" xr:uid="{00000000-0004-0000-0500-000067000000}"/>
    <hyperlink ref="AZ272" r:id="rId105" display="mailto:chrishathi@lankaorix.com" xr:uid="{00000000-0004-0000-0500-000068000000}"/>
    <hyperlink ref="AZ275" r:id="rId106" display="mailto:mbslbank@mbslbank.com" xr:uid="{00000000-0004-0000-0500-000069000000}"/>
    <hyperlink ref="AZ278" r:id="rId107" display="mailto:orientleasing@sltnet.lk" xr:uid="{00000000-0004-0000-0500-00006A000000}"/>
    <hyperlink ref="AZ281" r:id="rId108" display="mailto:dpkumarage@plc.lk" xr:uid="{00000000-0004-0000-0500-00006B000000}"/>
    <hyperlink ref="AZ284" r:id="rId109" display="mailto:info@pmb.lk" xr:uid="{00000000-0004-0000-0500-00006C000000}"/>
    <hyperlink ref="AZ285" r:id="rId110" display="http://www.peoplesmerchantbank.lk/" xr:uid="{00000000-0004-0000-0500-00006D000000}"/>
    <hyperlink ref="AZ287" r:id="rId111" display="mailto:roshan@sampath-slfl.lk" xr:uid="{00000000-0004-0000-0500-00006E000000}"/>
    <hyperlink ref="AZ290" r:id="rId112" display="mailto:smbhed@sltnet.lk" xr:uid="{00000000-0004-0000-0500-00006F000000}"/>
    <hyperlink ref="AZ291" r:id="rId113" display="http://www.smblk.com/" xr:uid="{00000000-0004-0000-0500-000070000000}"/>
    <hyperlink ref="AZ293" r:id="rId114" display="mailto:credit@softlogicfinance.lk" xr:uid="{00000000-0004-0000-0500-000071000000}"/>
  </hyperlinks>
  <printOptions horizontalCentered="1"/>
  <pageMargins left="0.75" right="0.5" top="1" bottom="0.5" header="0" footer="0"/>
  <pageSetup paperSize="9" scale="71" orientation="portrait" r:id="rId115"/>
  <headerFooter alignWithMargins="0"/>
  <drawing r:id="rId116"/>
  <legacyDrawing r:id="rId117"/>
  <legacyDrawingHF r:id="rId11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IT40"/>
  <sheetViews>
    <sheetView showGridLines="0" topLeftCell="IG1" workbookViewId="0">
      <selection activeCell="IR5" sqref="IR5"/>
    </sheetView>
  </sheetViews>
  <sheetFormatPr defaultColWidth="9.1796875" defaultRowHeight="25" customHeight="1" x14ac:dyDescent="0.25"/>
  <cols>
    <col min="1" max="1" width="13.453125" style="762" customWidth="1"/>
    <col min="2" max="2" width="9.1796875" style="762"/>
    <col min="3" max="3" width="6.1796875" style="762" customWidth="1"/>
    <col min="4" max="4" width="11.26953125" style="762" customWidth="1"/>
    <col min="5" max="5" width="5" style="762" customWidth="1"/>
    <col min="6" max="6" width="5.7265625" style="762" customWidth="1"/>
    <col min="7" max="7" width="23.1796875" style="762" customWidth="1"/>
    <col min="8" max="8" width="9.1796875" style="762"/>
    <col min="9" max="9" width="10.453125" style="762" customWidth="1"/>
    <col min="10" max="10" width="41.1796875" style="762" customWidth="1"/>
    <col min="11" max="12" width="9.1796875" style="762"/>
    <col min="13" max="13" width="1.81640625" style="762" customWidth="1"/>
    <col min="14" max="14" width="17.453125" style="762" customWidth="1"/>
    <col min="15" max="15" width="20.7265625" style="762" customWidth="1"/>
    <col min="16" max="16384" width="9.1796875" style="762"/>
  </cols>
  <sheetData>
    <row r="1" spans="1:254" ht="25" customHeight="1" thickBot="1" x14ac:dyDescent="0.35">
      <c r="A1" s="1655" t="s">
        <v>218</v>
      </c>
      <c r="B1" s="1656"/>
      <c r="C1" s="1656"/>
      <c r="D1" s="1657"/>
      <c r="E1" s="761"/>
    </row>
    <row r="2" spans="1:254" ht="14.25" customHeight="1" x14ac:dyDescent="0.25"/>
    <row r="3" spans="1:254" ht="20.25" customHeight="1" x14ac:dyDescent="0.3">
      <c r="A3" s="763"/>
      <c r="G3" s="764">
        <f>IF(IS5="January",1,IF(IS5="February",2,IF(IS5="March",3,IF(IS5="April",4,IF(IS5="May",5,IF(IS5="June",6,IF(IS5="July",7,IF(IS5="August",8,H3))))))))</f>
        <v>4</v>
      </c>
      <c r="H3" s="764">
        <f>IF(IS5="September",9,IF(IS5="October",10,IF(IS5="November",11,12)))</f>
        <v>12</v>
      </c>
      <c r="I3" s="765">
        <f>DATE(IR5,G3,IT5)</f>
        <v>45046</v>
      </c>
      <c r="J3" s="764">
        <f>IF(M3=0,29,28)</f>
        <v>28</v>
      </c>
      <c r="K3" s="766">
        <f>YEAR(I3)/4</f>
        <v>505.75</v>
      </c>
      <c r="L3" s="766">
        <f>ROUND(K3,0)</f>
        <v>506</v>
      </c>
      <c r="M3" s="764">
        <f>K3-L3</f>
        <v>-0.25</v>
      </c>
      <c r="N3" s="767" t="s">
        <v>235</v>
      </c>
      <c r="Q3" s="768" t="s">
        <v>206</v>
      </c>
    </row>
    <row r="4" spans="1:254" ht="25" customHeight="1" thickBot="1" x14ac:dyDescent="0.35">
      <c r="A4" s="769"/>
      <c r="G4" s="770"/>
      <c r="H4" s="770"/>
      <c r="I4" s="771"/>
      <c r="J4" s="771"/>
      <c r="K4" s="771"/>
      <c r="L4" s="761"/>
      <c r="M4" s="761"/>
      <c r="N4" s="772" t="s">
        <v>236</v>
      </c>
      <c r="O4" s="773" t="s">
        <v>177</v>
      </c>
      <c r="Q4" s="762">
        <v>1</v>
      </c>
      <c r="IR4" s="774" t="s">
        <v>204</v>
      </c>
      <c r="IS4" s="774" t="s">
        <v>205</v>
      </c>
      <c r="IT4" s="774" t="s">
        <v>206</v>
      </c>
    </row>
    <row r="5" spans="1:254" ht="25" customHeight="1" thickBot="1" x14ac:dyDescent="0.35">
      <c r="A5" s="763" t="s">
        <v>207</v>
      </c>
      <c r="C5" s="1658" t="str">
        <f>H5</f>
        <v/>
      </c>
      <c r="D5" s="1659"/>
      <c r="E5" s="1660"/>
      <c r="G5" s="770"/>
      <c r="H5" s="770" t="str">
        <f>IF('MC Working'!$H$65529=N4,O4,IF('MC Working'!$H$65529=N5,O5,IF('MC Working'!$H$65529=N6,O6,IF('MC Working'!$H$65529=N7,O7,IF('MC Working'!$H$65529=N8,O8,IF('MC Working'!$H$65529=N9,O9,IF('MC Working'!$H$65529=N10,O10,IF('MC Working'!$H$65529=N11,O11,I5))))))))</f>
        <v/>
      </c>
      <c r="I5" s="770" t="str">
        <f>IF('MC Working'!$H$65529=N12,O12,IF('MC Working'!$H$65529=N13,O13,IF('MC Working'!$H$65529=N14,O14,IF('MC Working'!$H$65529=N15,O15,IF('MC Working'!$H$65529=N16,O16,IF('MC Working'!$H$65529=N17,O17,IF('MC Working'!$H$65529=N18,O18,IF('MC Working'!$H$65529=N19,O19,J5))))))))</f>
        <v/>
      </c>
      <c r="J5" s="770" t="str">
        <f>IF('MC Working'!$H$65529=N20,O20,IF('MC Working'!$H$65529=N21,O21,IF('MC Working'!$H$65529=N22,O22,IF('MC Working'!$H$65529=N23,O23,IF('MC Working'!$H$65529=N24,O24,IF('MC Working'!$H$65529=N25,O25,IF('MC Working'!$H$65529=N26,O26,IF('MC Working'!$H$65529=N27,O27,K5))))))))</f>
        <v/>
      </c>
      <c r="K5" s="770" t="str">
        <f>IF('MC Working'!$H$65529=N28,O28,IF('MC Working'!$H$65529=N29,O29,IF('MC Working'!$H$65529=N30,O30,IF('MC Working'!$H$65529=N31,O31,""))))</f>
        <v/>
      </c>
      <c r="N5" s="772" t="s">
        <v>237</v>
      </c>
      <c r="O5" s="773" t="s">
        <v>178</v>
      </c>
      <c r="Q5" s="762">
        <f>Q4+1</f>
        <v>2</v>
      </c>
      <c r="IR5" s="775">
        <v>2023</v>
      </c>
      <c r="IS5" s="775" t="s">
        <v>346</v>
      </c>
      <c r="IT5" s="775">
        <v>30</v>
      </c>
    </row>
    <row r="6" spans="1:254" ht="25" customHeight="1" thickBot="1" x14ac:dyDescent="0.3">
      <c r="G6" s="770"/>
      <c r="H6" s="770"/>
      <c r="I6" s="770"/>
      <c r="J6" s="776" t="s">
        <v>417</v>
      </c>
      <c r="K6" s="770"/>
      <c r="N6" s="772" t="s">
        <v>241</v>
      </c>
      <c r="O6" s="773" t="s">
        <v>179</v>
      </c>
      <c r="Q6" s="762">
        <f t="shared" ref="Q6:Q31" si="0">Q5+1</f>
        <v>3</v>
      </c>
    </row>
    <row r="7" spans="1:254" ht="25" customHeight="1" thickBot="1" x14ac:dyDescent="0.35">
      <c r="A7" s="763" t="s">
        <v>208</v>
      </c>
      <c r="C7" s="762" t="s">
        <v>175</v>
      </c>
      <c r="F7" s="777" t="s">
        <v>78</v>
      </c>
      <c r="G7" s="770" t="str">
        <f t="shared" ref="G7:G17" si="1">IF(F7="Yes",C7,"")</f>
        <v>Motor Car</v>
      </c>
      <c r="H7" s="770">
        <f>IF(F7="Yes",1,0)</f>
        <v>1</v>
      </c>
      <c r="I7" s="770" t="str">
        <f>IF(H7=1,C7,IF(H8=1,C8,IF(H9=1,C9,IF(H10=1,C10,IF(H11=1,C16,IF(H12=1,C11,IF(I5=1,C12,IF(H14=1,C13,J15))))))))</f>
        <v>Motor Car</v>
      </c>
      <c r="J7" s="776" t="s">
        <v>382</v>
      </c>
      <c r="K7" s="770"/>
      <c r="N7" s="772" t="s">
        <v>239</v>
      </c>
      <c r="O7" s="773" t="s">
        <v>180</v>
      </c>
      <c r="Q7" s="762">
        <f t="shared" si="0"/>
        <v>4</v>
      </c>
      <c r="IR7" s="1661">
        <f>I3</f>
        <v>45046</v>
      </c>
      <c r="IS7" s="1661"/>
      <c r="IT7" s="1661"/>
    </row>
    <row r="8" spans="1:254" ht="17.149999999999999" customHeight="1" thickBot="1" x14ac:dyDescent="0.3">
      <c r="C8" s="762" t="s">
        <v>209</v>
      </c>
      <c r="F8" s="777" t="s">
        <v>78</v>
      </c>
      <c r="G8" s="770" t="str">
        <f t="shared" si="1"/>
        <v>Jeep</v>
      </c>
      <c r="H8" s="770">
        <f>IF(F8="Yes",1,0)</f>
        <v>1</v>
      </c>
      <c r="I8" s="770"/>
      <c r="J8" s="776" t="s">
        <v>383</v>
      </c>
      <c r="K8" s="770"/>
      <c r="N8" s="772" t="s">
        <v>240</v>
      </c>
      <c r="O8" s="773" t="s">
        <v>181</v>
      </c>
      <c r="Q8" s="762">
        <f t="shared" si="0"/>
        <v>5</v>
      </c>
    </row>
    <row r="9" spans="1:254" ht="17.149999999999999" customHeight="1" thickBot="1" x14ac:dyDescent="0.3">
      <c r="C9" s="762" t="s">
        <v>210</v>
      </c>
      <c r="F9" s="777" t="s">
        <v>78</v>
      </c>
      <c r="G9" s="770" t="str">
        <f t="shared" si="1"/>
        <v>Dual Purpose</v>
      </c>
      <c r="H9" s="770">
        <f>IF(F9="Yes",1,0)</f>
        <v>1</v>
      </c>
      <c r="I9" s="770"/>
      <c r="J9" s="776" t="s">
        <v>390</v>
      </c>
      <c r="K9" s="770"/>
      <c r="N9" s="772" t="s">
        <v>238</v>
      </c>
      <c r="O9" s="773" t="s">
        <v>182</v>
      </c>
      <c r="Q9" s="762">
        <f t="shared" si="0"/>
        <v>6</v>
      </c>
    </row>
    <row r="10" spans="1:254" ht="17.149999999999999" customHeight="1" thickBot="1" x14ac:dyDescent="0.3">
      <c r="C10" s="762" t="s">
        <v>211</v>
      </c>
      <c r="F10" s="777" t="s">
        <v>78</v>
      </c>
      <c r="G10" s="770" t="str">
        <f t="shared" si="1"/>
        <v>Motor Coach</v>
      </c>
      <c r="H10" s="770">
        <f>IF(F10="Yes",1,0)</f>
        <v>1</v>
      </c>
      <c r="I10" s="770"/>
      <c r="J10" s="776" t="s">
        <v>427</v>
      </c>
      <c r="K10" s="770"/>
      <c r="N10" s="772" t="s">
        <v>261</v>
      </c>
      <c r="O10" s="773" t="s">
        <v>183</v>
      </c>
      <c r="Q10" s="762">
        <f t="shared" si="0"/>
        <v>7</v>
      </c>
    </row>
    <row r="11" spans="1:254" ht="17.149999999999999" customHeight="1" thickBot="1" x14ac:dyDescent="0.3">
      <c r="C11" s="762" t="s">
        <v>359</v>
      </c>
      <c r="F11" s="777" t="s">
        <v>78</v>
      </c>
      <c r="G11" s="770" t="str">
        <f t="shared" si="1"/>
        <v>Motor Lorry</v>
      </c>
      <c r="H11" s="770">
        <f>IF(F16="Yes",1,0)</f>
        <v>1</v>
      </c>
      <c r="I11" s="770"/>
      <c r="J11" s="776" t="s">
        <v>431</v>
      </c>
      <c r="K11" s="770"/>
      <c r="N11" s="772" t="s">
        <v>242</v>
      </c>
      <c r="O11" s="773" t="s">
        <v>184</v>
      </c>
      <c r="Q11" s="762">
        <f t="shared" si="0"/>
        <v>8</v>
      </c>
    </row>
    <row r="12" spans="1:254" ht="17.149999999999999" customHeight="1" thickBot="1" x14ac:dyDescent="0.3">
      <c r="C12" s="762" t="s">
        <v>212</v>
      </c>
      <c r="F12" s="777" t="s">
        <v>78</v>
      </c>
      <c r="G12" s="770" t="str">
        <f t="shared" si="1"/>
        <v>Three Wheeler</v>
      </c>
      <c r="H12" s="770">
        <f>IF(F11="Yes",1,0)</f>
        <v>1</v>
      </c>
      <c r="I12" s="770"/>
      <c r="J12" s="776" t="s">
        <v>384</v>
      </c>
      <c r="K12" s="770"/>
      <c r="N12" s="772" t="s">
        <v>243</v>
      </c>
      <c r="O12" s="773" t="s">
        <v>185</v>
      </c>
      <c r="Q12" s="762">
        <f t="shared" si="0"/>
        <v>9</v>
      </c>
    </row>
    <row r="13" spans="1:254" ht="17.149999999999999" customHeight="1" thickBot="1" x14ac:dyDescent="0.3">
      <c r="C13" s="762" t="s">
        <v>214</v>
      </c>
      <c r="F13" s="777" t="s">
        <v>78</v>
      </c>
      <c r="G13" s="770" t="str">
        <f t="shared" si="1"/>
        <v>Motor Cycle (Chinese)</v>
      </c>
      <c r="H13" s="770">
        <f>IF(F12="Yes",1,0)</f>
        <v>1</v>
      </c>
      <c r="I13" s="770"/>
      <c r="J13" s="776" t="s">
        <v>416</v>
      </c>
      <c r="K13" s="770"/>
      <c r="N13" s="772" t="s">
        <v>262</v>
      </c>
      <c r="O13" s="773" t="s">
        <v>186</v>
      </c>
      <c r="Q13" s="762">
        <f t="shared" si="0"/>
        <v>10</v>
      </c>
    </row>
    <row r="14" spans="1:254" ht="17.149999999999999" customHeight="1" thickBot="1" x14ac:dyDescent="0.3">
      <c r="C14" s="762" t="s">
        <v>361</v>
      </c>
      <c r="F14" s="777" t="s">
        <v>78</v>
      </c>
      <c r="G14" s="770" t="str">
        <f t="shared" si="1"/>
        <v>Motor Cycle</v>
      </c>
      <c r="H14" s="770">
        <f>IF(F13="Yes",1,0)</f>
        <v>1</v>
      </c>
      <c r="I14" s="770"/>
      <c r="J14" s="776" t="s">
        <v>440</v>
      </c>
      <c r="K14" s="770"/>
      <c r="N14" s="772" t="s">
        <v>263</v>
      </c>
      <c r="O14" s="773" t="s">
        <v>187</v>
      </c>
      <c r="Q14" s="762">
        <f t="shared" si="0"/>
        <v>11</v>
      </c>
    </row>
    <row r="15" spans="1:254" ht="17.149999999999999" customHeight="1" thickBot="1" x14ac:dyDescent="0.3">
      <c r="C15" s="762" t="s">
        <v>215</v>
      </c>
      <c r="F15" s="777" t="s">
        <v>78</v>
      </c>
      <c r="G15" s="770" t="str">
        <f t="shared" si="1"/>
        <v>Tractor</v>
      </c>
      <c r="H15" s="770">
        <f>IF(F14="Yes",1,0)</f>
        <v>1</v>
      </c>
      <c r="I15" s="770"/>
      <c r="J15" s="776" t="s">
        <v>420</v>
      </c>
      <c r="K15" s="770"/>
      <c r="N15" s="772" t="s">
        <v>244</v>
      </c>
      <c r="O15" s="773" t="s">
        <v>188</v>
      </c>
      <c r="Q15" s="762">
        <f t="shared" si="0"/>
        <v>12</v>
      </c>
    </row>
    <row r="16" spans="1:254" ht="17.149999999999999" customHeight="1" thickBot="1" x14ac:dyDescent="0.3">
      <c r="C16" s="762" t="s">
        <v>213</v>
      </c>
      <c r="F16" s="777" t="s">
        <v>78</v>
      </c>
      <c r="G16" s="770" t="str">
        <f t="shared" si="1"/>
        <v>Motor Lorry (Chinese)</v>
      </c>
      <c r="H16" s="770">
        <f>IF(F15="Yes",1,0)</f>
        <v>1</v>
      </c>
      <c r="I16" s="770"/>
      <c r="J16" s="776" t="s">
        <v>424</v>
      </c>
      <c r="K16" s="770"/>
      <c r="N16" s="772" t="s">
        <v>245</v>
      </c>
      <c r="O16" s="773" t="s">
        <v>189</v>
      </c>
      <c r="Q16" s="762">
        <f t="shared" si="0"/>
        <v>13</v>
      </c>
    </row>
    <row r="17" spans="1:17" ht="17.149999999999999" customHeight="1" thickBot="1" x14ac:dyDescent="0.3">
      <c r="C17" s="762" t="s">
        <v>216</v>
      </c>
      <c r="F17" s="777" t="s">
        <v>78</v>
      </c>
      <c r="G17" s="770" t="str">
        <f t="shared" si="1"/>
        <v>Others</v>
      </c>
      <c r="H17" s="770">
        <f>IF(F17="Yes",1,0)</f>
        <v>1</v>
      </c>
      <c r="I17" s="778"/>
      <c r="J17" s="776" t="s">
        <v>391</v>
      </c>
      <c r="K17" s="770"/>
      <c r="N17" s="772" t="s">
        <v>246</v>
      </c>
      <c r="O17" s="773" t="s">
        <v>190</v>
      </c>
      <c r="Q17" s="762">
        <f t="shared" si="0"/>
        <v>14</v>
      </c>
    </row>
    <row r="18" spans="1:17" ht="17.149999999999999" customHeight="1" x14ac:dyDescent="0.25">
      <c r="H18" s="770"/>
      <c r="I18" s="778"/>
      <c r="J18" s="776" t="s">
        <v>386</v>
      </c>
      <c r="K18" s="770"/>
      <c r="N18" s="772" t="s">
        <v>247</v>
      </c>
      <c r="O18" s="773" t="s">
        <v>191</v>
      </c>
      <c r="Q18" s="762">
        <f t="shared" si="0"/>
        <v>15</v>
      </c>
    </row>
    <row r="19" spans="1:17" ht="17.149999999999999" customHeight="1" thickBot="1" x14ac:dyDescent="0.3">
      <c r="G19" s="770"/>
      <c r="H19" s="770"/>
      <c r="I19" s="770"/>
      <c r="J19" s="776" t="s">
        <v>387</v>
      </c>
      <c r="K19" s="770"/>
      <c r="N19" s="772" t="s">
        <v>248</v>
      </c>
      <c r="O19" s="773" t="s">
        <v>192</v>
      </c>
      <c r="Q19" s="762">
        <f t="shared" si="0"/>
        <v>16</v>
      </c>
    </row>
    <row r="20" spans="1:17" ht="17.149999999999999" customHeight="1" thickBot="1" x14ac:dyDescent="0.3">
      <c r="A20" s="779" t="s">
        <v>35</v>
      </c>
      <c r="C20" s="762" t="s">
        <v>323</v>
      </c>
      <c r="F20" s="777" t="s">
        <v>78</v>
      </c>
      <c r="G20" s="770" t="str">
        <f>IF(F20="Yes",C20,"")</f>
        <v>Private Use Only</v>
      </c>
      <c r="H20" s="770"/>
      <c r="I20" s="770" t="str">
        <f>IF(G20&lt;&gt;"",G20,IF(G21&lt;&gt;"",G21,IF(G22&lt;&gt;"",G22,IF(G23&lt;&gt;"",G23,IF(G24&lt;&gt;"",G24,"")))))</f>
        <v>Private Use Only</v>
      </c>
      <c r="J20" s="776" t="s">
        <v>429</v>
      </c>
      <c r="K20" s="770"/>
      <c r="N20" s="772" t="s">
        <v>249</v>
      </c>
      <c r="O20" s="773" t="s">
        <v>176</v>
      </c>
      <c r="Q20" s="762">
        <f t="shared" si="0"/>
        <v>17</v>
      </c>
    </row>
    <row r="21" spans="1:17" ht="17.149999999999999" customHeight="1" thickBot="1" x14ac:dyDescent="0.3">
      <c r="C21" s="762" t="s">
        <v>41</v>
      </c>
      <c r="F21" s="777" t="s">
        <v>78</v>
      </c>
      <c r="G21" s="770" t="str">
        <f>IF(F21="Yes",C21,"")</f>
        <v>Hiring</v>
      </c>
      <c r="I21" s="770" t="str">
        <f>IF(AND(G21&lt;&gt;"",G21&lt;&gt;I20),G21,IF(AND(G22&lt;&gt;"",G22&lt;&gt;I20),G22,IF(AND(G23&lt;&gt;"",G23&lt;&gt;I20),G23,IF(AND(G24&lt;&gt;"",G24&lt;&gt;I20),G24,""))))</f>
        <v>Hiring</v>
      </c>
      <c r="J21" s="776" t="s">
        <v>388</v>
      </c>
      <c r="K21" s="770"/>
      <c r="N21" s="772" t="s">
        <v>250</v>
      </c>
      <c r="O21" s="773" t="s">
        <v>193</v>
      </c>
      <c r="Q21" s="762">
        <f t="shared" si="0"/>
        <v>18</v>
      </c>
    </row>
    <row r="22" spans="1:17" ht="18" customHeight="1" thickBot="1" x14ac:dyDescent="0.3">
      <c r="C22" s="762" t="s">
        <v>7</v>
      </c>
      <c r="F22" s="777" t="s">
        <v>78</v>
      </c>
      <c r="G22" s="770" t="str">
        <f>IF(F22="Yes",C22,"")</f>
        <v>Rent A Vehicle</v>
      </c>
      <c r="H22" s="770"/>
      <c r="I22" s="770" t="str">
        <f>IF(AND(G22&lt;&gt;"",G22&lt;&gt;I21,G22&lt;&gt;I20),G22,IF(AND(G23&lt;&gt;"",G23&lt;&gt;I21,G23&lt;&gt;I20),G23,IF(AND(G24&lt;&gt;"",G24&lt;&gt;I20,G24&lt;&gt;I21),G24,"")))</f>
        <v>Rent A Vehicle</v>
      </c>
      <c r="J22" s="776" t="s">
        <v>423</v>
      </c>
      <c r="K22" s="770"/>
      <c r="N22" s="772" t="s">
        <v>251</v>
      </c>
      <c r="O22" s="773" t="s">
        <v>194</v>
      </c>
      <c r="Q22" s="762">
        <f t="shared" si="0"/>
        <v>19</v>
      </c>
    </row>
    <row r="23" spans="1:17" ht="18" customHeight="1" thickBot="1" x14ac:dyDescent="0.3">
      <c r="C23" s="762" t="s">
        <v>219</v>
      </c>
      <c r="F23" s="777" t="s">
        <v>78</v>
      </c>
      <c r="G23" s="770" t="str">
        <f>IF(F23="Yes",C23,"")</f>
        <v xml:space="preserve">SLTB Route </v>
      </c>
      <c r="H23" s="770"/>
      <c r="I23" s="770" t="str">
        <f>IF(AND(G23&lt;&gt;"",I20&lt;&gt;G23,I21&lt;&gt;G23,I22&lt;&gt;G23),G23,IF(AND(G24&lt;&gt;"",G24&lt;&gt;I20,G24&lt;&gt;I21,G24&lt;&gt;I22),G24,""))</f>
        <v xml:space="preserve">SLTB Route </v>
      </c>
      <c r="J23" s="776" t="s">
        <v>422</v>
      </c>
      <c r="K23" s="770"/>
      <c r="N23" s="772" t="s">
        <v>252</v>
      </c>
      <c r="O23" s="773" t="s">
        <v>195</v>
      </c>
      <c r="Q23" s="762">
        <f t="shared" si="0"/>
        <v>20</v>
      </c>
    </row>
    <row r="24" spans="1:17" ht="18" customHeight="1" thickBot="1" x14ac:dyDescent="0.3">
      <c r="C24" s="762" t="s">
        <v>221</v>
      </c>
      <c r="F24" s="777" t="s">
        <v>114</v>
      </c>
      <c r="G24" s="770" t="str">
        <f>IF(F24="Yes",C24,"")</f>
        <v/>
      </c>
      <c r="H24" s="770"/>
      <c r="I24" s="770" t="str">
        <f>IF(AND(G24&lt;&gt;"",I21&lt;&gt;G24,I22&lt;&gt;G24,I23&lt;&gt;G24,G24&lt;&gt;I20),G24,"")</f>
        <v/>
      </c>
      <c r="J24" s="776" t="s">
        <v>432</v>
      </c>
      <c r="K24" s="770"/>
      <c r="N24" s="772" t="s">
        <v>253</v>
      </c>
      <c r="O24" s="773" t="s">
        <v>196</v>
      </c>
      <c r="Q24" s="762">
        <f t="shared" si="0"/>
        <v>21</v>
      </c>
    </row>
    <row r="25" spans="1:17" ht="18" customHeight="1" x14ac:dyDescent="0.25">
      <c r="G25" s="770"/>
      <c r="H25" s="770"/>
      <c r="I25" s="770"/>
      <c r="J25" s="776" t="s">
        <v>419</v>
      </c>
      <c r="K25" s="770"/>
      <c r="N25" s="772" t="s">
        <v>254</v>
      </c>
      <c r="O25" s="773" t="s">
        <v>197</v>
      </c>
      <c r="Q25" s="762">
        <f t="shared" si="0"/>
        <v>22</v>
      </c>
    </row>
    <row r="26" spans="1:17" ht="18" customHeight="1" thickBot="1" x14ac:dyDescent="0.3">
      <c r="G26" s="770"/>
      <c r="H26" s="770"/>
      <c r="I26" s="770"/>
      <c r="J26" s="776" t="s">
        <v>394</v>
      </c>
      <c r="K26" s="770"/>
      <c r="N26" s="772" t="s">
        <v>255</v>
      </c>
      <c r="O26" s="773" t="s">
        <v>198</v>
      </c>
      <c r="Q26" s="762">
        <f t="shared" si="0"/>
        <v>23</v>
      </c>
    </row>
    <row r="27" spans="1:17" ht="25" customHeight="1" thickBot="1" x14ac:dyDescent="0.35">
      <c r="A27" s="780" t="s">
        <v>217</v>
      </c>
      <c r="F27" s="777" t="s">
        <v>78</v>
      </c>
      <c r="G27" s="770"/>
      <c r="H27" s="770"/>
      <c r="I27" s="770"/>
      <c r="J27" s="776" t="s">
        <v>418</v>
      </c>
      <c r="K27" s="770"/>
      <c r="N27" s="772" t="s">
        <v>256</v>
      </c>
      <c r="O27" s="773" t="s">
        <v>199</v>
      </c>
      <c r="Q27" s="762">
        <f t="shared" si="0"/>
        <v>24</v>
      </c>
    </row>
    <row r="28" spans="1:17" ht="25" customHeight="1" thickBot="1" x14ac:dyDescent="0.3">
      <c r="G28" s="770"/>
      <c r="H28" s="770"/>
      <c r="I28" s="770"/>
      <c r="J28" s="776" t="s">
        <v>426</v>
      </c>
      <c r="K28" s="770"/>
      <c r="N28" s="772" t="s">
        <v>257</v>
      </c>
      <c r="O28" s="773" t="s">
        <v>200</v>
      </c>
      <c r="Q28" s="762">
        <f t="shared" si="0"/>
        <v>25</v>
      </c>
    </row>
    <row r="29" spans="1:17" ht="25" customHeight="1" thickBot="1" x14ac:dyDescent="0.35">
      <c r="A29" s="763" t="s">
        <v>278</v>
      </c>
      <c r="C29" s="781"/>
      <c r="F29" s="782">
        <v>19</v>
      </c>
      <c r="G29" s="770"/>
      <c r="I29" s="770"/>
      <c r="J29" s="776" t="s">
        <v>428</v>
      </c>
      <c r="K29" s="770"/>
      <c r="N29" s="772" t="s">
        <v>258</v>
      </c>
      <c r="O29" s="773" t="s">
        <v>201</v>
      </c>
      <c r="Q29" s="762">
        <f t="shared" si="0"/>
        <v>26</v>
      </c>
    </row>
    <row r="30" spans="1:17" ht="25" customHeight="1" thickBot="1" x14ac:dyDescent="0.3">
      <c r="G30" s="770"/>
      <c r="H30" s="770"/>
      <c r="I30" s="770"/>
      <c r="J30" s="776" t="s">
        <v>441</v>
      </c>
      <c r="K30" s="770"/>
      <c r="N30" s="772" t="s">
        <v>259</v>
      </c>
      <c r="O30" s="773" t="s">
        <v>202</v>
      </c>
      <c r="Q30" s="762">
        <f t="shared" si="0"/>
        <v>27</v>
      </c>
    </row>
    <row r="31" spans="1:17" ht="25" customHeight="1" thickBot="1" x14ac:dyDescent="0.35">
      <c r="A31" s="763" t="s">
        <v>289</v>
      </c>
      <c r="C31" s="781"/>
      <c r="F31" s="777" t="s">
        <v>78</v>
      </c>
      <c r="J31" s="776" t="s">
        <v>430</v>
      </c>
      <c r="N31" s="772" t="s">
        <v>260</v>
      </c>
      <c r="O31" s="773" t="s">
        <v>203</v>
      </c>
      <c r="Q31" s="762">
        <f t="shared" si="0"/>
        <v>28</v>
      </c>
    </row>
    <row r="32" spans="1:17" ht="8.25" customHeight="1" x14ac:dyDescent="0.25">
      <c r="A32" s="1662" t="str">
        <f>IF(F31="Yes","I hereby declare that I have read and understood the terms and conditions of the covers provided under this quote and agree to them.","")</f>
        <v>I hereby declare that I have read and understood the terms and conditions of the covers provided under this quote and agree to them.</v>
      </c>
      <c r="B32" s="1662"/>
      <c r="C32" s="1662"/>
      <c r="D32" s="1662"/>
      <c r="E32" s="1662"/>
      <c r="F32" s="1662"/>
      <c r="G32" s="1662"/>
      <c r="J32" s="776" t="s">
        <v>421</v>
      </c>
      <c r="N32" s="772"/>
      <c r="Q32" s="762">
        <f>IF(AND(M3&lt;&gt;0,G3=2),"",29)</f>
        <v>29</v>
      </c>
    </row>
    <row r="33" spans="1:17" ht="25" customHeight="1" x14ac:dyDescent="0.25">
      <c r="A33" s="1662"/>
      <c r="B33" s="1662"/>
      <c r="C33" s="1662"/>
      <c r="D33" s="1662"/>
      <c r="E33" s="1662"/>
      <c r="F33" s="1662"/>
      <c r="G33" s="1662"/>
      <c r="J33" s="776" t="s">
        <v>389</v>
      </c>
      <c r="N33" s="772"/>
      <c r="Q33" s="762">
        <f>IF(G3=2,"",30)</f>
        <v>30</v>
      </c>
    </row>
    <row r="34" spans="1:17" ht="25" customHeight="1" x14ac:dyDescent="0.25">
      <c r="I34" s="783" t="s">
        <v>443</v>
      </c>
      <c r="J34" s="776"/>
      <c r="N34" s="772"/>
      <c r="Q34" s="762" t="str">
        <f>IF(OR(G3=2,G3=4,G3=6,G3=9,G3=11),"",31)</f>
        <v/>
      </c>
    </row>
    <row r="35" spans="1:17" ht="25" customHeight="1" x14ac:dyDescent="0.25">
      <c r="J35" s="776"/>
      <c r="N35" s="772"/>
    </row>
    <row r="36" spans="1:17" ht="25" customHeight="1" x14ac:dyDescent="0.25">
      <c r="J36" s="776"/>
    </row>
    <row r="37" spans="1:17" ht="25" customHeight="1" x14ac:dyDescent="0.25">
      <c r="J37" s="776"/>
    </row>
    <row r="38" spans="1:17" ht="25" customHeight="1" x14ac:dyDescent="0.25">
      <c r="J38" s="776"/>
    </row>
    <row r="39" spans="1:17" ht="25" customHeight="1" x14ac:dyDescent="0.25">
      <c r="J39" s="776"/>
    </row>
    <row r="40" spans="1:17" ht="25" customHeight="1" x14ac:dyDescent="0.25">
      <c r="J40" s="776"/>
    </row>
  </sheetData>
  <dataConsolidate/>
  <mergeCells count="4">
    <mergeCell ref="A1:D1"/>
    <mergeCell ref="C5:E5"/>
    <mergeCell ref="IR7:IT7"/>
    <mergeCell ref="A32:G33"/>
  </mergeCells>
  <conditionalFormatting sqref="F27 F20:F24 F7:F17 F31">
    <cfRule type="cellIs" dxfId="169" priority="1" stopIfTrue="1" operator="equal">
      <formula>"No"</formula>
    </cfRule>
  </conditionalFormatting>
  <dataValidations count="6">
    <dataValidation type="list" allowBlank="1" showInputMessage="1" showErrorMessage="1" sqref="IS5" xr:uid="{00000000-0002-0000-0600-000000000000}">
      <formula1>"January,February,March,April,May,June,July,August,September,October,November,December"</formula1>
    </dataValidation>
    <dataValidation type="list" allowBlank="1" showInputMessage="1" showErrorMessage="1" sqref="IT5" xr:uid="{00000000-0002-0000-0600-000001000000}">
      <formula1>Date</formula1>
    </dataValidation>
    <dataValidation type="list" allowBlank="1" showInputMessage="1" showErrorMessage="1" sqref="IR5" xr:uid="{00000000-0002-0000-0600-000002000000}">
      <formula1>"2021,2023"</formula1>
    </dataValidation>
    <dataValidation type="list" allowBlank="1" showInputMessage="1" showErrorMessage="1" sqref="F27 F31 F7:F17 F20:F24" xr:uid="{00000000-0002-0000-0600-000003000000}">
      <formula1>"Yes,No"</formula1>
    </dataValidation>
    <dataValidation type="list" allowBlank="1" showInputMessage="1" showErrorMessage="1" sqref="C5" xr:uid="{00000000-0002-0000-0600-000004000000}">
      <formula1>Branch</formula1>
    </dataValidation>
    <dataValidation type="list" allowBlank="1" showInputMessage="1" showErrorMessage="1" sqref="F29" xr:uid="{00000000-0002-0000-0600-000005000000}">
      <formula1>"10,11,12,13,14,15,16,17,18,19,20,21,22,23,24,25,26,27,28,29,30"</formula1>
    </dataValidation>
  </dataValidations>
  <pageMargins left="0.75" right="0.75" top="1" bottom="1"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tabColor indexed="44"/>
    <pageSetUpPr fitToPage="1"/>
  </sheetPr>
  <dimension ref="A1:S104"/>
  <sheetViews>
    <sheetView topLeftCell="A10" workbookViewId="0">
      <selection activeCell="D20" sqref="D20"/>
    </sheetView>
  </sheetViews>
  <sheetFormatPr defaultColWidth="9.1796875" defaultRowHeight="20.149999999999999" customHeight="1" x14ac:dyDescent="0.25"/>
  <cols>
    <col min="1" max="1" width="3.1796875" style="781" customWidth="1"/>
    <col min="2" max="2" width="25.26953125" style="781" customWidth="1"/>
    <col min="3" max="3" width="1.7265625" style="781" customWidth="1"/>
    <col min="4" max="4" width="6.26953125" style="781" customWidth="1"/>
    <col min="5" max="5" width="2.453125" style="781" customWidth="1"/>
    <col min="6" max="6" width="7.26953125" style="781" customWidth="1"/>
    <col min="7" max="8" width="7" style="785" customWidth="1"/>
    <col min="9" max="9" width="2.7265625" style="781" customWidth="1"/>
    <col min="10" max="10" width="25.1796875" style="781" customWidth="1"/>
    <col min="11" max="11" width="7.7265625" style="781" customWidth="1"/>
    <col min="12" max="12" width="20.54296875" style="781" customWidth="1"/>
    <col min="13" max="13" width="8.81640625" style="781" customWidth="1"/>
    <col min="14" max="14" width="15.81640625" style="781" customWidth="1"/>
    <col min="15" max="15" width="10.26953125" style="781" customWidth="1"/>
    <col min="16" max="16" width="3.453125" style="781" customWidth="1"/>
    <col min="17" max="17" width="9.1796875" style="781"/>
    <col min="18" max="18" width="11.1796875" style="781" customWidth="1"/>
    <col min="19" max="21" width="9.1796875" style="781"/>
    <col min="22" max="22" width="7.26953125" style="781" customWidth="1"/>
    <col min="23" max="23" width="12.453125" style="781" customWidth="1"/>
    <col min="24" max="24" width="6" style="781" customWidth="1"/>
    <col min="25" max="16384" width="9.1796875" style="781"/>
  </cols>
  <sheetData>
    <row r="1" spans="1:19" ht="20.149999999999999" customHeight="1" thickBot="1" x14ac:dyDescent="0.3">
      <c r="A1" s="781">
        <f ca="1">YEAR(B1)</f>
        <v>2024</v>
      </c>
      <c r="B1" s="784">
        <f ca="1">TODAY()</f>
        <v>45346</v>
      </c>
      <c r="F1" s="1665" t="s">
        <v>156</v>
      </c>
      <c r="L1" s="786"/>
    </row>
    <row r="2" spans="1:19" ht="20.149999999999999" customHeight="1" thickTop="1" thickBot="1" x14ac:dyDescent="0.4">
      <c r="A2" s="787" t="s">
        <v>55</v>
      </c>
      <c r="B2" s="788"/>
      <c r="F2" s="1665"/>
      <c r="G2" s="789" t="s">
        <v>358</v>
      </c>
      <c r="H2" s="789" t="s">
        <v>362</v>
      </c>
      <c r="I2" s="1666" t="s">
        <v>57</v>
      </c>
      <c r="J2" s="1667"/>
      <c r="L2" s="786"/>
    </row>
    <row r="3" spans="1:19" ht="20.149999999999999" customHeight="1" thickTop="1" thickBot="1" x14ac:dyDescent="0.4">
      <c r="A3" s="790">
        <v>1</v>
      </c>
      <c r="B3" s="791" t="s">
        <v>50</v>
      </c>
      <c r="C3" s="792" t="s">
        <v>51</v>
      </c>
      <c r="D3" s="793">
        <f>IF('MC Working'!M12="Above 250cc",10,IF(AND(MC!B13=1,MC!T13="Ijarah"),5,2.2))</f>
        <v>2.2000000000000002</v>
      </c>
      <c r="E3" s="794" t="s">
        <v>56</v>
      </c>
      <c r="F3" s="795">
        <v>2</v>
      </c>
      <c r="I3" s="796">
        <v>1</v>
      </c>
      <c r="J3" s="797" t="s">
        <v>171</v>
      </c>
      <c r="K3" s="798">
        <v>0.2</v>
      </c>
      <c r="L3" s="799" t="s">
        <v>72</v>
      </c>
      <c r="M3" s="800"/>
      <c r="N3" s="1668" t="s">
        <v>142</v>
      </c>
      <c r="O3" s="1669"/>
      <c r="P3" s="1670"/>
      <c r="Q3" s="801" t="s">
        <v>139</v>
      </c>
      <c r="R3" s="802" t="s">
        <v>58</v>
      </c>
    </row>
    <row r="4" spans="1:19" ht="20.149999999999999" customHeight="1" thickTop="1" x14ac:dyDescent="0.35">
      <c r="A4" s="803">
        <f>A3+1</f>
        <v>2</v>
      </c>
      <c r="B4" s="804" t="s">
        <v>52</v>
      </c>
      <c r="C4" s="805" t="s">
        <v>51</v>
      </c>
      <c r="D4" s="806">
        <f>IF('MC Working'!M12="Above 250cc",10,IF(AND(MC!B13=1,MC!T13="Ijarah"),5,2.2))</f>
        <v>2.2000000000000002</v>
      </c>
      <c r="E4" s="807" t="s">
        <v>56</v>
      </c>
      <c r="F4" s="808">
        <v>2</v>
      </c>
      <c r="I4" s="809"/>
      <c r="J4" s="810" t="s">
        <v>170</v>
      </c>
      <c r="K4" s="811">
        <v>0.25</v>
      </c>
      <c r="L4" s="812" t="s">
        <v>72</v>
      </c>
      <c r="M4" s="813"/>
      <c r="N4" s="1671" t="s">
        <v>140</v>
      </c>
      <c r="O4" s="1672"/>
      <c r="P4" s="1672"/>
      <c r="Q4" s="814">
        <v>7.0000000000000007E-2</v>
      </c>
      <c r="R4" s="815">
        <v>2.5000000000000001E-2</v>
      </c>
    </row>
    <row r="5" spans="1:19" ht="20.149999999999999" customHeight="1" x14ac:dyDescent="0.35">
      <c r="A5" s="816">
        <f t="shared" ref="A5:A14" si="0">A4+1</f>
        <v>3</v>
      </c>
      <c r="B5" s="817" t="s">
        <v>155</v>
      </c>
      <c r="C5" s="818" t="s">
        <v>51</v>
      </c>
      <c r="D5" s="819">
        <v>2</v>
      </c>
      <c r="E5" s="820" t="s">
        <v>56</v>
      </c>
      <c r="F5" s="821">
        <v>20</v>
      </c>
      <c r="I5" s="822">
        <f>I3+1</f>
        <v>2</v>
      </c>
      <c r="J5" s="823" t="s">
        <v>172</v>
      </c>
      <c r="K5" s="824">
        <v>0.05</v>
      </c>
      <c r="L5" s="825" t="s">
        <v>72</v>
      </c>
      <c r="M5" s="826"/>
      <c r="N5" s="1673" t="s">
        <v>149</v>
      </c>
      <c r="O5" s="1674"/>
      <c r="P5" s="1674"/>
      <c r="Q5" s="827">
        <v>0.04</v>
      </c>
      <c r="R5" s="828">
        <v>1.2500000000000001E-2</v>
      </c>
    </row>
    <row r="6" spans="1:19" ht="20.149999999999999" customHeight="1" x14ac:dyDescent="0.35">
      <c r="A6" s="803">
        <f t="shared" si="0"/>
        <v>4</v>
      </c>
      <c r="B6" s="804" t="s">
        <v>160</v>
      </c>
      <c r="C6" s="805" t="s">
        <v>51</v>
      </c>
      <c r="D6" s="829">
        <v>2.25</v>
      </c>
      <c r="E6" s="807" t="s">
        <v>56</v>
      </c>
      <c r="F6" s="808">
        <v>5</v>
      </c>
      <c r="I6" s="822"/>
      <c r="J6" s="830" t="s">
        <v>170</v>
      </c>
      <c r="K6" s="824">
        <v>6.25E-2</v>
      </c>
      <c r="L6" s="825" t="s">
        <v>72</v>
      </c>
      <c r="M6" s="826"/>
      <c r="N6" s="1673" t="s">
        <v>148</v>
      </c>
      <c r="O6" s="1674"/>
      <c r="P6" s="1674"/>
      <c r="Q6" s="827">
        <v>3.7499999999999999E-2</v>
      </c>
      <c r="R6" s="828">
        <v>1.2500000000000001E-2</v>
      </c>
    </row>
    <row r="7" spans="1:19" ht="20.149999999999999" customHeight="1" thickBot="1" x14ac:dyDescent="0.4">
      <c r="A7" s="816">
        <f t="shared" si="0"/>
        <v>5</v>
      </c>
      <c r="B7" s="817" t="s">
        <v>161</v>
      </c>
      <c r="C7" s="818" t="s">
        <v>51</v>
      </c>
      <c r="D7" s="819">
        <v>2</v>
      </c>
      <c r="E7" s="820" t="s">
        <v>56</v>
      </c>
      <c r="F7" s="821">
        <v>5</v>
      </c>
      <c r="I7" s="809">
        <f>I5+1</f>
        <v>3</v>
      </c>
      <c r="J7" s="831" t="s">
        <v>59</v>
      </c>
      <c r="K7" s="811"/>
      <c r="L7" s="812"/>
      <c r="M7" s="813"/>
      <c r="N7" s="1675" t="s">
        <v>141</v>
      </c>
      <c r="O7" s="1676"/>
      <c r="P7" s="1676"/>
      <c r="Q7" s="832">
        <v>0.05</v>
      </c>
      <c r="R7" s="833">
        <v>1250</v>
      </c>
    </row>
    <row r="8" spans="1:19" ht="20.149999999999999" customHeight="1" thickTop="1" thickBot="1" x14ac:dyDescent="0.4">
      <c r="A8" s="803">
        <f t="shared" si="0"/>
        <v>6</v>
      </c>
      <c r="B8" s="804" t="s">
        <v>163</v>
      </c>
      <c r="C8" s="805" t="s">
        <v>51</v>
      </c>
      <c r="D8" s="829">
        <v>2.25</v>
      </c>
      <c r="E8" s="807" t="s">
        <v>56</v>
      </c>
      <c r="F8" s="808">
        <v>7</v>
      </c>
      <c r="I8" s="809"/>
      <c r="J8" s="812" t="s">
        <v>68</v>
      </c>
      <c r="K8" s="811">
        <v>50</v>
      </c>
      <c r="L8" s="812" t="s">
        <v>61</v>
      </c>
      <c r="M8" s="813"/>
      <c r="N8" s="1668" t="s">
        <v>40</v>
      </c>
      <c r="O8" s="1669"/>
      <c r="P8" s="1670"/>
      <c r="Q8" s="832">
        <v>0.15</v>
      </c>
      <c r="R8" s="833">
        <v>0.25</v>
      </c>
      <c r="S8" s="781" t="s">
        <v>145</v>
      </c>
    </row>
    <row r="9" spans="1:19" ht="20.149999999999999" customHeight="1" thickTop="1" thickBot="1" x14ac:dyDescent="0.4">
      <c r="A9" s="816">
        <f t="shared" si="0"/>
        <v>7</v>
      </c>
      <c r="B9" s="817" t="s">
        <v>162</v>
      </c>
      <c r="C9" s="818" t="s">
        <v>51</v>
      </c>
      <c r="D9" s="819">
        <v>2</v>
      </c>
      <c r="E9" s="820" t="s">
        <v>56</v>
      </c>
      <c r="F9" s="821">
        <v>7</v>
      </c>
      <c r="I9" s="809"/>
      <c r="J9" s="812" t="s">
        <v>67</v>
      </c>
      <c r="K9" s="811">
        <v>25</v>
      </c>
      <c r="L9" s="812" t="s">
        <v>61</v>
      </c>
      <c r="M9" s="813"/>
      <c r="N9" s="1677" t="s">
        <v>143</v>
      </c>
      <c r="O9" s="1677"/>
      <c r="P9" s="1677"/>
      <c r="Q9" s="832">
        <v>15</v>
      </c>
      <c r="R9" s="833">
        <v>3.7499999999999999E-2</v>
      </c>
      <c r="S9" s="781" t="s">
        <v>144</v>
      </c>
    </row>
    <row r="10" spans="1:19" ht="20.149999999999999" customHeight="1" thickTop="1" x14ac:dyDescent="0.35">
      <c r="A10" s="803">
        <f t="shared" si="0"/>
        <v>8</v>
      </c>
      <c r="B10" s="804" t="s">
        <v>317</v>
      </c>
      <c r="C10" s="805" t="s">
        <v>51</v>
      </c>
      <c r="D10" s="829">
        <f>'MC Working'!K8*100</f>
        <v>1.25</v>
      </c>
      <c r="E10" s="807" t="s">
        <v>56</v>
      </c>
      <c r="F10" s="808">
        <v>5</v>
      </c>
      <c r="I10" s="809"/>
      <c r="J10" s="812" t="s">
        <v>66</v>
      </c>
      <c r="K10" s="811">
        <v>25</v>
      </c>
      <c r="L10" s="812" t="s">
        <v>61</v>
      </c>
      <c r="M10" s="813"/>
    </row>
    <row r="11" spans="1:19" ht="20.149999999999999" customHeight="1" x14ac:dyDescent="0.35">
      <c r="A11" s="816">
        <f t="shared" si="0"/>
        <v>9</v>
      </c>
      <c r="B11" s="817" t="s">
        <v>154</v>
      </c>
      <c r="C11" s="818" t="s">
        <v>51</v>
      </c>
      <c r="D11" s="819">
        <v>1</v>
      </c>
      <c r="E11" s="820" t="s">
        <v>56</v>
      </c>
      <c r="F11" s="821">
        <v>60</v>
      </c>
      <c r="I11" s="822">
        <v>4</v>
      </c>
      <c r="J11" s="823" t="s">
        <v>63</v>
      </c>
      <c r="K11" s="824">
        <v>10</v>
      </c>
      <c r="L11" s="825" t="s">
        <v>69</v>
      </c>
      <c r="M11" s="826"/>
    </row>
    <row r="12" spans="1:19" ht="20.149999999999999" customHeight="1" x14ac:dyDescent="0.35">
      <c r="A12" s="803">
        <f t="shared" si="0"/>
        <v>10</v>
      </c>
      <c r="B12" s="804" t="s">
        <v>53</v>
      </c>
      <c r="C12" s="805" t="s">
        <v>51</v>
      </c>
      <c r="D12" s="829">
        <v>1.75</v>
      </c>
      <c r="E12" s="807" t="s">
        <v>56</v>
      </c>
      <c r="F12" s="808">
        <v>4</v>
      </c>
      <c r="I12" s="809">
        <f>I11+1</f>
        <v>5</v>
      </c>
      <c r="J12" s="834" t="s">
        <v>64</v>
      </c>
      <c r="K12" s="811">
        <v>10</v>
      </c>
      <c r="L12" s="812" t="s">
        <v>70</v>
      </c>
      <c r="M12" s="813"/>
    </row>
    <row r="13" spans="1:19" ht="20.149999999999999" customHeight="1" thickBot="1" x14ac:dyDescent="0.4">
      <c r="A13" s="816">
        <f t="shared" si="0"/>
        <v>11</v>
      </c>
      <c r="B13" s="835" t="s">
        <v>54</v>
      </c>
      <c r="C13" s="836" t="s">
        <v>51</v>
      </c>
      <c r="D13" s="837">
        <v>0.8</v>
      </c>
      <c r="E13" s="838" t="s">
        <v>56</v>
      </c>
      <c r="F13" s="839">
        <v>4</v>
      </c>
      <c r="I13" s="822">
        <f>I12+1</f>
        <v>6</v>
      </c>
      <c r="J13" s="823" t="s">
        <v>11</v>
      </c>
      <c r="K13" s="824">
        <v>15</v>
      </c>
      <c r="L13" s="825" t="s">
        <v>69</v>
      </c>
      <c r="M13" s="826"/>
    </row>
    <row r="14" spans="1:19" ht="20.149999999999999" customHeight="1" thickTop="1" thickBot="1" x14ac:dyDescent="0.4">
      <c r="A14" s="803">
        <f t="shared" si="0"/>
        <v>12</v>
      </c>
      <c r="B14" s="840" t="s">
        <v>164</v>
      </c>
      <c r="C14" s="805" t="s">
        <v>51</v>
      </c>
      <c r="D14" s="841">
        <v>0.8</v>
      </c>
      <c r="E14" s="842" t="s">
        <v>56</v>
      </c>
      <c r="F14" s="843">
        <v>4</v>
      </c>
      <c r="I14" s="809">
        <f>I13+1</f>
        <v>7</v>
      </c>
      <c r="J14" s="834" t="s">
        <v>46</v>
      </c>
      <c r="K14" s="811">
        <v>30</v>
      </c>
      <c r="L14" s="812" t="s">
        <v>69</v>
      </c>
      <c r="M14" s="844" t="s">
        <v>126</v>
      </c>
    </row>
    <row r="15" spans="1:19" ht="20.149999999999999" customHeight="1" thickTop="1" thickBot="1" x14ac:dyDescent="0.4">
      <c r="A15" s="816">
        <f>A14+1</f>
        <v>13</v>
      </c>
      <c r="B15" s="835" t="s">
        <v>167</v>
      </c>
      <c r="C15" s="836" t="s">
        <v>51</v>
      </c>
      <c r="D15" s="837">
        <v>2</v>
      </c>
      <c r="E15" s="838" t="s">
        <v>56</v>
      </c>
      <c r="F15" s="839">
        <v>50</v>
      </c>
      <c r="I15" s="822">
        <f>I14+1</f>
        <v>8</v>
      </c>
      <c r="J15" s="823" t="s">
        <v>65</v>
      </c>
      <c r="K15" s="824">
        <v>33.33</v>
      </c>
      <c r="L15" s="825" t="s">
        <v>69</v>
      </c>
      <c r="M15" s="844" t="s">
        <v>126</v>
      </c>
    </row>
    <row r="16" spans="1:19" ht="20.149999999999999" customHeight="1" thickTop="1" x14ac:dyDescent="0.35">
      <c r="A16" s="803">
        <f>A15+1</f>
        <v>14</v>
      </c>
      <c r="B16" s="804" t="s">
        <v>318</v>
      </c>
      <c r="C16" s="805" t="s">
        <v>51</v>
      </c>
      <c r="D16" s="845">
        <v>2.25</v>
      </c>
      <c r="E16" s="846" t="s">
        <v>56</v>
      </c>
      <c r="F16" s="843">
        <v>4</v>
      </c>
      <c r="I16" s="809">
        <f>I15+1</f>
        <v>9</v>
      </c>
      <c r="J16" s="831" t="s">
        <v>36</v>
      </c>
      <c r="K16" s="812"/>
      <c r="L16" s="812"/>
      <c r="M16" s="813"/>
    </row>
    <row r="17" spans="1:15" ht="20.149999999999999" customHeight="1" thickBot="1" x14ac:dyDescent="0.4">
      <c r="A17" s="847">
        <v>15</v>
      </c>
      <c r="B17" s="848" t="s">
        <v>165</v>
      </c>
      <c r="C17" s="849" t="s">
        <v>51</v>
      </c>
      <c r="D17" s="850"/>
      <c r="E17" s="851" t="s">
        <v>56</v>
      </c>
      <c r="F17" s="852">
        <v>5</v>
      </c>
      <c r="I17" s="809"/>
      <c r="J17" s="810" t="s">
        <v>71</v>
      </c>
      <c r="K17" s="853">
        <v>100</v>
      </c>
      <c r="L17" s="854" t="s">
        <v>81</v>
      </c>
      <c r="M17" s="855">
        <f>IF('MC Working'!H8='Administration (2)'!C12,700,350)</f>
        <v>350</v>
      </c>
    </row>
    <row r="18" spans="1:15" ht="20.149999999999999" customHeight="1" thickTop="1" thickBot="1" x14ac:dyDescent="0.4">
      <c r="A18" s="856">
        <v>1</v>
      </c>
      <c r="B18" s="857"/>
      <c r="C18" s="857"/>
      <c r="D18" s="857"/>
      <c r="E18" s="857"/>
      <c r="F18" s="857"/>
      <c r="I18" s="809"/>
      <c r="J18" s="810" t="s">
        <v>521</v>
      </c>
      <c r="K18" s="853">
        <v>250</v>
      </c>
      <c r="L18" s="858" t="s">
        <v>82</v>
      </c>
      <c r="M18" s="855">
        <f>IF('MC Working'!H8='Administration (2)'!C12,100,650)</f>
        <v>650</v>
      </c>
      <c r="N18" s="859"/>
    </row>
    <row r="19" spans="1:15" ht="20.149999999999999" customHeight="1" thickTop="1" thickBot="1" x14ac:dyDescent="0.4">
      <c r="A19" s="860"/>
      <c r="B19" s="861" t="s">
        <v>79</v>
      </c>
      <c r="C19" s="862" t="s">
        <v>51</v>
      </c>
      <c r="D19" s="863">
        <v>2.5</v>
      </c>
      <c r="E19" s="864" t="s">
        <v>56</v>
      </c>
      <c r="F19" s="857"/>
      <c r="I19" s="822">
        <v>10</v>
      </c>
      <c r="J19" s="823" t="s">
        <v>127</v>
      </c>
      <c r="K19" s="824">
        <v>15</v>
      </c>
      <c r="L19" s="825" t="s">
        <v>69</v>
      </c>
      <c r="M19" s="1678" t="s">
        <v>128</v>
      </c>
      <c r="N19" s="1679"/>
      <c r="O19" s="844" t="s">
        <v>114</v>
      </c>
    </row>
    <row r="20" spans="1:15" ht="20.149999999999999" customHeight="1" thickTop="1" thickBot="1" x14ac:dyDescent="0.4">
      <c r="A20" s="865"/>
      <c r="B20" s="866" t="s">
        <v>173</v>
      </c>
      <c r="C20" s="867" t="s">
        <v>51</v>
      </c>
      <c r="D20" s="868">
        <v>0</v>
      </c>
      <c r="E20" s="869" t="s">
        <v>56</v>
      </c>
      <c r="F20" s="870" t="s">
        <v>114</v>
      </c>
      <c r="G20" s="871">
        <f>IF(F20="Yes",D20,0)</f>
        <v>0</v>
      </c>
      <c r="H20" s="871"/>
      <c r="I20" s="822"/>
      <c r="J20" s="823"/>
      <c r="K20" s="824"/>
      <c r="L20" s="825"/>
      <c r="M20" s="872"/>
      <c r="N20" s="873"/>
    </row>
    <row r="21" spans="1:15" ht="20.149999999999999" customHeight="1" thickTop="1" thickBot="1" x14ac:dyDescent="0.4">
      <c r="A21" s="874"/>
      <c r="B21" s="875" t="s">
        <v>80</v>
      </c>
      <c r="C21" s="876" t="s">
        <v>51</v>
      </c>
      <c r="D21" s="877">
        <v>8</v>
      </c>
      <c r="E21" s="878" t="s">
        <v>56</v>
      </c>
      <c r="F21" s="857"/>
      <c r="I21" s="809">
        <f>I19+1</f>
        <v>11</v>
      </c>
      <c r="J21" s="834" t="s">
        <v>73</v>
      </c>
      <c r="K21" s="811">
        <v>10</v>
      </c>
      <c r="L21" s="812" t="s">
        <v>75</v>
      </c>
      <c r="M21" s="844" t="s">
        <v>126</v>
      </c>
    </row>
    <row r="22" spans="1:15" ht="30.75" customHeight="1" thickTop="1" thickBot="1" x14ac:dyDescent="0.35">
      <c r="I22" s="822">
        <f>I21+1</f>
        <v>12</v>
      </c>
      <c r="J22" s="879" t="s">
        <v>74</v>
      </c>
      <c r="K22" s="825"/>
      <c r="L22" s="825"/>
      <c r="M22" s="826"/>
    </row>
    <row r="23" spans="1:15" ht="20.149999999999999" customHeight="1" thickTop="1" thickBot="1" x14ac:dyDescent="0.4">
      <c r="A23" s="856">
        <v>2</v>
      </c>
      <c r="B23" s="880" t="s">
        <v>120</v>
      </c>
      <c r="I23" s="822"/>
      <c r="J23" s="825" t="s">
        <v>62</v>
      </c>
      <c r="K23" s="824">
        <v>150</v>
      </c>
      <c r="L23" s="881" t="s">
        <v>77</v>
      </c>
      <c r="M23" s="826"/>
    </row>
    <row r="24" spans="1:15" ht="20.149999999999999" customHeight="1" thickTop="1" thickBot="1" x14ac:dyDescent="0.4">
      <c r="A24" s="882"/>
      <c r="B24" s="883">
        <v>28000000</v>
      </c>
      <c r="I24" s="822"/>
      <c r="J24" s="884" t="s">
        <v>124</v>
      </c>
      <c r="K24" s="885">
        <v>600</v>
      </c>
      <c r="L24" s="886" t="s">
        <v>77</v>
      </c>
      <c r="M24" s="826"/>
    </row>
    <row r="25" spans="1:15" ht="20.149999999999999" customHeight="1" thickBot="1" x14ac:dyDescent="0.4">
      <c r="B25" s="883">
        <v>1000000</v>
      </c>
      <c r="C25" s="887" t="s">
        <v>138</v>
      </c>
      <c r="I25" s="822"/>
      <c r="J25" s="825" t="s">
        <v>76</v>
      </c>
      <c r="K25" s="824">
        <v>150</v>
      </c>
      <c r="L25" s="881" t="s">
        <v>77</v>
      </c>
      <c r="M25" s="826"/>
    </row>
    <row r="26" spans="1:15" ht="20.149999999999999" customHeight="1" thickTop="1" thickBot="1" x14ac:dyDescent="0.4">
      <c r="A26" s="856">
        <v>3</v>
      </c>
      <c r="B26" s="880" t="s">
        <v>113</v>
      </c>
      <c r="F26" s="880" t="s">
        <v>396</v>
      </c>
      <c r="I26" s="809">
        <v>13</v>
      </c>
      <c r="J26" s="831" t="s">
        <v>83</v>
      </c>
      <c r="K26" s="812"/>
      <c r="L26" s="812"/>
      <c r="M26" s="855"/>
    </row>
    <row r="27" spans="1:15" ht="20.149999999999999" customHeight="1" thickTop="1" thickBot="1" x14ac:dyDescent="0.4">
      <c r="A27" s="882"/>
      <c r="B27" s="883">
        <v>28000000</v>
      </c>
      <c r="F27" s="1680">
        <v>10</v>
      </c>
      <c r="G27" s="1681"/>
      <c r="I27" s="888"/>
      <c r="J27" s="889" t="s">
        <v>557</v>
      </c>
      <c r="K27" s="853">
        <v>6</v>
      </c>
      <c r="L27" s="890" t="s">
        <v>558</v>
      </c>
      <c r="M27" s="855">
        <v>12</v>
      </c>
    </row>
    <row r="28" spans="1:15" ht="20.149999999999999" customHeight="1" thickTop="1" thickBot="1" x14ac:dyDescent="0.4">
      <c r="A28" s="856">
        <v>4</v>
      </c>
      <c r="B28" s="880" t="s">
        <v>115</v>
      </c>
      <c r="C28" s="1663" t="s">
        <v>78</v>
      </c>
      <c r="D28" s="1664"/>
      <c r="I28" s="888"/>
      <c r="J28" s="889" t="s">
        <v>559</v>
      </c>
      <c r="K28" s="853">
        <v>20</v>
      </c>
      <c r="L28" s="890" t="s">
        <v>560</v>
      </c>
      <c r="M28" s="855">
        <v>30</v>
      </c>
    </row>
    <row r="29" spans="1:15" ht="20.149999999999999" customHeight="1" thickTop="1" thickBot="1" x14ac:dyDescent="0.4">
      <c r="A29" s="856">
        <v>5</v>
      </c>
      <c r="B29" s="891" t="s">
        <v>116</v>
      </c>
      <c r="C29" s="1680">
        <v>75</v>
      </c>
      <c r="D29" s="1681"/>
      <c r="E29" s="1692">
        <f>IF(OR('MC Working'!H8='Administration (2)'!C7,'MC Working'!H8='Administration (2)'!C8),G29,0)</f>
        <v>0</v>
      </c>
      <c r="F29" s="1693"/>
      <c r="G29" s="1694">
        <v>1200000</v>
      </c>
      <c r="H29" s="1695"/>
      <c r="I29" s="888"/>
      <c r="J29" s="889" t="s">
        <v>561</v>
      </c>
      <c r="K29" s="853">
        <v>55</v>
      </c>
      <c r="L29" s="890" t="s">
        <v>562</v>
      </c>
      <c r="M29" s="855">
        <v>105</v>
      </c>
    </row>
    <row r="30" spans="1:15" ht="20.149999999999999" customHeight="1" thickTop="1" thickBot="1" x14ac:dyDescent="0.4">
      <c r="A30" s="856">
        <v>6</v>
      </c>
      <c r="B30" s="880" t="s">
        <v>117</v>
      </c>
      <c r="I30" s="888"/>
      <c r="J30" s="889" t="s">
        <v>563</v>
      </c>
      <c r="K30" s="853">
        <v>290</v>
      </c>
      <c r="L30" s="889"/>
      <c r="M30" s="855"/>
    </row>
    <row r="31" spans="1:15" ht="20.149999999999999" customHeight="1" thickTop="1" thickBot="1" x14ac:dyDescent="0.4">
      <c r="A31" s="882"/>
      <c r="B31" s="883">
        <v>1000000</v>
      </c>
      <c r="I31" s="822">
        <v>14</v>
      </c>
      <c r="J31" s="823" t="s">
        <v>91</v>
      </c>
      <c r="K31" s="824">
        <v>2000</v>
      </c>
      <c r="L31" s="881" t="s">
        <v>77</v>
      </c>
      <c r="M31" s="826"/>
    </row>
    <row r="32" spans="1:15" ht="20.149999999999999" customHeight="1" thickTop="1" thickBot="1" x14ac:dyDescent="0.4">
      <c r="A32" s="856">
        <v>7</v>
      </c>
      <c r="B32" s="880" t="s">
        <v>129</v>
      </c>
      <c r="I32" s="809">
        <v>15</v>
      </c>
      <c r="J32" s="834" t="s">
        <v>92</v>
      </c>
      <c r="K32" s="811">
        <v>10</v>
      </c>
      <c r="L32" s="812" t="s">
        <v>93</v>
      </c>
      <c r="M32" s="813"/>
    </row>
    <row r="33" spans="1:13" ht="20.149999999999999" customHeight="1" thickTop="1" thickBot="1" x14ac:dyDescent="0.4">
      <c r="B33" s="883">
        <v>5000</v>
      </c>
      <c r="I33" s="822">
        <v>16</v>
      </c>
      <c r="J33" s="879" t="s">
        <v>8</v>
      </c>
      <c r="K33" s="825"/>
      <c r="L33" s="825"/>
      <c r="M33" s="826"/>
    </row>
    <row r="34" spans="1:13" ht="20.149999999999999" customHeight="1" thickBot="1" x14ac:dyDescent="0.35">
      <c r="I34" s="892"/>
      <c r="J34" s="825" t="s">
        <v>95</v>
      </c>
      <c r="K34" s="824">
        <v>150</v>
      </c>
      <c r="L34" s="881" t="s">
        <v>77</v>
      </c>
      <c r="M34" s="826"/>
    </row>
    <row r="35" spans="1:13" ht="20.149999999999999" customHeight="1" thickTop="1" thickBot="1" x14ac:dyDescent="0.4">
      <c r="A35" s="856">
        <v>8</v>
      </c>
      <c r="B35" s="893" t="s">
        <v>137</v>
      </c>
      <c r="I35" s="892"/>
      <c r="J35" s="825" t="s">
        <v>60</v>
      </c>
      <c r="K35" s="824">
        <v>200</v>
      </c>
      <c r="L35" s="881" t="s">
        <v>77</v>
      </c>
      <c r="M35" s="826"/>
    </row>
    <row r="36" spans="1:13" ht="20.149999999999999" customHeight="1" thickTop="1" thickBot="1" x14ac:dyDescent="0.4">
      <c r="A36" s="882"/>
      <c r="B36" s="883">
        <v>1000</v>
      </c>
      <c r="I36" s="892"/>
      <c r="J36" s="825" t="s">
        <v>94</v>
      </c>
      <c r="K36" s="824">
        <v>200</v>
      </c>
      <c r="L36" s="881" t="s">
        <v>77</v>
      </c>
      <c r="M36" s="826"/>
    </row>
    <row r="37" spans="1:13" ht="20.149999999999999" customHeight="1" thickTop="1" thickBot="1" x14ac:dyDescent="0.4">
      <c r="A37" s="856">
        <v>9</v>
      </c>
      <c r="B37" s="894" t="s">
        <v>135</v>
      </c>
      <c r="I37" s="809">
        <v>17</v>
      </c>
      <c r="J37" s="831" t="s">
        <v>2</v>
      </c>
      <c r="K37" s="811"/>
      <c r="L37" s="812"/>
      <c r="M37" s="813"/>
    </row>
    <row r="38" spans="1:13" ht="20.149999999999999" customHeight="1" thickTop="1" thickBot="1" x14ac:dyDescent="0.35">
      <c r="B38" s="895" t="s">
        <v>136</v>
      </c>
      <c r="C38" s="1683">
        <v>0</v>
      </c>
      <c r="D38" s="1684"/>
      <c r="E38" s="1685"/>
      <c r="I38" s="896" t="s">
        <v>96</v>
      </c>
      <c r="J38" s="811">
        <v>1000</v>
      </c>
      <c r="K38" s="897">
        <v>10</v>
      </c>
      <c r="L38" s="898"/>
      <c r="M38" s="813"/>
    </row>
    <row r="39" spans="1:13" ht="20.149999999999999" customHeight="1" thickTop="1" thickBot="1" x14ac:dyDescent="0.4">
      <c r="A39" s="856">
        <v>10</v>
      </c>
      <c r="B39" s="899" t="s">
        <v>119</v>
      </c>
      <c r="D39" s="900" t="s">
        <v>78</v>
      </c>
      <c r="I39" s="896" t="s">
        <v>96</v>
      </c>
      <c r="J39" s="811">
        <v>2500</v>
      </c>
      <c r="K39" s="897">
        <v>15</v>
      </c>
      <c r="L39" s="898"/>
      <c r="M39" s="813"/>
    </row>
    <row r="40" spans="1:13" ht="17.149999999999999" customHeight="1" thickTop="1" thickBot="1" x14ac:dyDescent="0.4">
      <c r="A40" s="882"/>
      <c r="B40" s="901" t="s">
        <v>118</v>
      </c>
      <c r="C40" s="1683">
        <v>50000</v>
      </c>
      <c r="D40" s="1684"/>
      <c r="E40" s="1685"/>
      <c r="I40" s="896" t="s">
        <v>96</v>
      </c>
      <c r="J40" s="811">
        <v>5000</v>
      </c>
      <c r="K40" s="897">
        <v>20</v>
      </c>
      <c r="L40" s="898"/>
      <c r="M40" s="813"/>
    </row>
    <row r="41" spans="1:13" ht="17.149999999999999" customHeight="1" thickTop="1" thickBot="1" x14ac:dyDescent="0.35">
      <c r="B41" s="901" t="s">
        <v>130</v>
      </c>
      <c r="D41" s="900" t="s">
        <v>114</v>
      </c>
      <c r="I41" s="822">
        <v>18</v>
      </c>
      <c r="J41" s="879" t="s">
        <v>97</v>
      </c>
      <c r="K41" s="825"/>
      <c r="L41" s="825"/>
      <c r="M41" s="826"/>
    </row>
    <row r="42" spans="1:13" ht="17.149999999999999" customHeight="1" thickTop="1" thickBot="1" x14ac:dyDescent="0.35">
      <c r="B42" s="901" t="s">
        <v>159</v>
      </c>
      <c r="D42" s="900">
        <v>10</v>
      </c>
      <c r="I42" s="892"/>
      <c r="J42" s="902" t="s">
        <v>98</v>
      </c>
      <c r="K42" s="824">
        <v>4.5</v>
      </c>
      <c r="L42" s="825" t="s">
        <v>69</v>
      </c>
      <c r="M42" s="826"/>
    </row>
    <row r="43" spans="1:13" ht="17.149999999999999" customHeight="1" thickTop="1" thickBot="1" x14ac:dyDescent="0.4">
      <c r="A43" s="856">
        <v>11</v>
      </c>
      <c r="B43" s="1696" t="s">
        <v>131</v>
      </c>
      <c r="D43" s="900" t="s">
        <v>114</v>
      </c>
      <c r="I43" s="892"/>
      <c r="J43" s="902" t="s">
        <v>99</v>
      </c>
      <c r="K43" s="824">
        <v>5.25</v>
      </c>
      <c r="L43" s="825" t="s">
        <v>69</v>
      </c>
      <c r="M43" s="826"/>
    </row>
    <row r="44" spans="1:13" ht="17.149999999999999" customHeight="1" thickTop="1" thickBot="1" x14ac:dyDescent="0.35">
      <c r="B44" s="1696"/>
      <c r="I44" s="892"/>
      <c r="J44" s="902" t="s">
        <v>100</v>
      </c>
      <c r="K44" s="824">
        <v>6</v>
      </c>
      <c r="L44" s="825" t="s">
        <v>69</v>
      </c>
      <c r="M44" s="826"/>
    </row>
    <row r="45" spans="1:13" ht="17.149999999999999" customHeight="1" thickTop="1" thickBot="1" x14ac:dyDescent="0.4">
      <c r="A45" s="856">
        <v>12</v>
      </c>
      <c r="B45" s="901" t="s">
        <v>295</v>
      </c>
      <c r="D45" s="900" t="s">
        <v>114</v>
      </c>
      <c r="I45" s="892"/>
      <c r="J45" s="902" t="s">
        <v>101</v>
      </c>
      <c r="K45" s="824">
        <v>6.25</v>
      </c>
      <c r="L45" s="825" t="s">
        <v>69</v>
      </c>
      <c r="M45" s="826"/>
    </row>
    <row r="46" spans="1:13" ht="17.149999999999999" customHeight="1" thickTop="1" thickBot="1" x14ac:dyDescent="0.35">
      <c r="I46" s="892"/>
      <c r="J46" s="902" t="s">
        <v>102</v>
      </c>
      <c r="K46" s="824">
        <v>6.5</v>
      </c>
      <c r="L46" s="825" t="s">
        <v>69</v>
      </c>
      <c r="M46" s="826"/>
    </row>
    <row r="47" spans="1:13" ht="17.149999999999999" customHeight="1" thickTop="1" thickBot="1" x14ac:dyDescent="0.4">
      <c r="A47" s="856">
        <v>13</v>
      </c>
      <c r="B47" s="1682" t="s">
        <v>402</v>
      </c>
      <c r="D47" s="900" t="s">
        <v>114</v>
      </c>
      <c r="I47" s="892"/>
      <c r="J47" s="902" t="s">
        <v>103</v>
      </c>
      <c r="K47" s="824">
        <v>6.75</v>
      </c>
      <c r="L47" s="825" t="s">
        <v>69</v>
      </c>
      <c r="M47" s="826"/>
    </row>
    <row r="48" spans="1:13" ht="17.149999999999999" customHeight="1" thickTop="1" x14ac:dyDescent="0.3">
      <c r="B48" s="1682"/>
      <c r="I48" s="892"/>
      <c r="J48" s="902" t="s">
        <v>104</v>
      </c>
      <c r="K48" s="824">
        <v>7</v>
      </c>
      <c r="L48" s="825" t="s">
        <v>69</v>
      </c>
      <c r="M48" s="826"/>
    </row>
    <row r="49" spans="1:13" ht="17.149999999999999" customHeight="1" thickBot="1" x14ac:dyDescent="0.35">
      <c r="I49" s="892"/>
      <c r="J49" s="902" t="s">
        <v>105</v>
      </c>
      <c r="K49" s="824">
        <v>7</v>
      </c>
      <c r="L49" s="825" t="s">
        <v>69</v>
      </c>
      <c r="M49" s="826"/>
    </row>
    <row r="50" spans="1:13" ht="20.149999999999999" customHeight="1" thickTop="1" thickBot="1" x14ac:dyDescent="0.4">
      <c r="A50" s="856">
        <v>14</v>
      </c>
      <c r="B50" s="901" t="s">
        <v>264</v>
      </c>
      <c r="D50" s="900" t="s">
        <v>114</v>
      </c>
      <c r="I50" s="892"/>
      <c r="J50" s="902" t="s">
        <v>106</v>
      </c>
      <c r="K50" s="824">
        <v>7</v>
      </c>
      <c r="L50" s="825" t="s">
        <v>69</v>
      </c>
      <c r="M50" s="826"/>
    </row>
    <row r="51" spans="1:13" ht="17.149999999999999" customHeight="1" thickTop="1" thickBot="1" x14ac:dyDescent="0.35">
      <c r="I51" s="892"/>
      <c r="J51" s="902" t="s">
        <v>107</v>
      </c>
      <c r="K51" s="824">
        <v>7</v>
      </c>
      <c r="L51" s="825" t="s">
        <v>69</v>
      </c>
      <c r="M51" s="826"/>
    </row>
    <row r="52" spans="1:13" ht="17.149999999999999" customHeight="1" thickTop="1" thickBot="1" x14ac:dyDescent="0.4">
      <c r="A52" s="856">
        <v>15</v>
      </c>
      <c r="B52" s="903" t="str">
        <f>CONCATENATE("Allow Vehicle Above ",'Administration (2)'!F29," Years")</f>
        <v>Allow Vehicle Above 19 Years</v>
      </c>
      <c r="D52" s="900" t="s">
        <v>78</v>
      </c>
      <c r="I52" s="809">
        <v>19</v>
      </c>
      <c r="J52" s="831" t="s">
        <v>40</v>
      </c>
      <c r="K52" s="812"/>
      <c r="L52" s="812"/>
      <c r="M52" s="813"/>
    </row>
    <row r="53" spans="1:13" ht="17.149999999999999" customHeight="1" thickTop="1" thickBot="1" x14ac:dyDescent="0.35">
      <c r="I53" s="888"/>
      <c r="J53" s="812" t="s">
        <v>4</v>
      </c>
      <c r="K53" s="904">
        <v>0.7</v>
      </c>
      <c r="L53" s="812" t="s">
        <v>122</v>
      </c>
      <c r="M53" s="813"/>
    </row>
    <row r="54" spans="1:13" ht="17.149999999999999" customHeight="1" thickTop="1" thickBot="1" x14ac:dyDescent="0.4">
      <c r="A54" s="856">
        <v>16</v>
      </c>
      <c r="B54" s="903" t="s">
        <v>294</v>
      </c>
      <c r="I54" s="888"/>
      <c r="J54" s="905" t="s">
        <v>5</v>
      </c>
      <c r="K54" s="906">
        <v>1.5</v>
      </c>
      <c r="L54" s="905" t="s">
        <v>122</v>
      </c>
      <c r="M54" s="813"/>
    </row>
    <row r="55" spans="1:13" ht="20.149999999999999" customHeight="1" thickTop="1" thickBot="1" x14ac:dyDescent="0.35">
      <c r="B55" s="1683">
        <v>15000</v>
      </c>
      <c r="C55" s="1684"/>
      <c r="D55" s="1685"/>
      <c r="I55" s="888"/>
      <c r="J55" s="905" t="s">
        <v>39</v>
      </c>
      <c r="K55" s="906">
        <v>3.5</v>
      </c>
      <c r="L55" s="905" t="s">
        <v>122</v>
      </c>
      <c r="M55" s="813"/>
    </row>
    <row r="56" spans="1:13" ht="20.149999999999999" customHeight="1" thickTop="1" thickBot="1" x14ac:dyDescent="0.35">
      <c r="I56" s="888"/>
      <c r="J56" s="905" t="s">
        <v>121</v>
      </c>
      <c r="K56" s="906">
        <v>1.5</v>
      </c>
      <c r="L56" s="905" t="s">
        <v>122</v>
      </c>
      <c r="M56" s="813"/>
    </row>
    <row r="57" spans="1:13" ht="20.149999999999999" customHeight="1" thickTop="1" thickBot="1" x14ac:dyDescent="0.45">
      <c r="A57" s="856">
        <v>17</v>
      </c>
      <c r="B57" s="907" t="s">
        <v>363</v>
      </c>
      <c r="I57" s="822">
        <v>20</v>
      </c>
      <c r="J57" s="879" t="s">
        <v>123</v>
      </c>
      <c r="K57" s="824">
        <v>33.33</v>
      </c>
      <c r="L57" s="825" t="s">
        <v>69</v>
      </c>
      <c r="M57" s="826"/>
    </row>
    <row r="58" spans="1:13" ht="20.149999999999999" customHeight="1" thickTop="1" thickBot="1" x14ac:dyDescent="0.35">
      <c r="B58" s="908" t="s">
        <v>367</v>
      </c>
      <c r="D58" s="900" t="s">
        <v>78</v>
      </c>
      <c r="I58" s="809">
        <v>21</v>
      </c>
      <c r="J58" s="831" t="s">
        <v>229</v>
      </c>
      <c r="K58" s="812"/>
      <c r="L58" s="812"/>
      <c r="M58" s="813"/>
    </row>
    <row r="59" spans="1:13" ht="20.149999999999999" customHeight="1" thickTop="1" thickBot="1" x14ac:dyDescent="0.35">
      <c r="B59" s="908" t="s">
        <v>364</v>
      </c>
      <c r="D59" s="777">
        <v>15</v>
      </c>
      <c r="E59" s="781" t="s">
        <v>368</v>
      </c>
      <c r="I59" s="888"/>
      <c r="J59" s="812" t="s">
        <v>230</v>
      </c>
      <c r="K59" s="904">
        <v>0</v>
      </c>
      <c r="L59" s="909" t="s">
        <v>77</v>
      </c>
      <c r="M59" s="813"/>
    </row>
    <row r="60" spans="1:13" ht="20.149999999999999" customHeight="1" thickBot="1" x14ac:dyDescent="0.35">
      <c r="B60" s="908" t="s">
        <v>365</v>
      </c>
      <c r="D60" s="777">
        <v>15</v>
      </c>
      <c r="E60" s="781" t="s">
        <v>368</v>
      </c>
      <c r="I60" s="888"/>
      <c r="J60" s="812" t="s">
        <v>231</v>
      </c>
      <c r="K60" s="906">
        <v>0</v>
      </c>
      <c r="L60" s="909" t="s">
        <v>77</v>
      </c>
      <c r="M60" s="813"/>
    </row>
    <row r="61" spans="1:13" ht="20.149999999999999" customHeight="1" thickTop="1" thickBot="1" x14ac:dyDescent="0.35">
      <c r="A61" s="910"/>
      <c r="B61" s="911" t="s">
        <v>369</v>
      </c>
      <c r="D61" s="900" t="s">
        <v>78</v>
      </c>
      <c r="I61" s="888"/>
      <c r="J61" s="905" t="s">
        <v>41</v>
      </c>
      <c r="K61" s="906">
        <v>0</v>
      </c>
      <c r="L61" s="909" t="s">
        <v>77</v>
      </c>
      <c r="M61" s="813"/>
    </row>
    <row r="62" spans="1:13" ht="20.149999999999999" customHeight="1" thickTop="1" thickBot="1" x14ac:dyDescent="0.35">
      <c r="I62" s="888"/>
      <c r="J62" s="905" t="s">
        <v>42</v>
      </c>
      <c r="K62" s="906">
        <v>6000</v>
      </c>
      <c r="L62" s="909" t="s">
        <v>77</v>
      </c>
      <c r="M62" s="813"/>
    </row>
    <row r="63" spans="1:13" ht="20.149999999999999" customHeight="1" thickTop="1" thickBot="1" x14ac:dyDescent="0.4">
      <c r="A63" s="856">
        <v>18</v>
      </c>
      <c r="B63" s="912" t="s">
        <v>366</v>
      </c>
      <c r="D63" s="900" t="s">
        <v>78</v>
      </c>
      <c r="I63" s="888"/>
      <c r="J63" s="905" t="s">
        <v>225</v>
      </c>
      <c r="K63" s="906">
        <v>0</v>
      </c>
      <c r="L63" s="909" t="s">
        <v>77</v>
      </c>
      <c r="M63" s="813"/>
    </row>
    <row r="64" spans="1:13" ht="20.149999999999999" customHeight="1" thickTop="1" thickBot="1" x14ac:dyDescent="0.35">
      <c r="B64" s="908" t="s">
        <v>367</v>
      </c>
      <c r="D64" s="900" t="s">
        <v>78</v>
      </c>
      <c r="I64" s="888"/>
      <c r="J64" s="905" t="s">
        <v>232</v>
      </c>
      <c r="K64" s="906">
        <v>2500</v>
      </c>
      <c r="L64" s="909" t="s">
        <v>77</v>
      </c>
      <c r="M64" s="813"/>
    </row>
    <row r="65" spans="1:13" ht="20.149999999999999" customHeight="1" thickTop="1" thickBot="1" x14ac:dyDescent="0.35">
      <c r="I65" s="888"/>
      <c r="J65" s="905" t="s">
        <v>228</v>
      </c>
      <c r="K65" s="906">
        <v>2000</v>
      </c>
      <c r="L65" s="909" t="s">
        <v>77</v>
      </c>
      <c r="M65" s="813"/>
    </row>
    <row r="66" spans="1:13" ht="20.149999999999999" customHeight="1" thickTop="1" thickBot="1" x14ac:dyDescent="0.45">
      <c r="A66" s="856">
        <v>19</v>
      </c>
      <c r="B66" s="907" t="s">
        <v>370</v>
      </c>
      <c r="I66" s="888"/>
      <c r="J66" s="905" t="s">
        <v>233</v>
      </c>
      <c r="K66" s="906">
        <v>5000</v>
      </c>
      <c r="L66" s="909" t="s">
        <v>77</v>
      </c>
      <c r="M66" s="813"/>
    </row>
    <row r="67" spans="1:13" ht="20.149999999999999" customHeight="1" thickTop="1" thickBot="1" x14ac:dyDescent="0.35">
      <c r="B67" s="913" t="s">
        <v>371</v>
      </c>
      <c r="D67" s="900" t="s">
        <v>78</v>
      </c>
      <c r="I67" s="888"/>
      <c r="J67" s="905" t="s">
        <v>220</v>
      </c>
      <c r="K67" s="906">
        <v>2500</v>
      </c>
      <c r="L67" s="909" t="s">
        <v>77</v>
      </c>
      <c r="M67" s="813"/>
    </row>
    <row r="68" spans="1:13" ht="20.149999999999999" customHeight="1" thickTop="1" x14ac:dyDescent="0.3">
      <c r="A68" s="1686" t="s">
        <v>435</v>
      </c>
      <c r="B68" s="1687"/>
      <c r="C68" s="1687"/>
      <c r="D68" s="1687"/>
      <c r="E68" s="1687"/>
      <c r="F68" s="1687"/>
      <c r="G68" s="1688"/>
      <c r="I68" s="888"/>
      <c r="J68" s="905" t="s">
        <v>270</v>
      </c>
      <c r="K68" s="906">
        <v>10</v>
      </c>
      <c r="L68" s="914">
        <v>5000</v>
      </c>
      <c r="M68" s="915" t="s">
        <v>283</v>
      </c>
    </row>
    <row r="69" spans="1:13" ht="20.149999999999999" customHeight="1" x14ac:dyDescent="0.3">
      <c r="A69" s="1689"/>
      <c r="B69" s="1690"/>
      <c r="C69" s="1690"/>
      <c r="D69" s="1690"/>
      <c r="E69" s="1690"/>
      <c r="F69" s="1690"/>
      <c r="G69" s="1691"/>
      <c r="I69" s="888"/>
      <c r="J69" s="905" t="s">
        <v>210</v>
      </c>
      <c r="K69" s="906">
        <v>0</v>
      </c>
      <c r="L69" s="909" t="s">
        <v>77</v>
      </c>
      <c r="M69" s="813"/>
    </row>
    <row r="70" spans="1:13" ht="20.149999999999999" customHeight="1" thickBot="1" x14ac:dyDescent="0.35">
      <c r="I70" s="888"/>
      <c r="J70" s="905" t="s">
        <v>271</v>
      </c>
      <c r="K70" s="906">
        <v>0</v>
      </c>
      <c r="L70" s="909" t="s">
        <v>77</v>
      </c>
      <c r="M70" s="813"/>
    </row>
    <row r="71" spans="1:13" ht="20.149999999999999" customHeight="1" thickTop="1" thickBot="1" x14ac:dyDescent="0.35">
      <c r="B71" s="913" t="s">
        <v>372</v>
      </c>
      <c r="D71" s="900" t="s">
        <v>114</v>
      </c>
      <c r="I71" s="888"/>
      <c r="J71" s="905" t="s">
        <v>209</v>
      </c>
      <c r="K71" s="906">
        <v>0</v>
      </c>
      <c r="L71" s="909" t="s">
        <v>77</v>
      </c>
      <c r="M71" s="813"/>
    </row>
    <row r="72" spans="1:13" ht="20.149999999999999" customHeight="1" thickTop="1" x14ac:dyDescent="0.3">
      <c r="A72" s="1686"/>
      <c r="B72" s="1687"/>
      <c r="C72" s="1687"/>
      <c r="D72" s="1687"/>
      <c r="E72" s="1687"/>
      <c r="F72" s="1687"/>
      <c r="G72" s="1688"/>
      <c r="I72" s="888"/>
      <c r="J72" s="905" t="s">
        <v>275</v>
      </c>
      <c r="K72" s="906">
        <v>0</v>
      </c>
      <c r="L72" s="909" t="s">
        <v>77</v>
      </c>
      <c r="M72" s="813"/>
    </row>
    <row r="73" spans="1:13" ht="20.149999999999999" customHeight="1" x14ac:dyDescent="0.3">
      <c r="A73" s="1689"/>
      <c r="B73" s="1690"/>
      <c r="C73" s="1690"/>
      <c r="D73" s="1690"/>
      <c r="E73" s="1690"/>
      <c r="F73" s="1690"/>
      <c r="G73" s="1691"/>
      <c r="I73" s="888"/>
      <c r="J73" s="905" t="s">
        <v>276</v>
      </c>
      <c r="K73" s="906">
        <v>0</v>
      </c>
      <c r="L73" s="909" t="s">
        <v>77</v>
      </c>
      <c r="M73" s="813"/>
    </row>
    <row r="74" spans="1:13" ht="20.149999999999999" customHeight="1" thickBot="1" x14ac:dyDescent="0.35">
      <c r="I74" s="888"/>
      <c r="J74" s="905" t="s">
        <v>211</v>
      </c>
      <c r="K74" s="906">
        <v>0</v>
      </c>
      <c r="L74" s="909" t="s">
        <v>77</v>
      </c>
      <c r="M74" s="813"/>
    </row>
    <row r="75" spans="1:13" ht="20.149999999999999" customHeight="1" thickTop="1" thickBot="1" x14ac:dyDescent="0.35">
      <c r="B75" s="913" t="s">
        <v>373</v>
      </c>
      <c r="D75" s="900" t="s">
        <v>114</v>
      </c>
      <c r="F75" s="916">
        <v>0.25</v>
      </c>
      <c r="I75" s="888"/>
      <c r="J75" s="905" t="s">
        <v>215</v>
      </c>
      <c r="K75" s="906">
        <v>0</v>
      </c>
      <c r="L75" s="909" t="s">
        <v>77</v>
      </c>
      <c r="M75" s="813"/>
    </row>
    <row r="76" spans="1:13" ht="20.149999999999999" customHeight="1" thickTop="1" thickBot="1" x14ac:dyDescent="0.35">
      <c r="B76" s="908" t="s">
        <v>367</v>
      </c>
      <c r="D76" s="900" t="str">
        <f>IF(OR('MC Working'!H14="Yes",'MC Working'!M12="Corporate"),"Yes","No")</f>
        <v>Yes</v>
      </c>
      <c r="I76" s="888"/>
      <c r="J76" s="917" t="s">
        <v>212</v>
      </c>
      <c r="K76" s="906">
        <v>3000</v>
      </c>
      <c r="L76" s="909" t="s">
        <v>77</v>
      </c>
      <c r="M76" s="813"/>
    </row>
    <row r="77" spans="1:13" ht="20.149999999999999" customHeight="1" thickTop="1" x14ac:dyDescent="0.3">
      <c r="I77" s="822">
        <v>22</v>
      </c>
      <c r="J77" s="879" t="s">
        <v>306</v>
      </c>
      <c r="K77" s="825"/>
      <c r="L77" s="825"/>
      <c r="M77" s="826"/>
    </row>
    <row r="78" spans="1:13" ht="20.149999999999999" customHeight="1" thickBot="1" x14ac:dyDescent="0.35">
      <c r="I78" s="892"/>
      <c r="J78" s="902" t="s">
        <v>316</v>
      </c>
      <c r="K78" s="918">
        <v>0.125</v>
      </c>
      <c r="L78" s="825" t="s">
        <v>307</v>
      </c>
      <c r="M78" s="826"/>
    </row>
    <row r="79" spans="1:13" ht="20.149999999999999" customHeight="1" thickTop="1" thickBot="1" x14ac:dyDescent="0.45">
      <c r="A79" s="856">
        <v>20</v>
      </c>
      <c r="B79" s="907" t="s">
        <v>397</v>
      </c>
      <c r="D79" s="900" t="s">
        <v>78</v>
      </c>
      <c r="I79" s="892"/>
      <c r="J79" s="902" t="s">
        <v>308</v>
      </c>
      <c r="K79" s="918">
        <v>0.25</v>
      </c>
      <c r="L79" s="825" t="s">
        <v>307</v>
      </c>
      <c r="M79" s="826"/>
    </row>
    <row r="80" spans="1:13" ht="20.149999999999999" customHeight="1" thickTop="1" thickBot="1" x14ac:dyDescent="0.35">
      <c r="I80" s="892"/>
      <c r="J80" s="902" t="s">
        <v>309</v>
      </c>
      <c r="K80" s="918">
        <v>0.375</v>
      </c>
      <c r="L80" s="825" t="s">
        <v>307</v>
      </c>
      <c r="M80" s="826"/>
    </row>
    <row r="81" spans="1:13" ht="20.149999999999999" customHeight="1" thickTop="1" thickBot="1" x14ac:dyDescent="0.4">
      <c r="A81" s="856">
        <v>24</v>
      </c>
      <c r="B81" s="919" t="s">
        <v>407</v>
      </c>
      <c r="D81" s="900" t="s">
        <v>114</v>
      </c>
      <c r="F81" s="900">
        <v>1000</v>
      </c>
      <c r="I81" s="892"/>
      <c r="J81" s="902" t="s">
        <v>302</v>
      </c>
      <c r="K81" s="918">
        <v>0.5</v>
      </c>
      <c r="L81" s="825" t="s">
        <v>69</v>
      </c>
      <c r="M81" s="826"/>
    </row>
    <row r="82" spans="1:13" ht="20.149999999999999" customHeight="1" thickTop="1" thickBot="1" x14ac:dyDescent="0.35">
      <c r="B82" s="920" t="s">
        <v>409</v>
      </c>
      <c r="I82" s="892"/>
      <c r="J82" s="902" t="s">
        <v>310</v>
      </c>
      <c r="K82" s="918">
        <v>0.625</v>
      </c>
      <c r="L82" s="825" t="s">
        <v>69</v>
      </c>
      <c r="M82" s="826"/>
    </row>
    <row r="83" spans="1:13" ht="20.149999999999999" customHeight="1" thickTop="1" thickBot="1" x14ac:dyDescent="0.35">
      <c r="B83" s="921" t="s">
        <v>223</v>
      </c>
      <c r="D83" s="900">
        <v>2500</v>
      </c>
      <c r="I83" s="892"/>
      <c r="J83" s="902" t="s">
        <v>305</v>
      </c>
      <c r="K83" s="918">
        <v>0.75</v>
      </c>
      <c r="L83" s="825" t="s">
        <v>69</v>
      </c>
      <c r="M83" s="826"/>
    </row>
    <row r="84" spans="1:13" ht="20.149999999999999" customHeight="1" thickTop="1" x14ac:dyDescent="0.3">
      <c r="I84" s="892"/>
      <c r="J84" s="902" t="s">
        <v>311</v>
      </c>
      <c r="K84" s="918">
        <v>0.75</v>
      </c>
      <c r="L84" s="825" t="s">
        <v>69</v>
      </c>
      <c r="M84" s="826"/>
    </row>
    <row r="85" spans="1:13" ht="20.149999999999999" customHeight="1" thickBot="1" x14ac:dyDescent="0.35">
      <c r="I85" s="892"/>
      <c r="J85" s="902" t="s">
        <v>312</v>
      </c>
      <c r="K85" s="918">
        <v>0.875</v>
      </c>
      <c r="L85" s="825" t="s">
        <v>307</v>
      </c>
      <c r="M85" s="826"/>
    </row>
    <row r="86" spans="1:13" ht="20.149999999999999" customHeight="1" thickTop="1" thickBot="1" x14ac:dyDescent="0.4">
      <c r="A86" s="856">
        <v>25</v>
      </c>
      <c r="B86" s="919" t="s">
        <v>412</v>
      </c>
      <c r="D86" s="922" t="s">
        <v>414</v>
      </c>
      <c r="E86" s="922"/>
      <c r="F86" s="922" t="s">
        <v>0</v>
      </c>
      <c r="I86" s="892"/>
      <c r="J86" s="902" t="s">
        <v>304</v>
      </c>
      <c r="K86" s="918">
        <v>0.875</v>
      </c>
      <c r="L86" s="825" t="s">
        <v>307</v>
      </c>
      <c r="M86" s="826"/>
    </row>
    <row r="87" spans="1:13" ht="20.149999999999999" customHeight="1" thickTop="1" x14ac:dyDescent="0.3">
      <c r="B87" s="923" t="s">
        <v>60</v>
      </c>
      <c r="D87" s="924">
        <f>IF(OR('MC Working'!K14='MC Working'!F107,'MC Working'!K14='MC Working'!F114),1,IF('MC Working'!K14='MC Working'!F99,0,IF('MC Working'!K14='MC Working'!F112,0,IF('MC Working'!K14='MC Working'!F97,'Rates (2)'!D98,0))))</f>
        <v>0</v>
      </c>
      <c r="E87" s="925"/>
      <c r="F87" s="924">
        <f>IF('MC Working'!K14='MC Working'!F99,10,IF('MC Working'!K14='MC Working'!F112,10,IF('MC Working'!K14='MC Working'!F97,'Rates (2)'!F98,15)))</f>
        <v>15</v>
      </c>
      <c r="I87" s="892"/>
      <c r="J87" s="902" t="s">
        <v>313</v>
      </c>
      <c r="K87" s="926">
        <v>1</v>
      </c>
      <c r="L87" s="825" t="s">
        <v>307</v>
      </c>
      <c r="M87" s="826"/>
    </row>
    <row r="88" spans="1:13" ht="20.149999999999999" customHeight="1" x14ac:dyDescent="0.3">
      <c r="B88" s="923" t="s">
        <v>413</v>
      </c>
      <c r="D88" s="924">
        <f>IF(OR('MC Working'!K14='MC Working'!F107,'MC Working'!K14='MC Working'!F114),0,IF('MC Working'!K14='MC Working'!F112,D92,IF(OR('MC Working'!K14='MC Working'!F102,'MC Working'!K14='MC Working'!F118),D104,0)))</f>
        <v>0</v>
      </c>
      <c r="E88" s="925"/>
      <c r="F88" s="924">
        <f>IF(OR('MC Working'!K14='MC Working'!F107,'MC Working'!K14='MC Working'!F114),15,IF('MC Working'!K14='MC Working'!F112,F92,IF(OR('MC Working'!K14='MC Working'!F102,'MC Working'!K14='MC Working'!F118),F104,15)))</f>
        <v>15</v>
      </c>
      <c r="I88" s="892"/>
      <c r="J88" s="902" t="s">
        <v>314</v>
      </c>
      <c r="K88" s="926">
        <v>1</v>
      </c>
      <c r="L88" s="825" t="s">
        <v>307</v>
      </c>
      <c r="M88" s="826"/>
    </row>
    <row r="89" spans="1:13" ht="20.149999999999999" customHeight="1" x14ac:dyDescent="0.3">
      <c r="I89" s="892"/>
      <c r="J89" s="902" t="s">
        <v>315</v>
      </c>
      <c r="K89" s="926">
        <v>1</v>
      </c>
      <c r="L89" s="825" t="s">
        <v>307</v>
      </c>
      <c r="M89" s="826"/>
    </row>
    <row r="90" spans="1:13" ht="20.149999999999999" customHeight="1" x14ac:dyDescent="0.3">
      <c r="B90" s="785"/>
      <c r="I90" s="892"/>
      <c r="J90" s="902" t="s">
        <v>303</v>
      </c>
      <c r="K90" s="926">
        <v>1</v>
      </c>
      <c r="L90" s="825" t="s">
        <v>307</v>
      </c>
      <c r="M90" s="826"/>
    </row>
    <row r="91" spans="1:13" ht="20.149999999999999" customHeight="1" x14ac:dyDescent="0.3">
      <c r="B91" s="927" t="s">
        <v>433</v>
      </c>
      <c r="C91" s="927"/>
      <c r="D91" s="928" t="s">
        <v>414</v>
      </c>
      <c r="E91" s="928"/>
      <c r="F91" s="928" t="s">
        <v>0</v>
      </c>
      <c r="I91" s="892"/>
      <c r="J91" s="902"/>
      <c r="K91" s="824"/>
      <c r="L91" s="825"/>
      <c r="M91" s="826"/>
    </row>
    <row r="92" spans="1:13" ht="20.149999999999999" customHeight="1" x14ac:dyDescent="0.3">
      <c r="B92" s="929" t="s">
        <v>434</v>
      </c>
      <c r="D92" s="924">
        <f>IF('MC Working'!H9="Hiring",'Rates (2)'!D95,'Rates (2)'!F95)</f>
        <v>10</v>
      </c>
      <c r="E92" s="925"/>
      <c r="F92" s="924">
        <f>IF('MC Working'!H9="Hiring",'Rates (2)'!D96,'Rates (2)'!F96)</f>
        <v>38.32</v>
      </c>
      <c r="I92" s="892"/>
      <c r="J92" s="902"/>
      <c r="K92" s="824"/>
      <c r="L92" s="825"/>
      <c r="M92" s="826"/>
    </row>
    <row r="93" spans="1:13" ht="20.149999999999999" customHeight="1" x14ac:dyDescent="0.3">
      <c r="I93" s="892"/>
      <c r="J93" s="902"/>
      <c r="K93" s="824"/>
      <c r="L93" s="825"/>
      <c r="M93" s="826"/>
    </row>
    <row r="94" spans="1:13" ht="20.149999999999999" customHeight="1" x14ac:dyDescent="0.3">
      <c r="D94" s="781" t="s">
        <v>41</v>
      </c>
      <c r="F94" s="781" t="s">
        <v>45</v>
      </c>
      <c r="I94" s="892"/>
      <c r="J94" s="902"/>
      <c r="K94" s="824"/>
      <c r="L94" s="825"/>
      <c r="M94" s="826"/>
    </row>
    <row r="95" spans="1:13" ht="20.149999999999999" customHeight="1" x14ac:dyDescent="0.25">
      <c r="B95" s="930" t="s">
        <v>414</v>
      </c>
      <c r="D95" s="781">
        <v>33.799999999999997</v>
      </c>
      <c r="F95" s="781">
        <v>10</v>
      </c>
    </row>
    <row r="96" spans="1:13" ht="20.149999999999999" customHeight="1" x14ac:dyDescent="0.25">
      <c r="B96" s="931" t="s">
        <v>0</v>
      </c>
      <c r="C96" s="932"/>
      <c r="D96" s="932">
        <v>65</v>
      </c>
      <c r="E96" s="932"/>
      <c r="F96" s="932">
        <v>38.32</v>
      </c>
    </row>
    <row r="97" spans="2:6" ht="20.149999999999999" customHeight="1" x14ac:dyDescent="0.3">
      <c r="B97" s="933" t="s">
        <v>437</v>
      </c>
      <c r="C97" s="927"/>
      <c r="D97" s="928" t="s">
        <v>414</v>
      </c>
      <c r="E97" s="928"/>
      <c r="F97" s="928" t="s">
        <v>0</v>
      </c>
    </row>
    <row r="98" spans="2:6" ht="20.149999999999999" customHeight="1" x14ac:dyDescent="0.3">
      <c r="B98" s="929" t="s">
        <v>436</v>
      </c>
      <c r="D98" s="924">
        <v>0</v>
      </c>
      <c r="E98" s="925"/>
      <c r="F98" s="924">
        <v>15</v>
      </c>
    </row>
    <row r="99" spans="2:6" ht="20.149999999999999" customHeight="1" x14ac:dyDescent="0.25">
      <c r="D99" s="934" t="s">
        <v>438</v>
      </c>
      <c r="F99" s="935" t="s">
        <v>439</v>
      </c>
    </row>
    <row r="100" spans="2:6" ht="20.149999999999999" customHeight="1" x14ac:dyDescent="0.25">
      <c r="B100" s="930" t="s">
        <v>444</v>
      </c>
      <c r="D100" s="781">
        <v>0</v>
      </c>
      <c r="F100" s="781">
        <v>0</v>
      </c>
    </row>
    <row r="101" spans="2:6" ht="20.149999999999999" customHeight="1" x14ac:dyDescent="0.25">
      <c r="B101" s="931" t="s">
        <v>445</v>
      </c>
      <c r="C101" s="932"/>
      <c r="D101" s="932">
        <v>15</v>
      </c>
      <c r="E101" s="932"/>
      <c r="F101" s="932">
        <v>15</v>
      </c>
    </row>
    <row r="102" spans="2:6" ht="20.149999999999999" customHeight="1" x14ac:dyDescent="0.25">
      <c r="B102" s="931"/>
      <c r="C102" s="932"/>
      <c r="D102" s="932"/>
      <c r="E102" s="932"/>
      <c r="F102" s="932"/>
    </row>
    <row r="103" spans="2:6" ht="23.25" customHeight="1" x14ac:dyDescent="0.3">
      <c r="B103" s="936" t="s">
        <v>442</v>
      </c>
      <c r="C103" s="927"/>
      <c r="D103" s="928" t="s">
        <v>414</v>
      </c>
      <c r="E103" s="928"/>
      <c r="F103" s="928" t="s">
        <v>0</v>
      </c>
    </row>
    <row r="104" spans="2:6" ht="20.149999999999999" customHeight="1" x14ac:dyDescent="0.3">
      <c r="B104" s="929" t="s">
        <v>434</v>
      </c>
      <c r="D104" s="924">
        <v>33</v>
      </c>
      <c r="E104" s="925"/>
      <c r="F104" s="924">
        <v>35</v>
      </c>
    </row>
  </sheetData>
  <mergeCells count="22">
    <mergeCell ref="B47:B48"/>
    <mergeCell ref="B55:D55"/>
    <mergeCell ref="A68:G69"/>
    <mergeCell ref="A72:G73"/>
    <mergeCell ref="C29:D29"/>
    <mergeCell ref="E29:F29"/>
    <mergeCell ref="G29:H29"/>
    <mergeCell ref="C38:E38"/>
    <mergeCell ref="C40:E40"/>
    <mergeCell ref="B43:B44"/>
    <mergeCell ref="C28:D28"/>
    <mergeCell ref="F1:F2"/>
    <mergeCell ref="I2:J2"/>
    <mergeCell ref="N3:P3"/>
    <mergeCell ref="N4:P4"/>
    <mergeCell ref="N5:P5"/>
    <mergeCell ref="N6:P6"/>
    <mergeCell ref="N7:P7"/>
    <mergeCell ref="N8:P8"/>
    <mergeCell ref="N9:P9"/>
    <mergeCell ref="M19:N19"/>
    <mergeCell ref="F27:G27"/>
  </mergeCells>
  <conditionalFormatting sqref="D59:D60">
    <cfRule type="cellIs" dxfId="168" priority="1" stopIfTrue="1" operator="equal">
      <formula>"No"</formula>
    </cfRule>
  </conditionalFormatting>
  <dataValidations count="17">
    <dataValidation operator="greaterThan" allowBlank="1" showInputMessage="1" showErrorMessage="1" sqref="Q6" xr:uid="{00000000-0002-0000-0700-000000000000}"/>
    <dataValidation type="decimal" allowBlank="1" showInputMessage="1" showErrorMessage="1" sqref="F87:F88 F104" xr:uid="{00000000-0002-0000-0700-000001000000}">
      <formula1>0</formula1>
      <formula2>65</formula2>
    </dataValidation>
    <dataValidation type="decimal" allowBlank="1" showInputMessage="1" showErrorMessage="1" sqref="F92 F98" xr:uid="{00000000-0002-0000-0700-000002000000}">
      <formula1>0</formula1>
      <formula2>80</formula2>
    </dataValidation>
    <dataValidation type="decimal" allowBlank="1" showInputMessage="1" showErrorMessage="1" sqref="D92 D87:D88 D98 D104" xr:uid="{00000000-0002-0000-0700-000003000000}">
      <formula1>0</formula1>
      <formula2>50</formula2>
    </dataValidation>
    <dataValidation type="decimal" allowBlank="1" showInputMessage="1" showErrorMessage="1" sqref="F81 D83" xr:uid="{00000000-0002-0000-0700-000004000000}">
      <formula1>0</formula1>
      <formula2>10000</formula2>
    </dataValidation>
    <dataValidation type="decimal" allowBlank="1" showInputMessage="1" showErrorMessage="1" sqref="F75" xr:uid="{00000000-0002-0000-0700-000005000000}">
      <formula1>0</formula1>
      <formula2>25</formula2>
    </dataValidation>
    <dataValidation type="decimal" allowBlank="1" showInputMessage="1" showErrorMessage="1" sqref="D59:D60" xr:uid="{00000000-0002-0000-0700-000006000000}">
      <formula1>0</formula1>
      <formula2>100</formula2>
    </dataValidation>
    <dataValidation type="decimal" operator="greaterThanOrEqual" allowBlank="1" showInputMessage="1" showErrorMessage="1" sqref="D19 D21" xr:uid="{00000000-0002-0000-0700-000007000000}">
      <formula1>0</formula1>
    </dataValidation>
    <dataValidation type="decimal" operator="greaterThan" allowBlank="1" showInputMessage="1" showErrorMessage="1" sqref="R8:R9 R4:R6" xr:uid="{00000000-0002-0000-0700-000008000000}">
      <formula1>0</formula1>
    </dataValidation>
    <dataValidation type="whole" allowBlank="1" showInputMessage="1" showErrorMessage="1" sqref="B55:D55" xr:uid="{00000000-0002-0000-0700-000009000000}">
      <formula1>0</formula1>
      <formula2>100000</formula2>
    </dataValidation>
    <dataValidation type="decimal" operator="greaterThan" allowBlank="1" showInputMessage="1" showErrorMessage="1" sqref="K4:K6 K78:K90" xr:uid="{00000000-0002-0000-0700-00000A000000}">
      <formula1>-1</formula1>
    </dataValidation>
    <dataValidation type="whole" operator="greaterThan" allowBlank="1" showInputMessage="1" showErrorMessage="1" sqref="K8:K15 K91:K94 K59:K76 K3 K53:K57 K42:K51 J38:K40 K34:K36 K27:K32 M27:M29 K23:K25 K17:K21 M17:M18" xr:uid="{00000000-0002-0000-0700-00000B000000}">
      <formula1>-1</formula1>
    </dataValidation>
    <dataValidation type="list" allowBlank="1" showInputMessage="1" showErrorMessage="1" sqref="C40:E40" xr:uid="{00000000-0002-0000-0700-00000C000000}">
      <formula1>"0,25000,50000,75000,100000,125000,150000,175000,200000"</formula1>
    </dataValidation>
    <dataValidation type="whole" operator="greaterThanOrEqual" allowBlank="1" showInputMessage="1" showErrorMessage="1" sqref="D42 G20:H20 D20" xr:uid="{00000000-0002-0000-0700-00000D000000}">
      <formula1>0</formula1>
    </dataValidation>
    <dataValidation type="whole" operator="greaterThan" allowBlank="1" showInputMessage="1" showErrorMessage="1" sqref="K7 R7 Q4:Q5 Q7:Q9" xr:uid="{00000000-0002-0000-0700-00000E000000}">
      <formula1>0</formula1>
    </dataValidation>
    <dataValidation type="list" allowBlank="1" showInputMessage="1" showErrorMessage="1" sqref="M14:M15 M21" xr:uid="{00000000-0002-0000-0700-00000F000000}">
      <formula1>"Free,Charge"</formula1>
    </dataValidation>
    <dataValidation type="list" allowBlank="1" showInputMessage="1" showErrorMessage="1" sqref="D63:D64 D58 O19 D47 D43 D41 C28 D39 D45 D50 F20 D52 D61 D67 D71 D75:D76 D79 D81" xr:uid="{00000000-0002-0000-0700-000010000000}">
      <formula1>"Yes,No"</formula1>
    </dataValidation>
  </dataValidations>
  <pageMargins left="0.25" right="0" top="0.25" bottom="0" header="0.5" footer="0"/>
  <pageSetup scale="69" orientation="portrait" verticalDpi="18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X43"/>
  <sheetViews>
    <sheetView workbookViewId="0">
      <selection activeCell="F14" sqref="F14"/>
    </sheetView>
  </sheetViews>
  <sheetFormatPr defaultColWidth="9.1796875" defaultRowHeight="20.149999999999999" customHeight="1" x14ac:dyDescent="0.25"/>
  <cols>
    <col min="1" max="1" width="5.1796875" style="939" customWidth="1"/>
    <col min="2" max="3" width="10.26953125" style="939" customWidth="1"/>
    <col min="4" max="4" width="1.7265625" style="939" customWidth="1"/>
    <col min="5" max="5" width="3.54296875" style="939" customWidth="1"/>
    <col min="6" max="6" width="10.1796875" style="939" customWidth="1"/>
    <col min="7" max="7" width="5.453125" style="939" customWidth="1"/>
    <col min="8" max="8" width="4.1796875" style="939" customWidth="1"/>
    <col min="9" max="9" width="3.7265625" style="939" customWidth="1"/>
    <col min="10" max="10" width="10.1796875" style="939" customWidth="1"/>
    <col min="11" max="11" width="6.54296875" style="939" customWidth="1"/>
    <col min="12" max="12" width="9.54296875" style="939" customWidth="1"/>
    <col min="13" max="13" width="2.26953125" style="939" customWidth="1"/>
    <col min="14" max="14" width="10.7265625" style="939" customWidth="1"/>
    <col min="15" max="15" width="13.54296875" style="939" customWidth="1"/>
    <col min="16" max="16" width="9.453125" style="939" bestFit="1" customWidth="1"/>
    <col min="17" max="19" width="9.1796875" style="939"/>
    <col min="20" max="20" width="11.453125" style="939" customWidth="1"/>
    <col min="21" max="21" width="10.453125" style="939" bestFit="1" customWidth="1"/>
    <col min="22" max="16384" width="9.1796875" style="939"/>
  </cols>
  <sheetData>
    <row r="1" spans="1:24" ht="20.149999999999999" customHeight="1" x14ac:dyDescent="0.3">
      <c r="A1" s="1709"/>
      <c r="B1" s="1710"/>
      <c r="C1" s="1710"/>
      <c r="D1" s="1710"/>
      <c r="E1" s="1710"/>
      <c r="F1" s="1710"/>
      <c r="G1" s="1710"/>
      <c r="H1" s="1710"/>
      <c r="I1" s="1710"/>
      <c r="J1" s="937"/>
      <c r="K1" s="937"/>
      <c r="L1" s="937"/>
      <c r="M1" s="938"/>
      <c r="R1" s="940" t="s">
        <v>327</v>
      </c>
      <c r="S1" s="940">
        <f>IF(O3&gt;DATE('MC Working'!I4,2,28),K3,'MC Working'!I4)</f>
        <v>2014</v>
      </c>
      <c r="T1" s="939">
        <f>IF(OR(S1=2008,S1=2012,S1=2016,S1=2020),366,365)</f>
        <v>365</v>
      </c>
      <c r="U1" s="941" t="s">
        <v>222</v>
      </c>
      <c r="V1" s="941" t="s">
        <v>328</v>
      </c>
      <c r="W1" s="942" t="s">
        <v>329</v>
      </c>
    </row>
    <row r="2" spans="1:24" ht="20.149999999999999" customHeight="1" thickBot="1" x14ac:dyDescent="0.3">
      <c r="A2" s="943"/>
      <c r="B2" s="944"/>
      <c r="C2" s="944"/>
      <c r="D2" s="944"/>
      <c r="E2" s="944"/>
      <c r="F2" s="944"/>
      <c r="G2" s="944"/>
      <c r="H2" s="940"/>
      <c r="I2" s="940"/>
      <c r="J2" s="940"/>
      <c r="K2" s="940"/>
      <c r="L2" s="940"/>
      <c r="M2" s="945"/>
      <c r="O2" s="942" t="s">
        <v>206</v>
      </c>
      <c r="P2" s="942" t="s">
        <v>205</v>
      </c>
      <c r="Q2" s="942"/>
      <c r="R2" s="939" t="s">
        <v>330</v>
      </c>
      <c r="S2" s="939">
        <f>IF(OR('MC Working'!I4=2008,'MC Working'!I4=2012,'MC Working'!I4=2016,'MC Working'!I4=2020),29,28)</f>
        <v>28</v>
      </c>
      <c r="T2" s="939">
        <f>IF(OR(K3=2008,K3=2012,K3=2016,K3=2020),29,28)</f>
        <v>28</v>
      </c>
      <c r="U2" s="942">
        <f>IF(AND('MC Working'!G4=1,'MC Working'!H4="January"),'MC Working'!I4,'MC Working'!I4+1)</f>
        <v>2014</v>
      </c>
      <c r="V2" s="939" t="str">
        <f>IF('MC Working'!G4-1=0,V4,'MC Working'!H4)</f>
        <v>August</v>
      </c>
      <c r="W2" s="939">
        <f>IF('MC Working'!G4-1=0,W4,'MC Working'!G4-1)</f>
        <v>23</v>
      </c>
    </row>
    <row r="3" spans="1:24" ht="15.75" customHeight="1" thickBot="1" x14ac:dyDescent="0.3">
      <c r="A3" s="943"/>
      <c r="B3" s="944"/>
      <c r="C3" s="944"/>
      <c r="D3" s="944"/>
      <c r="E3" s="944"/>
      <c r="F3" s="944"/>
      <c r="G3" s="944"/>
      <c r="H3" s="946" t="s">
        <v>331</v>
      </c>
      <c r="I3" s="947">
        <f>W2</f>
        <v>23</v>
      </c>
      <c r="J3" s="947" t="str">
        <f>V2</f>
        <v>August</v>
      </c>
      <c r="K3" s="947">
        <f>U2</f>
        <v>2014</v>
      </c>
      <c r="L3" s="940"/>
      <c r="M3" s="945"/>
      <c r="O3" s="948">
        <f>DATE('MC Working'!I4,P3,'MC Working'!G4)</f>
        <v>41510</v>
      </c>
      <c r="P3" s="939">
        <f>IF('MC Working'!H4="January",1,IF('MC Working'!H4="February",2,IF('MC Working'!H4="March",3,IF('MC Working'!H4="April",4,IF('MC Working'!H4="May",5,IF('MC Working'!H4="June",6,IF('MC Working'!H4="July",7,IF('MC Working'!H4="August",8,Q3))))))))</f>
        <v>8</v>
      </c>
      <c r="Q3" s="939">
        <f>IF('MC Working'!H4="September",9,IF('MC Working'!H4="October",10,IF('MC Working'!H4="November",11,12)))</f>
        <v>12</v>
      </c>
      <c r="R3" s="939" t="s">
        <v>332</v>
      </c>
      <c r="S3" s="939">
        <f>IF(AND(P3=2,'MC Working'!G4&gt;S2),0,IF(AND(P3=4,'MC Working'!G4&gt;30),0,IF(AND(P3=6,'MC Working'!G4&gt;30),0,IF(AND(P3=9,'MC Working'!G4&gt;30),0,IF(AND(P3=11,'MC Working'!G4&gt;30),0,1)))))</f>
        <v>1</v>
      </c>
    </row>
    <row r="4" spans="1:24" ht="15.75" customHeight="1" x14ac:dyDescent="0.25">
      <c r="A4" s="943"/>
      <c r="B4" s="944"/>
      <c r="C4" s="944"/>
      <c r="D4" s="944"/>
      <c r="E4" s="944"/>
      <c r="F4" s="944"/>
      <c r="G4" s="944"/>
      <c r="H4" s="940"/>
      <c r="I4" s="949"/>
      <c r="J4" s="949"/>
      <c r="K4" s="949"/>
      <c r="L4" s="949"/>
      <c r="M4" s="950"/>
      <c r="N4" s="951"/>
      <c r="O4" s="948">
        <f>DATE(K3,P4,I3)</f>
        <v>41874</v>
      </c>
      <c r="P4" s="939">
        <f>IF(J3="January",1,IF(J3="February",2,IF(J3="March",3,IF(J3="April",4,IF(J3="May",5,IF(J3="June",6,IF(J3="July",7,IF(J3="August",8,Q4))))))))</f>
        <v>8</v>
      </c>
      <c r="Q4" s="939">
        <f>IF(J3="September",9,IF(J3="October",10,IF(J3="November",11,12)))</f>
        <v>12</v>
      </c>
      <c r="R4" s="939" t="s">
        <v>332</v>
      </c>
      <c r="S4" s="939">
        <f>IF(AND(P4=2,I3&gt;S2),0,IF(AND(P4=4,I3&gt;30),0,IF(AND(P4=6,I3&gt;30),0,IF(AND(P4=9,I3&gt;30),0,IF(AND(P4=11,I3&gt;30),0,1)))))</f>
        <v>1</v>
      </c>
      <c r="T4" s="952" t="s">
        <v>333</v>
      </c>
      <c r="U4" s="939">
        <f>IF('MC Working'!$H$4="January",31,IF('MC Working'!$H$4="February",S2,IF('MC Working'!$H$4="March",31,IF('MC Working'!$H$4="April",30,IF('MC Working'!$H$4="May",31,IF('MC Working'!$H$4="June",30,IF('MC Working'!$H$4="July",31,IF('MC Working'!$H$4="August",31,U5))))))))</f>
        <v>31</v>
      </c>
      <c r="V4" s="939" t="str">
        <f>IF('MC Working'!$H$4="January","December",IF('MC Working'!$H$4="February","January",IF('MC Working'!$H$4="March","February",IF('MC Working'!$H$4="April","March",IF('MC Working'!$H$4="May","April",IF('MC Working'!$H$4="June","May",IF('MC Working'!$H$4="July","June",IF('MC Working'!$H$4="August","July",V5))))))))</f>
        <v>July</v>
      </c>
      <c r="W4" s="939">
        <f>IF(V4="January",31,IF(V4="February",T2,IF(V4="March",31,IF(V4="April",30,IF(V4="May",31,IF(V4="June",30,IF(V4="July",31,IF(V4="August",31,W5))))))))</f>
        <v>31</v>
      </c>
    </row>
    <row r="5" spans="1:24" ht="12.75" customHeight="1" thickBot="1" x14ac:dyDescent="0.3">
      <c r="A5" s="943"/>
      <c r="B5" s="944"/>
      <c r="C5" s="944"/>
      <c r="D5" s="944"/>
      <c r="E5" s="944"/>
      <c r="F5" s="944"/>
      <c r="G5" s="944"/>
      <c r="H5" s="953"/>
      <c r="I5" s="1711" t="str">
        <f>IF('MC Working'!H3="Short period","Period Used (only for Short Period)","")</f>
        <v/>
      </c>
      <c r="J5" s="1711"/>
      <c r="K5" s="1711"/>
      <c r="L5" s="1711"/>
      <c r="M5" s="950"/>
      <c r="N5" s="954"/>
      <c r="O5" s="948"/>
      <c r="U5" s="939">
        <f>IF('MC Working'!$H$4="September",30,IF('MC Working'!$H$4="October",31,IF('MC Working'!$H$4="November",30,31)))</f>
        <v>31</v>
      </c>
      <c r="V5" s="939" t="str">
        <f>IF('MC Working'!$H$4="September","August",IF('MC Working'!$H$4="October","September",IF('MC Working'!$H$4="November","October","November")))</f>
        <v>November</v>
      </c>
      <c r="W5" s="939">
        <f>IF(V4="September",30,IF(V4="October",31,IF(V4="November",30,31)))</f>
        <v>31</v>
      </c>
    </row>
    <row r="6" spans="1:24" ht="13.5" customHeight="1" thickBot="1" x14ac:dyDescent="0.3">
      <c r="A6" s="943"/>
      <c r="B6" s="944"/>
      <c r="C6" s="944"/>
      <c r="D6" s="944"/>
      <c r="E6" s="944"/>
      <c r="F6" s="944"/>
      <c r="G6" s="944"/>
      <c r="H6" s="955"/>
      <c r="I6" s="1712" t="str">
        <f>IF(AND(O6&gt;=O3,O6&lt;=U10),"Not Exceeding 1 Week",IF(AND(O6&gt;U10,O6&lt;U11),"Not Exceeding 1 Month",IF(AND(O6&gt;=U11,O6&lt;U12),"Not Exceeding 2 Months",IF(AND(O6&gt;=U12,O6&lt;U13),"Not Exceeding 3 Months",IF(AND(O6&gt;=U13,O6&lt;U14),"Not Exceeding 4 Months",IF(AND(O6&gt;=U14,O6&lt;U15),"Not Exceeding 6 Months",IF(AND(O6&gt;=U15,O6&lt;U16),"Not Exceeding 8 Months",U18)))))))</f>
        <v>Not Exceeding 4 Months</v>
      </c>
      <c r="J6" s="1713"/>
      <c r="K6" s="1713"/>
      <c r="L6" s="1714"/>
      <c r="M6" s="945"/>
      <c r="O6" s="948">
        <f>DATE('MC Working'!I5,P6,'MC Working'!G5)</f>
        <v>41606</v>
      </c>
      <c r="P6" s="939">
        <f>IF('MC Working'!H5="January",1,IF('MC Working'!H5="February",2,IF('MC Working'!H5="March",3,IF('MC Working'!H5="April",4,IF('MC Working'!H5="May",5,IF('MC Working'!H5="June",6,IF('MC Working'!H5="July",7,IF('MC Working'!H5="August",8,Q6))))))))</f>
        <v>11</v>
      </c>
      <c r="Q6" s="939">
        <f>IF('MC Working'!H5="September",9,IF('MC Working'!H5="October",10,IF('MC Working'!H5="November",11,12)))</f>
        <v>11</v>
      </c>
      <c r="R6" s="939" t="s">
        <v>332</v>
      </c>
      <c r="S6" s="939">
        <f>IF(AND(P6=2,'MC Working'!G5&gt;S2),0,IF(AND(P6=4,'MC Working'!G5&gt;30),0,IF(AND(P6=6,'MC Working'!G5&gt;30),0,IF(AND(P6=9,'MC Working'!G5&gt;30),0,IF(AND(P6=11,'MC Working'!G5&gt;30),0,1)))))</f>
        <v>1</v>
      </c>
    </row>
    <row r="7" spans="1:24" ht="15" customHeight="1" thickBot="1" x14ac:dyDescent="0.3">
      <c r="A7" s="943"/>
      <c r="B7" s="944"/>
      <c r="C7" s="944"/>
      <c r="D7" s="944"/>
      <c r="E7" s="944"/>
      <c r="F7" s="944"/>
      <c r="G7" s="944"/>
      <c r="H7" s="955"/>
      <c r="I7" s="940"/>
      <c r="J7" s="955"/>
      <c r="K7" s="940"/>
      <c r="L7" s="940"/>
      <c r="M7" s="945"/>
      <c r="O7" s="942" t="s">
        <v>335</v>
      </c>
    </row>
    <row r="8" spans="1:24" ht="16.5" customHeight="1" thickBot="1" x14ac:dyDescent="0.3">
      <c r="A8" s="943"/>
      <c r="B8" s="944"/>
      <c r="C8" s="944"/>
      <c r="D8" s="956"/>
      <c r="E8" s="956" t="s">
        <v>336</v>
      </c>
      <c r="F8" s="940"/>
      <c r="G8" s="955"/>
      <c r="H8" s="957">
        <f>T1-P8</f>
        <v>268</v>
      </c>
      <c r="I8" s="956" t="s">
        <v>337</v>
      </c>
      <c r="J8" s="955"/>
      <c r="K8" s="940"/>
      <c r="L8" s="940"/>
      <c r="M8" s="945"/>
      <c r="O8" s="958">
        <f>((O4-O3))*S3*S4</f>
        <v>364</v>
      </c>
      <c r="P8" s="958">
        <f>(O6-O3)+1</f>
        <v>97</v>
      </c>
    </row>
    <row r="9" spans="1:24" ht="14.25" customHeight="1" thickBot="1" x14ac:dyDescent="0.3">
      <c r="A9" s="943"/>
      <c r="B9" s="944"/>
      <c r="C9" s="944"/>
      <c r="D9" s="940"/>
      <c r="E9" s="956" t="s">
        <v>356</v>
      </c>
      <c r="F9" s="955"/>
      <c r="G9" s="955"/>
      <c r="H9" s="959">
        <f>P8</f>
        <v>97</v>
      </c>
      <c r="I9" s="956"/>
      <c r="J9" s="960">
        <f>IF('MC Working'!H3="Short Period",'Calculation (2)'!O12,'Calculation (2)'!O14)*'Calculation (2)'!S3*'Calculation (2)'!S4*'Calculation (2)'!S6*'Calculation (2)'!N11</f>
        <v>0.26575342465753427</v>
      </c>
      <c r="K9" s="940"/>
      <c r="L9" s="940"/>
      <c r="M9" s="945"/>
      <c r="N9" s="961" t="s">
        <v>332</v>
      </c>
      <c r="O9" s="939">
        <f>IF(OR(O8&lt;1,O8&gt;90),0,1)</f>
        <v>0</v>
      </c>
      <c r="V9" s="942" t="s">
        <v>204</v>
      </c>
      <c r="W9" s="939" t="s">
        <v>205</v>
      </c>
      <c r="X9" s="939" t="s">
        <v>206</v>
      </c>
    </row>
    <row r="10" spans="1:24" ht="20.149999999999999" customHeight="1" x14ac:dyDescent="0.25">
      <c r="A10" s="943"/>
      <c r="B10" s="962"/>
      <c r="C10" s="962"/>
      <c r="D10" s="944"/>
      <c r="E10" s="944"/>
      <c r="F10" s="944"/>
      <c r="G10" s="944"/>
      <c r="H10" s="944"/>
      <c r="I10" s="944"/>
      <c r="J10" s="944"/>
      <c r="K10" s="940"/>
      <c r="L10" s="940"/>
      <c r="M10" s="945"/>
      <c r="T10" s="939" t="s">
        <v>338</v>
      </c>
      <c r="U10" s="948">
        <f>O3+6</f>
        <v>41516</v>
      </c>
    </row>
    <row r="11" spans="1:24" ht="15" customHeight="1" x14ac:dyDescent="0.25">
      <c r="A11" s="943"/>
      <c r="B11" s="944"/>
      <c r="C11" s="944"/>
      <c r="D11" s="944"/>
      <c r="E11" s="944"/>
      <c r="F11" s="944"/>
      <c r="G11" s="944"/>
      <c r="H11" s="944"/>
      <c r="I11" s="944"/>
      <c r="J11" s="944"/>
      <c r="K11" s="944"/>
      <c r="L11" s="944"/>
      <c r="M11" s="944"/>
      <c r="N11" s="939">
        <f>IF(OR(S6=0,OR(O6&lt;O3,O6&gt;=O4)),0,1)</f>
        <v>1</v>
      </c>
      <c r="O11" s="963"/>
      <c r="T11" s="939" t="s">
        <v>339</v>
      </c>
      <c r="U11" s="948">
        <f>DATE(YEAR($O$3),MONTH($O$3)+1,DAY($O$3))</f>
        <v>41541</v>
      </c>
      <c r="V11" s="939">
        <v>2008</v>
      </c>
      <c r="W11" s="942">
        <f>MONTH(O3)</f>
        <v>8</v>
      </c>
      <c r="X11" s="964">
        <f>IF('MC Working'!G4-1=0,W2,'MC Working'!G4-1)</f>
        <v>23</v>
      </c>
    </row>
    <row r="12" spans="1:24" ht="15" customHeight="1" x14ac:dyDescent="0.25">
      <c r="A12" s="943"/>
      <c r="B12" s="944"/>
      <c r="C12" s="944"/>
      <c r="D12" s="944"/>
      <c r="E12" s="944"/>
      <c r="F12" s="944"/>
      <c r="G12" s="944"/>
      <c r="H12" s="944"/>
      <c r="I12" s="944"/>
      <c r="J12" s="944"/>
      <c r="K12" s="944"/>
      <c r="L12" s="944"/>
      <c r="M12" s="944"/>
      <c r="N12" s="1697" t="s">
        <v>340</v>
      </c>
      <c r="O12" s="1698">
        <f>IF(I6="Not Exceeding 1 week",1/8,IF(I6="Not Exceeding 1 Month",1/4,IF(I6="Not Exceeding 2 Months",3/8,IF(I6="Not Exceeding 3 Months",1/2,IF(I6="Not Exceeding 4 Months",5/8,IF(I6="Not Exceeding 6 Months",3/4,IF(I6="Not Exceeding 8 Months",7/8,1)))))))</f>
        <v>0.625</v>
      </c>
      <c r="P12" s="939" t="s">
        <v>341</v>
      </c>
      <c r="Q12" s="964">
        <v>31</v>
      </c>
      <c r="T12" s="939" t="s">
        <v>342</v>
      </c>
      <c r="U12" s="948">
        <f>DATE(YEAR($O$3),MONTH($O$3)+2,DAY($O$3))</f>
        <v>41571</v>
      </c>
    </row>
    <row r="13" spans="1:24" ht="15" customHeight="1" x14ac:dyDescent="0.25">
      <c r="A13" s="943"/>
      <c r="B13" s="944"/>
      <c r="C13" s="944"/>
      <c r="D13" s="944"/>
      <c r="E13" s="944"/>
      <c r="F13" s="944"/>
      <c r="G13" s="944"/>
      <c r="H13" s="944"/>
      <c r="I13" s="944"/>
      <c r="J13" s="944"/>
      <c r="K13" s="944"/>
      <c r="L13" s="944"/>
      <c r="M13" s="944"/>
      <c r="N13" s="1697"/>
      <c r="O13" s="1698"/>
      <c r="P13" s="939" t="s">
        <v>330</v>
      </c>
      <c r="Q13" s="964">
        <f>S2</f>
        <v>28</v>
      </c>
      <c r="T13" s="939" t="s">
        <v>343</v>
      </c>
      <c r="U13" s="948">
        <f>DATE(YEAR($O$3),MONTH($O$3)+3,DAY($O$3))</f>
        <v>41602</v>
      </c>
    </row>
    <row r="14" spans="1:24" ht="15" customHeight="1" x14ac:dyDescent="0.25">
      <c r="A14" s="943"/>
      <c r="B14" s="944"/>
      <c r="C14" s="944"/>
      <c r="D14" s="944"/>
      <c r="E14" s="944"/>
      <c r="F14" s="944"/>
      <c r="G14" s="944"/>
      <c r="H14" s="944"/>
      <c r="I14" s="944"/>
      <c r="J14" s="944"/>
      <c r="K14" s="944"/>
      <c r="L14" s="944"/>
      <c r="M14" s="944"/>
      <c r="N14" s="1697" t="s">
        <v>344</v>
      </c>
      <c r="O14" s="1699">
        <f>P8/365</f>
        <v>0.26575342465753427</v>
      </c>
      <c r="P14" s="939" t="s">
        <v>322</v>
      </c>
      <c r="Q14" s="964">
        <v>31</v>
      </c>
      <c r="T14" s="939" t="s">
        <v>345</v>
      </c>
      <c r="U14" s="948">
        <f>DATE(YEAR($O$3),MONTH($O$3)+4,DAY($O$3))</f>
        <v>41632</v>
      </c>
    </row>
    <row r="15" spans="1:24" ht="15" customHeight="1" x14ac:dyDescent="0.25">
      <c r="A15" s="943"/>
      <c r="B15" s="944"/>
      <c r="C15" s="944"/>
      <c r="D15" s="944"/>
      <c r="E15" s="944"/>
      <c r="F15" s="944"/>
      <c r="G15" s="944"/>
      <c r="H15" s="944"/>
      <c r="I15" s="944"/>
      <c r="J15" s="944"/>
      <c r="K15" s="944"/>
      <c r="L15" s="944"/>
      <c r="M15" s="944"/>
      <c r="N15" s="1697"/>
      <c r="O15" s="1699"/>
      <c r="P15" s="939" t="s">
        <v>346</v>
      </c>
      <c r="Q15" s="964">
        <v>30</v>
      </c>
      <c r="T15" s="939" t="s">
        <v>347</v>
      </c>
      <c r="U15" s="948">
        <f>DATE(YEAR($O$3),MONTH($O$3)+6,DAY($O$3))</f>
        <v>41694</v>
      </c>
    </row>
    <row r="16" spans="1:24" ht="15" customHeight="1" x14ac:dyDescent="0.25">
      <c r="A16" s="943"/>
      <c r="B16" s="944"/>
      <c r="C16" s="944"/>
      <c r="D16" s="944"/>
      <c r="E16" s="944"/>
      <c r="F16" s="944"/>
      <c r="G16" s="944"/>
      <c r="H16" s="944"/>
      <c r="I16" s="944"/>
      <c r="J16" s="944"/>
      <c r="K16" s="944"/>
      <c r="L16" s="944"/>
      <c r="M16" s="944"/>
      <c r="O16" s="963"/>
      <c r="P16" s="939" t="s">
        <v>348</v>
      </c>
      <c r="Q16" s="964">
        <v>31</v>
      </c>
      <c r="T16" s="939" t="s">
        <v>349</v>
      </c>
      <c r="U16" s="948">
        <f>DATE(YEAR($O$3),MONTH($O$3)+8,DAY($O$3))</f>
        <v>41753</v>
      </c>
    </row>
    <row r="17" spans="1:21" ht="15" customHeight="1" x14ac:dyDescent="0.25">
      <c r="A17" s="943"/>
      <c r="B17" s="944"/>
      <c r="C17" s="944"/>
      <c r="D17" s="944"/>
      <c r="E17" s="944"/>
      <c r="F17" s="944"/>
      <c r="G17" s="944"/>
      <c r="H17" s="944"/>
      <c r="I17" s="944"/>
      <c r="J17" s="944"/>
      <c r="K17" s="944"/>
      <c r="L17" s="944"/>
      <c r="M17" s="944"/>
      <c r="O17" s="963"/>
      <c r="P17" s="939" t="s">
        <v>350</v>
      </c>
      <c r="Q17" s="964">
        <v>30</v>
      </c>
    </row>
    <row r="18" spans="1:21" ht="15" customHeight="1" x14ac:dyDescent="0.25">
      <c r="A18" s="943"/>
      <c r="B18" s="944"/>
      <c r="C18" s="944"/>
      <c r="D18" s="944"/>
      <c r="E18" s="944"/>
      <c r="F18" s="944"/>
      <c r="G18" s="944"/>
      <c r="H18" s="944"/>
      <c r="I18" s="944"/>
      <c r="J18" s="944"/>
      <c r="K18" s="944"/>
      <c r="L18" s="944"/>
      <c r="M18" s="944"/>
      <c r="N18" s="961"/>
      <c r="O18" s="963"/>
      <c r="P18" s="939" t="s">
        <v>334</v>
      </c>
      <c r="Q18" s="964">
        <v>31</v>
      </c>
      <c r="U18" s="939" t="str">
        <f>IF(AND(O6&gt;U16,O6&lt;=O4),"Exceeding 8 Months","Out of Period")</f>
        <v>Out of Period</v>
      </c>
    </row>
    <row r="19" spans="1:21" ht="15" customHeight="1" x14ac:dyDescent="0.25">
      <c r="A19" s="943"/>
      <c r="B19" s="944"/>
      <c r="C19" s="944"/>
      <c r="D19" s="944"/>
      <c r="E19" s="944"/>
      <c r="F19" s="944"/>
      <c r="G19" s="944"/>
      <c r="H19" s="944"/>
      <c r="I19" s="944"/>
      <c r="J19" s="944"/>
      <c r="K19" s="940"/>
      <c r="L19" s="940">
        <f>100-L18</f>
        <v>100</v>
      </c>
      <c r="M19" s="945"/>
      <c r="N19" s="961"/>
      <c r="O19" s="963"/>
      <c r="P19" s="939" t="s">
        <v>351</v>
      </c>
      <c r="Q19" s="964">
        <v>31</v>
      </c>
    </row>
    <row r="20" spans="1:21" ht="15" customHeight="1" x14ac:dyDescent="0.25">
      <c r="A20" s="943"/>
      <c r="B20" s="944"/>
      <c r="C20" s="944"/>
      <c r="D20" s="944"/>
      <c r="E20" s="944"/>
      <c r="F20" s="944"/>
      <c r="G20" s="944"/>
      <c r="H20" s="944"/>
      <c r="I20" s="944"/>
      <c r="J20" s="944"/>
      <c r="K20" s="940"/>
      <c r="L20" s="940"/>
      <c r="M20" s="945"/>
      <c r="O20" s="963"/>
      <c r="P20" s="939" t="s">
        <v>352</v>
      </c>
      <c r="Q20" s="964">
        <v>30</v>
      </c>
    </row>
    <row r="21" spans="1:21" ht="15" customHeight="1" x14ac:dyDescent="0.25">
      <c r="A21" s="943"/>
      <c r="B21" s="944"/>
      <c r="C21" s="944"/>
      <c r="D21" s="944"/>
      <c r="E21" s="944"/>
      <c r="F21" s="944"/>
      <c r="G21" s="944"/>
      <c r="H21" s="944"/>
      <c r="I21" s="944"/>
      <c r="J21" s="944"/>
      <c r="K21" s="940"/>
      <c r="L21" s="940"/>
      <c r="M21" s="945"/>
      <c r="O21" s="963"/>
      <c r="P21" s="939" t="s">
        <v>353</v>
      </c>
      <c r="Q21" s="964">
        <v>31</v>
      </c>
    </row>
    <row r="22" spans="1:21" ht="15" customHeight="1" x14ac:dyDescent="0.25">
      <c r="A22" s="943"/>
      <c r="B22" s="944"/>
      <c r="C22" s="944"/>
      <c r="D22" s="944"/>
      <c r="E22" s="944"/>
      <c r="F22" s="944"/>
      <c r="G22" s="944"/>
      <c r="H22" s="944"/>
      <c r="I22" s="944"/>
      <c r="J22" s="944"/>
      <c r="K22" s="940"/>
      <c r="L22" s="940"/>
      <c r="M22" s="945"/>
      <c r="P22" s="939" t="s">
        <v>354</v>
      </c>
      <c r="Q22" s="964">
        <v>30</v>
      </c>
    </row>
    <row r="23" spans="1:21" ht="15" customHeight="1" x14ac:dyDescent="0.25">
      <c r="A23" s="943"/>
      <c r="B23" s="944"/>
      <c r="C23" s="944"/>
      <c r="D23" s="944"/>
      <c r="E23" s="944"/>
      <c r="F23" s="944"/>
      <c r="G23" s="944"/>
      <c r="H23" s="944"/>
      <c r="I23" s="944"/>
      <c r="J23" s="944"/>
      <c r="K23" s="940"/>
      <c r="L23" s="940"/>
      <c r="M23" s="945"/>
      <c r="P23" s="939" t="s">
        <v>355</v>
      </c>
      <c r="Q23" s="964">
        <v>31</v>
      </c>
    </row>
    <row r="24" spans="1:21" ht="15" customHeight="1" x14ac:dyDescent="0.25">
      <c r="A24" s="943"/>
      <c r="B24" s="944"/>
      <c r="C24" s="944"/>
      <c r="D24" s="944"/>
      <c r="E24" s="944"/>
      <c r="F24" s="944"/>
      <c r="G24" s="944"/>
      <c r="H24" s="944"/>
      <c r="I24" s="944"/>
      <c r="J24" s="944"/>
      <c r="K24" s="953"/>
      <c r="L24" s="940"/>
      <c r="M24" s="945"/>
    </row>
    <row r="25" spans="1:21" ht="15" customHeight="1" x14ac:dyDescent="0.25">
      <c r="A25" s="943"/>
      <c r="B25" s="944"/>
      <c r="C25" s="944"/>
      <c r="D25" s="944"/>
      <c r="E25" s="944"/>
      <c r="F25" s="944"/>
      <c r="G25" s="944"/>
      <c r="H25" s="944"/>
      <c r="I25" s="944"/>
      <c r="J25" s="944"/>
      <c r="K25" s="953"/>
      <c r="L25" s="940"/>
      <c r="M25" s="945"/>
    </row>
    <row r="26" spans="1:21" ht="15" customHeight="1" x14ac:dyDescent="0.25">
      <c r="A26" s="943"/>
      <c r="B26" s="944"/>
      <c r="C26" s="944"/>
      <c r="D26" s="944"/>
      <c r="E26" s="944"/>
      <c r="F26" s="944"/>
      <c r="G26" s="944"/>
      <c r="H26" s="944"/>
      <c r="I26" s="944"/>
      <c r="J26" s="944"/>
      <c r="K26" s="940"/>
      <c r="L26" s="940"/>
      <c r="M26" s="945"/>
    </row>
    <row r="27" spans="1:21" ht="15" customHeight="1" x14ac:dyDescent="0.25">
      <c r="A27" s="943"/>
      <c r="B27" s="944"/>
      <c r="C27" s="944"/>
      <c r="D27" s="944"/>
      <c r="E27" s="944"/>
      <c r="F27" s="944"/>
      <c r="G27" s="944"/>
      <c r="H27" s="944"/>
      <c r="I27" s="944"/>
      <c r="J27" s="944"/>
      <c r="K27" s="940"/>
      <c r="L27" s="940"/>
      <c r="M27" s="945"/>
    </row>
    <row r="28" spans="1:21" ht="15" customHeight="1" x14ac:dyDescent="0.25">
      <c r="A28" s="943"/>
      <c r="B28" s="944"/>
      <c r="C28" s="944"/>
      <c r="D28" s="944"/>
      <c r="E28" s="944"/>
      <c r="F28" s="944"/>
      <c r="G28" s="944"/>
      <c r="H28" s="944"/>
      <c r="I28" s="944"/>
      <c r="J28" s="944"/>
      <c r="K28" s="940"/>
      <c r="L28" s="940"/>
      <c r="M28" s="945"/>
    </row>
    <row r="29" spans="1:21" ht="15" customHeight="1" x14ac:dyDescent="0.25">
      <c r="A29" s="943"/>
      <c r="B29" s="944"/>
      <c r="C29" s="944"/>
      <c r="D29" s="944"/>
      <c r="E29" s="944"/>
      <c r="F29" s="944"/>
      <c r="G29" s="944"/>
      <c r="H29" s="944"/>
      <c r="I29" s="944"/>
      <c r="J29" s="944"/>
      <c r="K29" s="940"/>
      <c r="L29" s="940"/>
      <c r="M29" s="945"/>
    </row>
    <row r="30" spans="1:21" ht="15" customHeight="1" x14ac:dyDescent="0.25">
      <c r="A30" s="943"/>
      <c r="B30" s="944"/>
      <c r="C30" s="944"/>
      <c r="D30" s="944"/>
      <c r="E30" s="944"/>
      <c r="F30" s="944"/>
      <c r="G30" s="944"/>
      <c r="H30" s="944"/>
      <c r="I30" s="944"/>
      <c r="J30" s="944"/>
      <c r="K30" s="940"/>
      <c r="L30" s="940"/>
      <c r="M30" s="945"/>
    </row>
    <row r="31" spans="1:21" ht="15" customHeight="1" x14ac:dyDescent="0.25">
      <c r="A31" s="943"/>
      <c r="B31" s="944"/>
      <c r="C31" s="944"/>
      <c r="D31" s="944"/>
      <c r="E31" s="944"/>
      <c r="F31" s="944"/>
      <c r="G31" s="944"/>
      <c r="H31" s="944"/>
      <c r="I31" s="944"/>
      <c r="J31" s="944"/>
      <c r="K31" s="940"/>
      <c r="L31" s="940"/>
      <c r="M31" s="945"/>
    </row>
    <row r="32" spans="1:21" ht="15" customHeight="1" x14ac:dyDescent="0.25">
      <c r="A32" s="943"/>
      <c r="B32" s="944"/>
      <c r="C32" s="944"/>
      <c r="D32" s="944"/>
      <c r="E32" s="944"/>
      <c r="F32" s="944"/>
      <c r="G32" s="944"/>
      <c r="H32" s="944"/>
      <c r="I32" s="944"/>
      <c r="J32" s="944"/>
      <c r="K32" s="940"/>
      <c r="L32" s="940"/>
      <c r="M32" s="945"/>
    </row>
    <row r="33" spans="1:13" ht="15" customHeight="1" x14ac:dyDescent="0.25">
      <c r="A33" s="943"/>
      <c r="B33" s="944"/>
      <c r="C33" s="944"/>
      <c r="D33" s="944"/>
      <c r="E33" s="944"/>
      <c r="F33" s="944"/>
      <c r="G33" s="944"/>
      <c r="H33" s="944"/>
      <c r="I33" s="944"/>
      <c r="J33" s="944"/>
      <c r="K33" s="940"/>
      <c r="L33" s="940"/>
      <c r="M33" s="945"/>
    </row>
    <row r="34" spans="1:13" ht="15" customHeight="1" x14ac:dyDescent="0.25">
      <c r="A34" s="943"/>
      <c r="B34" s="944"/>
      <c r="C34" s="944"/>
      <c r="D34" s="944"/>
      <c r="E34" s="944"/>
      <c r="F34" s="944"/>
      <c r="G34" s="944"/>
      <c r="H34" s="944"/>
      <c r="I34" s="944"/>
      <c r="J34" s="944"/>
      <c r="K34" s="940"/>
      <c r="L34" s="940"/>
      <c r="M34" s="945"/>
    </row>
    <row r="35" spans="1:13" ht="15" customHeight="1" x14ac:dyDescent="0.25">
      <c r="A35" s="943"/>
      <c r="B35" s="944"/>
      <c r="C35" s="944"/>
      <c r="D35" s="944"/>
      <c r="E35" s="944"/>
      <c r="F35" s="944"/>
      <c r="G35" s="944"/>
      <c r="H35" s="944"/>
      <c r="I35" s="944"/>
      <c r="J35" s="944"/>
      <c r="K35" s="940"/>
      <c r="L35" s="940"/>
      <c r="M35" s="945"/>
    </row>
    <row r="36" spans="1:13" ht="15" customHeight="1" x14ac:dyDescent="0.25">
      <c r="A36" s="943"/>
      <c r="B36" s="944"/>
      <c r="C36" s="944"/>
      <c r="D36" s="944"/>
      <c r="E36" s="944"/>
      <c r="F36" s="944"/>
      <c r="G36" s="944"/>
      <c r="H36" s="944"/>
      <c r="I36" s="944"/>
      <c r="J36" s="944"/>
      <c r="K36" s="940"/>
      <c r="L36" s="940"/>
      <c r="M36" s="945"/>
    </row>
    <row r="37" spans="1:13" ht="15" customHeight="1" x14ac:dyDescent="0.25">
      <c r="A37" s="943"/>
      <c r="B37" s="944"/>
      <c r="C37" s="944"/>
      <c r="D37" s="944"/>
      <c r="E37" s="944"/>
      <c r="F37" s="944"/>
      <c r="G37" s="944"/>
      <c r="H37" s="944"/>
      <c r="I37" s="944"/>
      <c r="J37" s="944"/>
      <c r="K37" s="940"/>
      <c r="L37" s="940"/>
      <c r="M37" s="945"/>
    </row>
    <row r="38" spans="1:13" ht="15" customHeight="1" x14ac:dyDescent="0.25">
      <c r="A38" s="943"/>
      <c r="B38" s="944"/>
      <c r="C38" s="944"/>
      <c r="D38" s="944"/>
      <c r="E38" s="944"/>
      <c r="F38" s="944"/>
      <c r="G38" s="944"/>
      <c r="H38" s="944"/>
      <c r="I38" s="944"/>
      <c r="J38" s="944"/>
      <c r="K38" s="940"/>
      <c r="L38" s="940"/>
      <c r="M38" s="945"/>
    </row>
    <row r="39" spans="1:13" ht="15" customHeight="1" x14ac:dyDescent="0.25">
      <c r="A39" s="943"/>
      <c r="B39" s="944"/>
      <c r="C39" s="944"/>
      <c r="D39" s="944"/>
      <c r="E39" s="944"/>
      <c r="F39" s="944"/>
      <c r="G39" s="944"/>
      <c r="H39" s="944"/>
      <c r="I39" s="944"/>
      <c r="J39" s="944"/>
      <c r="K39" s="956"/>
      <c r="L39" s="1700"/>
      <c r="M39" s="1701"/>
    </row>
    <row r="40" spans="1:13" ht="20.25" customHeight="1" x14ac:dyDescent="0.25">
      <c r="A40" s="943"/>
      <c r="B40" s="944"/>
      <c r="C40" s="944"/>
      <c r="D40" s="944"/>
      <c r="E40" s="944"/>
      <c r="F40" s="944"/>
      <c r="G40" s="944"/>
      <c r="H40" s="944"/>
      <c r="I40" s="944"/>
      <c r="J40" s="944"/>
      <c r="K40" s="1715"/>
      <c r="L40" s="1715"/>
      <c r="M40" s="1716"/>
    </row>
    <row r="41" spans="1:13" ht="15" customHeight="1" x14ac:dyDescent="0.25">
      <c r="A41" s="943"/>
      <c r="B41" s="944"/>
      <c r="C41" s="944"/>
      <c r="D41" s="944"/>
      <c r="E41" s="944"/>
      <c r="F41" s="944"/>
      <c r="G41" s="944"/>
      <c r="H41" s="944"/>
      <c r="I41" s="944"/>
      <c r="J41" s="944"/>
      <c r="K41" s="1702"/>
      <c r="L41" s="1702"/>
      <c r="M41" s="1703"/>
    </row>
    <row r="42" spans="1:13" ht="15" customHeight="1" x14ac:dyDescent="0.25">
      <c r="A42" s="943"/>
      <c r="B42" s="944"/>
      <c r="C42" s="944"/>
      <c r="D42" s="944"/>
      <c r="E42" s="944"/>
      <c r="F42" s="944"/>
      <c r="G42" s="944"/>
      <c r="H42" s="944"/>
      <c r="I42" s="944"/>
      <c r="J42" s="944"/>
      <c r="K42" s="1704"/>
      <c r="L42" s="1704"/>
      <c r="M42" s="1705"/>
    </row>
    <row r="43" spans="1:13" ht="20.149999999999999" customHeight="1" x14ac:dyDescent="0.25">
      <c r="A43" s="965"/>
      <c r="B43" s="966"/>
      <c r="C43" s="966"/>
      <c r="D43" s="966"/>
      <c r="E43" s="966"/>
      <c r="F43" s="966"/>
      <c r="G43" s="966"/>
      <c r="H43" s="966"/>
      <c r="I43" s="966"/>
      <c r="J43" s="966"/>
      <c r="K43" s="1706"/>
      <c r="L43" s="1707"/>
      <c r="M43" s="1708"/>
    </row>
  </sheetData>
  <sheetProtection password="9298" sheet="1" objects="1" scenarios="1"/>
  <mergeCells count="12">
    <mergeCell ref="K41:M41"/>
    <mergeCell ref="K42:M42"/>
    <mergeCell ref="K43:M43"/>
    <mergeCell ref="A1:I1"/>
    <mergeCell ref="I5:L5"/>
    <mergeCell ref="I6:L6"/>
    <mergeCell ref="K40:M40"/>
    <mergeCell ref="N12:N13"/>
    <mergeCell ref="O12:O13"/>
    <mergeCell ref="N14:N15"/>
    <mergeCell ref="O14:O15"/>
    <mergeCell ref="L39:M39"/>
  </mergeCells>
  <conditionalFormatting sqref="H8">
    <cfRule type="cellIs" dxfId="167" priority="1" stopIfTrue="1" operator="greaterThan">
      <formula>T1</formula>
    </cfRule>
    <cfRule type="cellIs" dxfId="166" priority="2" stopIfTrue="1" operator="lessThan">
      <formula>0</formula>
    </cfRule>
  </conditionalFormatting>
  <conditionalFormatting sqref="H9">
    <cfRule type="cellIs" dxfId="165" priority="3" stopIfTrue="1" operator="greaterThan">
      <formula>T1</formula>
    </cfRule>
    <cfRule type="cellIs" dxfId="164" priority="4" stopIfTrue="1" operator="lessThan">
      <formula>0</formula>
    </cfRule>
  </conditionalFormatting>
  <conditionalFormatting sqref="I6:L6">
    <cfRule type="expression" dxfId="163" priority="5" stopIfTrue="1">
      <formula>#REF!="Pro Rata"</formula>
    </cfRule>
  </conditionalFormatting>
  <printOptions horizontalCentered="1"/>
  <pageMargins left="1.25" right="1.25" top="0.75" bottom="1" header="0.5" footer="0.5"/>
  <pageSetup scale="80" orientation="portrait"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22</vt:i4>
      </vt:variant>
    </vt:vector>
  </HeadingPairs>
  <TitlesOfParts>
    <vt:vector size="33" baseType="lpstr">
      <vt:lpstr>Administration</vt:lpstr>
      <vt:lpstr>Rates</vt:lpstr>
      <vt:lpstr>Calculation</vt:lpstr>
      <vt:lpstr>TW Working</vt:lpstr>
      <vt:lpstr>TW Quote</vt:lpstr>
      <vt:lpstr>Working</vt:lpstr>
      <vt:lpstr>Administration (2)</vt:lpstr>
      <vt:lpstr>Rates (2)</vt:lpstr>
      <vt:lpstr>Calculation (2)</vt:lpstr>
      <vt:lpstr>MC</vt:lpstr>
      <vt:lpstr>MC Working</vt:lpstr>
      <vt:lpstr>Branch</vt:lpstr>
      <vt:lpstr>BRANCHES</vt:lpstr>
      <vt:lpstr>Date</vt:lpstr>
      <vt:lpstr>Month</vt:lpstr>
      <vt:lpstr>PAB</vt:lpstr>
      <vt:lpstr>Administration!Print_Area</vt:lpstr>
      <vt:lpstr>'Administration (2)'!Print_Area</vt:lpstr>
      <vt:lpstr>Calculation!Print_Area</vt:lpstr>
      <vt:lpstr>'Calculation (2)'!Print_Area</vt:lpstr>
      <vt:lpstr>MC!Print_Area</vt:lpstr>
      <vt:lpstr>'MC Working'!Print_Area</vt:lpstr>
      <vt:lpstr>Rates!Print_Area</vt:lpstr>
      <vt:lpstr>'Rates (2)'!Print_Area</vt:lpstr>
      <vt:lpstr>'TW Quote'!Print_Area</vt:lpstr>
      <vt:lpstr>Working!Print_Area</vt:lpstr>
      <vt:lpstr>usage</vt:lpstr>
      <vt:lpstr>usages</vt:lpstr>
      <vt:lpstr>VEHICLE</vt:lpstr>
      <vt:lpstr>vehicles</vt:lpstr>
      <vt:lpstr>vehicless</vt:lpstr>
      <vt:lpstr>YOM</vt:lpstr>
      <vt:lpstr>YOMM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Default</dc:creator>
  <cp:lastModifiedBy>piyumi Rathnayake</cp:lastModifiedBy>
  <cp:lastPrinted>2024-01-28T03:52:35Z</cp:lastPrinted>
  <dcterms:created xsi:type="dcterms:W3CDTF">2002-11-28T09:30:00Z</dcterms:created>
  <dcterms:modified xsi:type="dcterms:W3CDTF">2024-02-24T14:56:58Z</dcterms:modified>
</cp:coreProperties>
</file>