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Assetline\"/>
    </mc:Choice>
  </mc:AlternateContent>
  <xr:revisionPtr revIDLastSave="0" documentId="13_ncr:1_{AF538DEB-914B-455C-AF83-5DF909D9CDFE}" xr6:coauthVersionLast="36" xr6:coauthVersionMax="36" xr10:uidLastSave="{00000000-0000-0000-0000-000000000000}"/>
  <workbookProtection workbookPassword="F6CE" lockStructure="1"/>
  <bookViews>
    <workbookView xWindow="0" yWindow="0" windowWidth="19200" windowHeight="6930" firstSheet="3" activeTab="3" xr2:uid="{00000000-000D-0000-FFFF-FFFF00000000}"/>
  </bookViews>
  <sheets>
    <sheet name="Administration" sheetId="14" state="hidden" r:id="rId1"/>
    <sheet name="Rates" sheetId="10" state="hidden" r:id="rId2"/>
    <sheet name="Calculation" sheetId="16" state="hidden" r:id="rId3"/>
    <sheet name="Data Entry" sheetId="4" r:id="rId4"/>
    <sheet name=" Quote" sheetId="11" r:id="rId5"/>
    <sheet name="Compatibility Report" sheetId="17" state="hidden" r:id="rId6"/>
  </sheets>
  <externalReferences>
    <externalReference r:id="rId7"/>
  </externalReferences>
  <definedNames>
    <definedName name="_xlnm._FilterDatabase" localSheetId="4" hidden="1">' Quote'!$C$12:$Y$60</definedName>
    <definedName name="_xlnm._FilterDatabase" localSheetId="0" hidden="1">Administration!$I$7:$I$18</definedName>
    <definedName name="_xlnm._FilterDatabase" localSheetId="3" hidden="1">'Data Entry'!$M$70:$M$70</definedName>
    <definedName name="Birthyear">'[1]Data Entry'!$AI$5:$AI$84</definedName>
    <definedName name="Branch">Administration!$O$4:$O$31</definedName>
    <definedName name="BRANCHES">'Data Entry'!$AK$42:$AK$43</definedName>
    <definedName name="Date">Administration!$Q$4:$Q$34</definedName>
    <definedName name="Month">Administration!$Q$4:$Q$34</definedName>
    <definedName name="Month1">'[1]Data Entry'!$AK$4:$AK$34</definedName>
    <definedName name="PAB">'Data Entry'!$AJ$24:$AJ$45</definedName>
    <definedName name="_xlnm.Print_Area" localSheetId="4">' Quote'!$A$1:$S$62</definedName>
    <definedName name="_xlnm.Print_Area" localSheetId="0">Administration!$N$3:$O$31</definedName>
    <definedName name="_xlnm.Print_Area" localSheetId="2">Calculation!$A$1:$M$43</definedName>
    <definedName name="_xlnm.Print_Area" localSheetId="3">'Data Entry'!$D$1:$M$72</definedName>
    <definedName name="_xlnm.Print_Area" localSheetId="1">Rates!$A$1:$P$55</definedName>
    <definedName name="usage">Administration!$G$20:$G$24</definedName>
    <definedName name="usages">'Data Entry'!$AP$6:$AP$10</definedName>
    <definedName name="VEHICLE">'Data Entry'!$AM$6:$AM$13</definedName>
    <definedName name="vehicles">Administration!$G$7:$G$19</definedName>
    <definedName name="YOM">'Data Entry'!$AU$8:$AU$85</definedName>
  </definedNames>
  <calcPr calcId="191029"/>
</workbook>
</file>

<file path=xl/calcChain.xml><?xml version="1.0" encoding="utf-8"?>
<calcChain xmlns="http://schemas.openxmlformats.org/spreadsheetml/2006/main">
  <c r="K66" i="4" l="1"/>
  <c r="I45" i="11"/>
  <c r="I46" i="11"/>
  <c r="I34" i="11"/>
  <c r="H8" i="4"/>
  <c r="H37" i="4" s="1"/>
  <c r="B36" i="10"/>
  <c r="H9" i="4"/>
  <c r="N56" i="11"/>
  <c r="L24" i="11"/>
  <c r="H48" i="4"/>
  <c r="O48" i="4" s="1"/>
  <c r="H10" i="4"/>
  <c r="H29" i="4"/>
  <c r="H11" i="4"/>
  <c r="C42" i="4"/>
  <c r="K43" i="4"/>
  <c r="H15" i="4"/>
  <c r="E34" i="4"/>
  <c r="B45" i="4"/>
  <c r="B46" i="4"/>
  <c r="C12" i="4"/>
  <c r="C21" i="4"/>
  <c r="B21" i="4" s="1"/>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87" i="10"/>
  <c r="F97" i="4"/>
  <c r="F96" i="4"/>
  <c r="F95" i="4"/>
  <c r="D3" i="10"/>
  <c r="D76" i="10"/>
  <c r="N5" i="4"/>
  <c r="C48" i="11"/>
  <c r="C47" i="11"/>
  <c r="C2" i="4"/>
  <c r="AB4" i="11"/>
  <c r="M55" i="4"/>
  <c r="W29" i="11"/>
  <c r="C4" i="11"/>
  <c r="P4" i="11"/>
  <c r="AA4" i="11"/>
  <c r="C9" i="11"/>
  <c r="I16" i="11"/>
  <c r="C17" i="11"/>
  <c r="L21" i="11"/>
  <c r="L22" i="11"/>
  <c r="L23" i="11"/>
  <c r="Q23" i="11"/>
  <c r="D40" i="11"/>
  <c r="B45" i="11"/>
  <c r="V56" i="11"/>
  <c r="C54" i="11"/>
  <c r="C57" i="11"/>
  <c r="C61" i="11"/>
  <c r="N2" i="4"/>
  <c r="V2" i="4"/>
  <c r="D3" i="4"/>
  <c r="L3" i="4"/>
  <c r="O3" i="4"/>
  <c r="N4" i="4"/>
  <c r="T7" i="4"/>
  <c r="U7" i="4"/>
  <c r="W7" i="4"/>
  <c r="L8" i="4"/>
  <c r="N8" i="4"/>
  <c r="AU9" i="4"/>
  <c r="AU10" i="4"/>
  <c r="AU11" i="4"/>
  <c r="AU12" i="4" s="1"/>
  <c r="AU13" i="4" s="1"/>
  <c r="AU14" i="4" s="1"/>
  <c r="AU15" i="4"/>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I14" i="4"/>
  <c r="Z15" i="4"/>
  <c r="AM17" i="4"/>
  <c r="C24" i="4"/>
  <c r="P25" i="4"/>
  <c r="Y25" i="4"/>
  <c r="E26" i="4"/>
  <c r="L27" i="4"/>
  <c r="AE25" i="4" s="1"/>
  <c r="F26" i="4"/>
  <c r="G26" i="4"/>
  <c r="H26" i="4"/>
  <c r="K26" i="4"/>
  <c r="L26" i="4"/>
  <c r="O30" i="4"/>
  <c r="T30" i="4"/>
  <c r="Q31" i="4"/>
  <c r="R31" i="4" s="1"/>
  <c r="E32" i="4"/>
  <c r="W32" i="4"/>
  <c r="E33" i="4"/>
  <c r="C36" i="4"/>
  <c r="B39" i="4"/>
  <c r="B40" i="4"/>
  <c r="K41" i="4"/>
  <c r="Q42" i="4"/>
  <c r="T42" i="4"/>
  <c r="W42" i="4"/>
  <c r="Q43" i="4"/>
  <c r="T43" i="4"/>
  <c r="W43" i="4"/>
  <c r="R44" i="4"/>
  <c r="R45" i="4"/>
  <c r="O47" i="4"/>
  <c r="O50" i="4"/>
  <c r="O51" i="4"/>
  <c r="Q51" i="4"/>
  <c r="B52" i="4"/>
  <c r="P52" i="4"/>
  <c r="Q52" i="4"/>
  <c r="O53" i="4"/>
  <c r="P53" i="4"/>
  <c r="O54" i="4"/>
  <c r="B55" i="4"/>
  <c r="B56" i="4"/>
  <c r="H58" i="4"/>
  <c r="M58" i="4"/>
  <c r="O58" i="4"/>
  <c r="H59" i="4"/>
  <c r="M59" i="4"/>
  <c r="O59" i="4"/>
  <c r="Q61" i="4"/>
  <c r="K62" i="4"/>
  <c r="F70" i="4"/>
  <c r="X15" i="4" s="1"/>
  <c r="Y15" i="4" s="1"/>
  <c r="R78" i="4" s="1"/>
  <c r="S2" i="16"/>
  <c r="U2" i="16"/>
  <c r="K3" i="16"/>
  <c r="V2" i="16"/>
  <c r="J3" i="16" s="1"/>
  <c r="Q4" i="16" s="1"/>
  <c r="W2" i="16"/>
  <c r="I3" i="16" s="1"/>
  <c r="P3" i="16"/>
  <c r="O3" i="16"/>
  <c r="Q3" i="16"/>
  <c r="U4" i="16"/>
  <c r="V4" i="16"/>
  <c r="W4" i="16"/>
  <c r="I5" i="16"/>
  <c r="U5" i="16"/>
  <c r="V5" i="16"/>
  <c r="Q6" i="16"/>
  <c r="P6" i="16"/>
  <c r="O6" i="16" s="1"/>
  <c r="X11" i="16"/>
  <c r="Q13" i="16"/>
  <c r="L19" i="16"/>
  <c r="B1" i="10"/>
  <c r="A1" i="10" s="1"/>
  <c r="A4" i="10"/>
  <c r="A5" i="10" s="1"/>
  <c r="A6" i="10" s="1"/>
  <c r="A7" i="10" s="1"/>
  <c r="A8" i="10" s="1"/>
  <c r="A9" i="10" s="1"/>
  <c r="A10" i="10" s="1"/>
  <c r="A11" i="10" s="1"/>
  <c r="A12" i="10" s="1"/>
  <c r="A13" i="10" s="1"/>
  <c r="A14" i="10" s="1"/>
  <c r="A15" i="10" s="1"/>
  <c r="A16" i="10" s="1"/>
  <c r="I5" i="10"/>
  <c r="I7" i="10"/>
  <c r="D10" i="10"/>
  <c r="I12" i="10"/>
  <c r="I13" i="10" s="1"/>
  <c r="I14" i="10" s="1"/>
  <c r="I15" i="10"/>
  <c r="I16" i="10" s="1"/>
  <c r="G20" i="10"/>
  <c r="K64" i="4"/>
  <c r="I21" i="10"/>
  <c r="I22" i="10" s="1"/>
  <c r="Q23" i="4"/>
  <c r="B52" i="10"/>
  <c r="H3" i="14"/>
  <c r="G3" i="14"/>
  <c r="Q33" i="14" s="1"/>
  <c r="K5" i="14"/>
  <c r="J5" i="14"/>
  <c r="I5" i="14"/>
  <c r="H5" i="14" s="1"/>
  <c r="C5" i="14" s="1"/>
  <c r="Q5" i="14"/>
  <c r="Q6" i="14"/>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c r="H7" i="14"/>
  <c r="I7" i="14" s="1"/>
  <c r="G8" i="14"/>
  <c r="AM7" i="4"/>
  <c r="H8" i="14"/>
  <c r="G9" i="14"/>
  <c r="AM8" i="4" s="1"/>
  <c r="H9" i="14"/>
  <c r="G10" i="14"/>
  <c r="AM9" i="4" s="1"/>
  <c r="H10" i="14"/>
  <c r="G11" i="14"/>
  <c r="AM10" i="4"/>
  <c r="H11" i="14"/>
  <c r="G12" i="14"/>
  <c r="AM11" i="4"/>
  <c r="H12" i="14"/>
  <c r="G13" i="14"/>
  <c r="AM14" i="4" s="1"/>
  <c r="H13" i="14"/>
  <c r="G14" i="14"/>
  <c r="AM12" i="4" s="1"/>
  <c r="H14" i="14"/>
  <c r="G15" i="14"/>
  <c r="AM13" i="4"/>
  <c r="H15" i="14"/>
  <c r="G16" i="14"/>
  <c r="AM15" i="4"/>
  <c r="H16" i="14"/>
  <c r="G17" i="14"/>
  <c r="AM16" i="4" s="1"/>
  <c r="H17" i="14"/>
  <c r="G20" i="14"/>
  <c r="I20" i="14" s="1"/>
  <c r="AP6" i="4" s="1"/>
  <c r="G21" i="14"/>
  <c r="I21" i="14" s="1"/>
  <c r="AP7" i="4" s="1"/>
  <c r="G22" i="14"/>
  <c r="G23" i="14"/>
  <c r="G24" i="14"/>
  <c r="A32" i="14"/>
  <c r="C58" i="11" s="1"/>
  <c r="N3" i="4"/>
  <c r="R38" i="11"/>
  <c r="F16" i="11"/>
  <c r="U33" i="11"/>
  <c r="F4" i="4"/>
  <c r="T43" i="11"/>
  <c r="O39" i="4"/>
  <c r="Q38" i="4"/>
  <c r="O46" i="4"/>
  <c r="Y41" i="11"/>
  <c r="H41" i="4"/>
  <c r="F5" i="4"/>
  <c r="S3" i="16"/>
  <c r="I18" i="4"/>
  <c r="D29" i="11"/>
  <c r="P4" i="16"/>
  <c r="S4" i="16" s="1"/>
  <c r="Q55" i="4"/>
  <c r="U40" i="11"/>
  <c r="U38" i="11"/>
  <c r="I22" i="4"/>
  <c r="M22" i="4" s="1"/>
  <c r="R96" i="4"/>
  <c r="Q33" i="4"/>
  <c r="Q32" i="4" s="1"/>
  <c r="H43" i="4"/>
  <c r="B41" i="4"/>
  <c r="Y43" i="4" s="1"/>
  <c r="M18" i="10"/>
  <c r="K18" i="10"/>
  <c r="M17" i="10"/>
  <c r="K17" i="10"/>
  <c r="Q12" i="4"/>
  <c r="H35" i="4"/>
  <c r="L12" i="11"/>
  <c r="J12" i="4"/>
  <c r="E29" i="10"/>
  <c r="O31" i="4"/>
  <c r="B74" i="11"/>
  <c r="A67" i="11" s="1"/>
  <c r="N7" i="4"/>
  <c r="R2" i="4"/>
  <c r="AA2" i="4"/>
  <c r="AC41" i="11" s="1"/>
  <c r="R30" i="11"/>
  <c r="M60" i="4"/>
  <c r="I13" i="4"/>
  <c r="W5" i="16"/>
  <c r="U32" i="4"/>
  <c r="M45" i="4"/>
  <c r="C45" i="4"/>
  <c r="O45" i="4"/>
  <c r="Y40" i="11" s="1"/>
  <c r="U43" i="11"/>
  <c r="M42" i="11" s="1"/>
  <c r="U39" i="11"/>
  <c r="U30" i="4"/>
  <c r="U37" i="11"/>
  <c r="Q50" i="4"/>
  <c r="U12" i="16"/>
  <c r="U16" i="16"/>
  <c r="U10" i="16"/>
  <c r="W11" i="16"/>
  <c r="H31" i="4"/>
  <c r="H32" i="4"/>
  <c r="H33" i="4"/>
  <c r="F34" i="4"/>
  <c r="T12" i="4"/>
  <c r="I29" i="4"/>
  <c r="T29" i="4"/>
  <c r="D39" i="11" s="1"/>
  <c r="F88" i="10"/>
  <c r="H34" i="4"/>
  <c r="F30" i="4"/>
  <c r="E31" i="4"/>
  <c r="Q29" i="4"/>
  <c r="U32" i="11"/>
  <c r="C46" i="11" s="1"/>
  <c r="U41" i="11"/>
  <c r="I33" i="4"/>
  <c r="K29" i="4"/>
  <c r="P29" i="4"/>
  <c r="R29" i="4" s="1"/>
  <c r="W32" i="11"/>
  <c r="H49" i="4"/>
  <c r="G34" i="11"/>
  <c r="O5" i="4"/>
  <c r="E15" i="4"/>
  <c r="D98" i="10"/>
  <c r="X2" i="4"/>
  <c r="F92" i="10"/>
  <c r="P6" i="4"/>
  <c r="O8" i="4"/>
  <c r="R80" i="4"/>
  <c r="R79" i="4"/>
  <c r="H21" i="4"/>
  <c r="U31" i="11"/>
  <c r="Y4" i="11"/>
  <c r="M13" i="4"/>
  <c r="T2" i="16"/>
  <c r="D87" i="10"/>
  <c r="O44" i="4"/>
  <c r="L7" i="4"/>
  <c r="V12" i="11"/>
  <c r="D92" i="10"/>
  <c r="U35" i="11"/>
  <c r="Q39" i="4"/>
  <c r="U14" i="16"/>
  <c r="U11" i="16"/>
  <c r="U13" i="16"/>
  <c r="U15" i="16"/>
  <c r="I32" i="4"/>
  <c r="P8" i="16"/>
  <c r="H9" i="16" s="1"/>
  <c r="H46" i="11"/>
  <c r="U56" i="4"/>
  <c r="M56" i="4" l="1"/>
  <c r="I6" i="16"/>
  <c r="O12" i="16" s="1"/>
  <c r="D88" i="10"/>
  <c r="O14" i="16"/>
  <c r="AC56" i="4"/>
  <c r="AB56" i="4" s="1"/>
  <c r="AA56" i="4" s="1"/>
  <c r="Z56" i="4" s="1"/>
  <c r="Y56" i="4" s="1"/>
  <c r="X56" i="4" s="1"/>
  <c r="W56" i="4" s="1"/>
  <c r="T56" i="4"/>
  <c r="S6" i="16"/>
  <c r="Q25" i="4"/>
  <c r="R25" i="4" s="1"/>
  <c r="S1" i="16"/>
  <c r="T1" i="16" s="1"/>
  <c r="H8" i="16" s="1"/>
  <c r="O4" i="16"/>
  <c r="O8" i="16" s="1"/>
  <c r="O9" i="16" s="1"/>
  <c r="I56" i="4"/>
  <c r="R61" i="4"/>
  <c r="Q56" i="4"/>
  <c r="T32" i="4"/>
  <c r="T31" i="4"/>
  <c r="V30" i="11"/>
  <c r="O49" i="4"/>
  <c r="P38" i="4"/>
  <c r="P39" i="4"/>
  <c r="M35" i="11"/>
  <c r="R56" i="4"/>
  <c r="F43" i="4"/>
  <c r="U36" i="11"/>
  <c r="K4" i="4"/>
  <c r="I22" i="14"/>
  <c r="AP8" i="4" s="1"/>
  <c r="H31" i="11"/>
  <c r="Q21" i="4"/>
  <c r="V13" i="11"/>
  <c r="I34" i="4"/>
  <c r="W41" i="11"/>
  <c r="D42" i="11" s="1"/>
  <c r="M8" i="4"/>
  <c r="O16" i="4"/>
  <c r="S2" i="4"/>
  <c r="G37" i="4"/>
  <c r="G36" i="4"/>
  <c r="U1" i="4" s="1"/>
  <c r="O22" i="4"/>
  <c r="W38" i="11" s="1"/>
  <c r="H23" i="4"/>
  <c r="R81" i="4"/>
  <c r="I3" i="14"/>
  <c r="K3" i="14" s="1"/>
  <c r="L3" i="14" s="1"/>
  <c r="M3" i="14" s="1"/>
  <c r="Q34" i="14"/>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6"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U153" i="4" s="1"/>
  <c r="IS4" i="14" l="1"/>
  <c r="I23" i="14"/>
  <c r="U18" i="16"/>
  <c r="U31" i="4"/>
  <c r="I31" i="4"/>
  <c r="R88" i="4"/>
  <c r="R87" i="4"/>
  <c r="R86" i="4"/>
  <c r="Q44" i="4"/>
  <c r="O71" i="4" s="1"/>
  <c r="F71" i="4" s="1"/>
  <c r="AB41" i="11"/>
  <c r="R84" i="4"/>
  <c r="T47" i="4"/>
  <c r="R91" i="4"/>
  <c r="R90" i="4"/>
  <c r="X7" i="4"/>
  <c r="Z2" i="4"/>
  <c r="R89" i="4"/>
  <c r="AI6" i="4"/>
  <c r="Y2" i="4"/>
  <c r="R83" i="4"/>
  <c r="R92" i="4" s="1"/>
  <c r="R93" i="4" s="1"/>
  <c r="AA48" i="4"/>
  <c r="O5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Q57" i="4"/>
  <c r="R57" i="4" s="1"/>
  <c r="O56" i="4" s="1"/>
  <c r="W42" i="11" s="1"/>
  <c r="R85" i="4"/>
  <c r="AD42" i="4"/>
  <c r="AH6" i="4"/>
  <c r="AG6" i="4" s="1"/>
  <c r="AF6" i="4" s="1"/>
  <c r="AE6" i="4" s="1"/>
  <c r="AD6" i="4" s="1"/>
  <c r="AC6" i="4" s="1"/>
  <c r="AB6" i="4" s="1"/>
  <c r="AA6" i="4" s="1"/>
  <c r="Z6" i="4" s="1"/>
  <c r="Y6" i="4" s="1"/>
  <c r="X6" i="4" s="1"/>
  <c r="W6" i="4" s="1"/>
  <c r="U6" i="4" s="1"/>
  <c r="T6" i="4" s="1"/>
  <c r="R6" i="4" s="1"/>
  <c r="Q6" i="4" s="1"/>
  <c r="W57" i="4"/>
  <c r="R12" i="4"/>
  <c r="S52" i="4"/>
  <c r="R52" i="4" s="1"/>
  <c r="U42" i="11"/>
  <c r="Q2" i="4"/>
  <c r="V29" i="4"/>
  <c r="T57" i="4"/>
  <c r="W2" i="4"/>
  <c r="O2" i="4"/>
  <c r="T2" i="4" s="1"/>
  <c r="Q66" i="4"/>
  <c r="X32" i="11" s="1"/>
  <c r="K5" i="4"/>
  <c r="I3" i="4"/>
  <c r="N11" i="16"/>
  <c r="J9" i="16" s="1"/>
  <c r="C67" i="4"/>
  <c r="C70" i="4" s="1"/>
  <c r="F3" i="11" s="1"/>
  <c r="J3" i="14"/>
  <c r="Q32" i="14"/>
  <c r="E16" i="4" l="1"/>
  <c r="K9" i="4"/>
  <c r="C55" i="11"/>
  <c r="R50" i="4"/>
  <c r="U62" i="4"/>
  <c r="AC25" i="4"/>
  <c r="U57" i="4"/>
  <c r="X48" i="4"/>
  <c r="Q54" i="4"/>
  <c r="Q48" i="4"/>
  <c r="O6" i="4"/>
  <c r="AP9" i="4"/>
  <c r="I24" i="14"/>
  <c r="AP10" i="4" s="1"/>
  <c r="O15" i="4"/>
  <c r="Q15" i="4" s="1"/>
  <c r="K15" i="4" s="1"/>
  <c r="R23" i="4"/>
  <c r="T23" i="4" s="1"/>
  <c r="U23" i="4" s="1"/>
  <c r="AA34" i="11"/>
  <c r="R32" i="11"/>
  <c r="Z48" i="4"/>
  <c r="AB36" i="11"/>
  <c r="Q49" i="4"/>
  <c r="K47" i="4"/>
  <c r="I53" i="4"/>
  <c r="U25" i="4"/>
  <c r="I52" i="4"/>
  <c r="R36" i="4"/>
  <c r="AA36" i="11" l="1"/>
  <c r="R49" i="4"/>
  <c r="I49" i="4"/>
  <c r="Y48" i="4"/>
  <c r="G24" i="4"/>
  <c r="I37" i="4"/>
  <c r="N16" i="4"/>
  <c r="I16" i="4" s="1"/>
  <c r="U2" i="4"/>
  <c r="T48" i="4"/>
  <c r="W33" i="11" s="1"/>
  <c r="K48" i="4"/>
  <c r="U46" i="4"/>
  <c r="Q46" i="4" s="1"/>
  <c r="R46" i="4" s="1"/>
  <c r="T46" i="4" s="1"/>
  <c r="AA41" i="11" s="1"/>
  <c r="D28" i="11" s="1"/>
  <c r="R48" i="4"/>
  <c r="R37" i="4"/>
  <c r="I36" i="4"/>
  <c r="AA25" i="4"/>
  <c r="W25" i="4"/>
  <c r="AB25" i="4" l="1"/>
  <c r="AD25" i="4"/>
  <c r="L25" i="4" s="1"/>
  <c r="Z25" i="4"/>
  <c r="I26" i="4" s="1"/>
  <c r="Z31" i="11"/>
  <c r="W31" i="11"/>
  <c r="F27" i="4"/>
  <c r="L45" i="11"/>
  <c r="N33" i="4"/>
  <c r="AC42" i="4"/>
  <c r="N17" i="4"/>
  <c r="AB42" i="4"/>
  <c r="Z49" i="4"/>
  <c r="N67" i="4"/>
  <c r="Y49" i="4"/>
  <c r="U3" i="11"/>
  <c r="M40" i="4"/>
  <c r="P5" i="4" s="1"/>
  <c r="M42" i="4"/>
  <c r="Q7" i="4"/>
  <c r="N45" i="11"/>
  <c r="O11" i="4"/>
  <c r="H46" i="4"/>
  <c r="X42" i="4" l="1"/>
  <c r="X43" i="4"/>
  <c r="W8" i="4"/>
  <c r="R15" i="4"/>
  <c r="R28" i="11"/>
  <c r="R29" i="11"/>
  <c r="R47" i="11"/>
  <c r="O45" i="11"/>
  <c r="R23" i="11"/>
  <c r="R13" i="11"/>
  <c r="R27" i="11"/>
  <c r="I28" i="4"/>
  <c r="O26" i="4"/>
  <c r="Z28" i="4"/>
  <c r="AH42" i="4" s="1"/>
  <c r="AH43" i="4"/>
  <c r="X25" i="4"/>
  <c r="M25" i="4"/>
  <c r="F57" i="4" l="1"/>
  <c r="M19" i="4"/>
  <c r="C1" i="4"/>
  <c r="M54" i="4"/>
  <c r="M48" i="4"/>
  <c r="M29" i="4"/>
  <c r="M51" i="4"/>
  <c r="M52" i="4"/>
  <c r="M57" i="4"/>
  <c r="M41" i="4"/>
  <c r="R18" i="11" s="1"/>
  <c r="M49" i="4"/>
  <c r="M50" i="4"/>
  <c r="M53" i="4"/>
  <c r="R95" i="4"/>
  <c r="L47" i="11"/>
  <c r="Q47" i="11"/>
  <c r="H44" i="4"/>
  <c r="AG43" i="4"/>
  <c r="AF43" i="4" s="1"/>
  <c r="AE43" i="4" s="1"/>
  <c r="AG42" i="4"/>
  <c r="AF42" i="4" s="1"/>
  <c r="AE42" i="4" s="1"/>
  <c r="Y42" i="4" s="1"/>
  <c r="Y34" i="11"/>
  <c r="H42" i="4"/>
  <c r="F41" i="4" l="1"/>
  <c r="U34" i="11"/>
  <c r="Z42" i="4"/>
  <c r="Z43" i="4"/>
  <c r="N46" i="11"/>
  <c r="L46" i="11"/>
  <c r="R98" i="4"/>
  <c r="O46" i="11"/>
  <c r="M44" i="4"/>
  <c r="M21" i="4"/>
  <c r="M23" i="4" s="1"/>
  <c r="M39" i="4"/>
  <c r="R97" i="4" s="1"/>
  <c r="M46" i="4"/>
  <c r="R99" i="4" s="1"/>
  <c r="M20" i="4"/>
  <c r="O52" i="4"/>
  <c r="W35" i="11" s="1"/>
  <c r="Q53" i="4"/>
  <c r="R53" i="4" s="1"/>
  <c r="M24" i="4" l="1"/>
  <c r="O24" i="4" s="1"/>
  <c r="K44" i="4"/>
  <c r="W36" i="11"/>
  <c r="M43" i="4"/>
  <c r="R19" i="11" s="1"/>
  <c r="K42" i="4"/>
  <c r="W34" i="11"/>
  <c r="Z4" i="11"/>
  <c r="P23" i="4"/>
  <c r="W37" i="11" s="1"/>
  <c r="I23" i="4"/>
  <c r="M35" i="4" l="1"/>
  <c r="I42" i="4"/>
  <c r="M36" i="4"/>
  <c r="O38" i="4" s="1"/>
  <c r="T16" i="4" l="1"/>
  <c r="T17" i="4" s="1"/>
  <c r="M37" i="4" s="1"/>
  <c r="B40" i="11"/>
  <c r="D37" i="11" s="1"/>
  <c r="W4" i="11"/>
  <c r="W44" i="11"/>
  <c r="Y50" i="11" s="1"/>
  <c r="C50" i="11" s="1"/>
  <c r="X4" i="11"/>
  <c r="O36" i="4"/>
  <c r="W39" i="11" s="1"/>
  <c r="M38" i="4"/>
  <c r="M61" i="4" s="1"/>
  <c r="M1" i="11" l="1"/>
  <c r="M62" i="4"/>
  <c r="M65" i="4" s="1"/>
  <c r="M64" i="4"/>
  <c r="O61" i="4"/>
  <c r="R17" i="11" s="1"/>
  <c r="M66" i="4" l="1"/>
  <c r="M67" i="4" s="1"/>
  <c r="R22" i="11" s="1"/>
  <c r="R21" i="11"/>
  <c r="R2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3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<sst xmlns="http://schemas.openxmlformats.org/spreadsheetml/2006/main" count="897" uniqueCount="550">
  <si>
    <t>SRCC</t>
  </si>
  <si>
    <t>NCB</t>
  </si>
  <si>
    <t>VAT</t>
  </si>
  <si>
    <t>Voluntary Excess</t>
  </si>
  <si>
    <t>Multiple Rebate</t>
  </si>
  <si>
    <t>Non Hazardous</t>
  </si>
  <si>
    <t>Hazardous</t>
  </si>
  <si>
    <t>3rd Party Property Damage</t>
  </si>
  <si>
    <t>Rent A Vehicle</t>
  </si>
  <si>
    <t>Learner Driver Cover</t>
  </si>
  <si>
    <t>Surplus:-</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</si>
  <si>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</si>
  <si>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</si>
  <si>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</si>
  <si>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</si>
  <si>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</si>
  <si>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</si>
  <si>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</si>
  <si>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</si>
  <si>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</si>
  <si>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</si>
  <si>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</si>
  <si>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</si>
  <si>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</si>
  <si>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</si>
  <si>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</si>
  <si>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</si>
  <si>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</si>
  <si>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</si>
  <si>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H/P</t>
  </si>
  <si>
    <t>N/D</t>
  </si>
  <si>
    <t>T/C</t>
  </si>
  <si>
    <t>L/D</t>
  </si>
  <si>
    <t>M/R</t>
  </si>
  <si>
    <t>Tow/C</t>
  </si>
  <si>
    <t>A/B</t>
  </si>
  <si>
    <t>W/C</t>
  </si>
  <si>
    <t xml:space="preserve">VEHICLE NO./CHA. NO.                 </t>
  </si>
  <si>
    <t>USAGE</t>
  </si>
  <si>
    <t>Third Party Property Damage</t>
  </si>
  <si>
    <t>TPPD</t>
  </si>
  <si>
    <t>LLP</t>
  </si>
  <si>
    <t>Extra Hazardous</t>
  </si>
  <si>
    <t>Goods Cover</t>
  </si>
  <si>
    <t>Hiring</t>
  </si>
  <si>
    <t>Rent</t>
  </si>
  <si>
    <t>Duty free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</si>
  <si>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</si>
  <si>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</si>
  <si>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</si>
  <si>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</si>
  <si>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</si>
  <si>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</si>
  <si>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</si>
  <si>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</si>
  <si>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</si>
  <si>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</si>
  <si>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</si>
  <si>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</si>
  <si>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</si>
  <si>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</si>
  <si>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</si>
  <si>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</si>
  <si>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</si>
  <si>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</si>
  <si>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</si>
  <si>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</si>
  <si>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</si>
  <si>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</si>
  <si>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</si>
  <si>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</si>
  <si>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</si>
  <si>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</si>
  <si>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</si>
  <si>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</si>
  <si>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</si>
  <si>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</si>
  <si>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</si>
  <si>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</si>
  <si>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</si>
  <si>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</si>
  <si>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</si>
  <si>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</si>
  <si>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</si>
  <si>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</si>
  <si>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</si>
  <si>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</si>
  <si>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</si>
  <si>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</si>
  <si>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</si>
  <si>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</si>
  <si>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</si>
  <si>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</si>
  <si>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</si>
  <si>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</si>
  <si>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</si>
  <si>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</si>
  <si>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</si>
  <si>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</si>
  <si>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</si>
  <si>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</si>
  <si>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</si>
  <si>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</si>
  <si>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</si>
  <si>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</si>
  <si>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</si>
  <si>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</si>
  <si>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</si>
  <si>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</si>
  <si>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</si>
  <si>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</si>
  <si>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</si>
  <si>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</si>
  <si>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</si>
  <si>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</si>
  <si>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</si>
  <si>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</si>
  <si>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</si>
  <si>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</si>
  <si>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</si>
  <si>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</si>
  <si>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</si>
  <si>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</si>
  <si>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</si>
  <si>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</si>
  <si>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</si>
  <si>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</si>
  <si>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</si>
  <si>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</si>
  <si>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</si>
  <si>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</si>
  <si>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</si>
  <si>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</si>
  <si>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</si>
  <si>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</si>
  <si>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</si>
  <si>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</si>
  <si>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</si>
  <si>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</si>
  <si>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</si>
  <si>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</si>
  <si>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</si>
  <si>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</si>
  <si>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</si>
  <si>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</si>
  <si>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</si>
  <si>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</si>
  <si>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</si>
  <si>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</si>
  <si>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</si>
  <si>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</si>
  <si>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</si>
  <si>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</si>
  <si>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</si>
  <si>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</si>
  <si>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</si>
  <si>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</si>
  <si>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</si>
  <si>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</si>
  <si>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</si>
  <si>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</si>
  <si>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</si>
  <si>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</si>
  <si>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</si>
  <si>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</si>
  <si>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</si>
  <si>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</si>
  <si>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</si>
  <si>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</si>
  <si>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</si>
  <si>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</si>
  <si>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</si>
  <si>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</si>
  <si>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</si>
  <si>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</si>
  <si>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</si>
  <si>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</si>
  <si>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</si>
  <si>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</si>
  <si>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</si>
  <si>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</si>
  <si>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</si>
  <si>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</si>
  <si>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</si>
  <si>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</si>
  <si>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</si>
  <si>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</si>
  <si>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</si>
  <si>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</si>
  <si>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</si>
  <si>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</si>
  <si>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</si>
  <si>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</si>
  <si>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</si>
  <si>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</si>
  <si>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</si>
  <si>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</si>
  <si>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</si>
  <si>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</si>
  <si>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</si>
  <si>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</si>
  <si>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</si>
  <si>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</si>
  <si>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</si>
  <si>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</si>
  <si>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</si>
  <si>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</si>
  <si>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</si>
  <si>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</si>
  <si>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</si>
  <si>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</si>
  <si>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</si>
  <si>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</si>
  <si>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</si>
  <si>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</si>
  <si>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</si>
  <si>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</si>
  <si>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</si>
  <si>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</si>
  <si>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</si>
  <si>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</si>
  <si>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</si>
  <si>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</si>
  <si>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</si>
  <si>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</si>
  <si>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</si>
  <si>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</si>
  <si>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</si>
  <si>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</si>
  <si>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</si>
  <si>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</si>
  <si>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</si>
  <si>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</si>
  <si>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</si>
  <si>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</si>
  <si>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</si>
  <si>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</si>
  <si>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</si>
  <si>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</si>
  <si>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</si>
  <si>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</si>
  <si>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</si>
  <si>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</si>
  <si>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</si>
  <si>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</si>
  <si>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</si>
  <si>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</si>
  <si>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</si>
  <si>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</si>
  <si>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</si>
  <si>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</si>
  <si>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</si>
  <si>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</si>
  <si>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</si>
  <si>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</si>
  <si>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</si>
  <si>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</si>
  <si>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</si>
  <si>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</si>
  <si>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</si>
  <si>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</si>
  <si>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</si>
  <si>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</si>
  <si>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</si>
  <si>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</si>
  <si>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</si>
  <si>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</si>
  <si>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</si>
  <si>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</si>
  <si>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</si>
  <si>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Flood &amp; Natural Disaster Cover</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</si>
  <si>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</si>
  <si>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</si>
  <si>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</si>
  <si>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</si>
  <si>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</si>
  <si>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</si>
  <si>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</si>
  <si>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</si>
  <si>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</si>
  <si>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</si>
  <si>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</si>
  <si>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</si>
  <si>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</si>
  <si>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</si>
  <si>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</si>
  <si>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</si>
  <si>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</si>
  <si>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</si>
  <si>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</si>
  <si>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</si>
  <si>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</si>
  <si>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</si>
  <si>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</si>
  <si>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</si>
  <si>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</si>
  <si>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</si>
  <si>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</si>
  <si>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t>Additional Covers / Clauses - As indicated below (ticked and bolded)</t>
  </si>
  <si>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</si>
  <si>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</si>
  <si>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</si>
  <si>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</si>
  <si>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</si>
  <si>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</si>
  <si>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</si>
  <si>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</si>
  <si>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</si>
  <si>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</si>
  <si>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</si>
  <si>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</si>
  <si>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</si>
  <si>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</si>
  <si>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</si>
  <si>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</si>
  <si>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</si>
  <si>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</si>
  <si>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</si>
  <si>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</si>
  <si>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</si>
  <si>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</si>
  <si>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</si>
  <si>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</si>
  <si>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</si>
  <si>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</si>
  <si>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</si>
  <si>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</si>
  <si>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</si>
  <si>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</si>
  <si>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</si>
  <si>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</si>
  <si>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</si>
  <si>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</si>
  <si>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</si>
  <si>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</si>
  <si>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</si>
  <si>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</si>
  <si>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</si>
  <si>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</si>
  <si>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</si>
  <si>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</si>
  <si>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</si>
  <si>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</si>
  <si>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</si>
  <si>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</si>
  <si>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</si>
  <si>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</si>
  <si>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</si>
  <si>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</si>
  <si>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</si>
  <si>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</si>
  <si>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</si>
  <si>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</si>
  <si>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</si>
  <si>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</si>
  <si>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</si>
  <si>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</si>
  <si>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</si>
  <si>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</si>
  <si>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</si>
  <si>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</si>
  <si>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</si>
  <si>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</si>
  <si>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</si>
  <si>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</si>
  <si>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</si>
  <si>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</si>
  <si>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</si>
  <si>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</si>
  <si>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</si>
  <si>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</si>
  <si>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</si>
  <si>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</si>
  <si>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</si>
  <si>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</si>
  <si>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</si>
  <si>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</si>
  <si>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</si>
  <si>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</si>
  <si>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</si>
  <si>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</si>
  <si>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</si>
  <si>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</si>
  <si>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</si>
  <si>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</si>
  <si>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</si>
  <si>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</si>
  <si>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</si>
  <si>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</si>
  <si>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</si>
  <si>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</si>
  <si>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</si>
  <si>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</si>
  <si>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</si>
  <si>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</si>
  <si>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</si>
  <si>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</si>
  <si>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</si>
  <si>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</si>
  <si>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</si>
  <si>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</si>
  <si>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</si>
  <si>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</si>
  <si>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</si>
  <si>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</si>
  <si>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</si>
  <si>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r>
      <t xml:space="preserve">N.B.- </t>
    </r>
    <r>
      <rPr>
        <sz val="9"/>
        <rFont val="Verdana"/>
        <family val="2"/>
      </rPr>
      <t xml:space="preserve">In addition to above, a proportionate amount for depreciation / wear &amp; tear shall be deducted, if brand new spare parts are replaced. </t>
    </r>
  </si>
  <si>
    <t>flat</t>
  </si>
  <si>
    <t>without flood / hiring</t>
  </si>
  <si>
    <t>Special Rates</t>
  </si>
  <si>
    <t>Three Wheelers</t>
  </si>
  <si>
    <t>MR</t>
  </si>
  <si>
    <t>UR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</si>
  <si>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</si>
  <si>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</si>
  <si>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</si>
  <si>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</si>
  <si>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</si>
  <si>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</si>
  <si>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</si>
  <si>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</si>
  <si>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</si>
  <si>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</si>
  <si>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</si>
  <si>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</si>
  <si>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</si>
  <si>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</si>
  <si>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</si>
  <si>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</si>
  <si>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</si>
  <si>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</si>
  <si>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</si>
  <si>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</si>
  <si>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</si>
  <si>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</si>
  <si>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</si>
  <si>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</si>
  <si>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</si>
  <si>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</si>
  <si>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</si>
  <si>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PETROL (non hybrid)</t>
  </si>
  <si>
    <t>New --&gt;</t>
  </si>
  <si>
    <t>Below 250cc</t>
  </si>
  <si>
    <t>MR - Less 10%</t>
  </si>
  <si>
    <t>NCB - Less 10%</t>
  </si>
  <si>
    <t>GUD/2016/Special/005</t>
  </si>
  <si>
    <t>REGISTERED</t>
  </si>
  <si>
    <t xml:space="preserve">Death Cover </t>
  </si>
  <si>
    <t xml:space="preserve">Death Cover           </t>
  </si>
  <si>
    <t xml:space="preserve">Hospitalization Cover </t>
  </si>
  <si>
    <t xml:space="preserve">Loss of Income </t>
  </si>
  <si>
    <r>
      <t xml:space="preserve">While we submit our Motor Quotation for your perusal, we assure you of our best services at all times. It's a Pleasure to Serve YOU! </t>
    </r>
    <r>
      <rPr>
        <sz val="10"/>
        <rFont val="Wingdings"/>
        <charset val="2"/>
      </rPr>
      <t>J</t>
    </r>
    <r>
      <rPr>
        <sz val="10"/>
        <rFont val="Tahoma"/>
        <family val="2"/>
      </rPr>
      <t xml:space="preserve"> </t>
    </r>
  </si>
  <si>
    <r>
      <t xml:space="preserve">SCOPE OF COVER </t>
    </r>
    <r>
      <rPr>
        <sz val="11"/>
        <rFont val="Tahoma"/>
        <family val="2"/>
      </rPr>
      <t>(as per the Terms, Conditions &amp; Exclusions of the TukTuk Full Policy Certificate)</t>
    </r>
  </si>
  <si>
    <t xml:space="preserve">accident to the Vehicle </t>
  </si>
  <si>
    <r>
      <t xml:space="preserve">FINANCIAL INTEREST PARTY </t>
    </r>
    <r>
      <rPr>
        <b/>
        <sz val="12"/>
        <rFont val="Tahoma"/>
        <family val="2"/>
      </rPr>
      <t>:</t>
    </r>
  </si>
  <si>
    <t xml:space="preserve">ISMAIL </t>
  </si>
  <si>
    <t>INDIAN</t>
  </si>
  <si>
    <t>PETROL</t>
  </si>
  <si>
    <t>TO BE ADVISED</t>
  </si>
  <si>
    <t>Sir</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</si>
  <si>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</si>
  <si>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Important :</t>
  </si>
  <si>
    <t xml:space="preserve">For the Vehicle </t>
  </si>
  <si>
    <t>For the Named Driver</t>
  </si>
  <si>
    <r>
      <t xml:space="preserve">Funeral Expence </t>
    </r>
    <r>
      <rPr>
        <sz val="11"/>
        <rFont val="Tahoma"/>
        <family val="2"/>
      </rPr>
      <t>(aggregate)</t>
    </r>
  </si>
  <si>
    <t>Loss of Income</t>
  </si>
  <si>
    <t>(Following accident to the Vehicle)</t>
  </si>
  <si>
    <t>Hospitalization</t>
  </si>
  <si>
    <t xml:space="preserve">(750/- X 10 Days) </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</si>
  <si>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</si>
  <si>
    <t>Not Applicable</t>
  </si>
  <si>
    <t>Amana Bank Ltd</t>
  </si>
  <si>
    <t>AMW Capital Leasing PLC</t>
  </si>
  <si>
    <t>Arpico Finance Co PLC</t>
  </si>
  <si>
    <t>Asian Finance Ltd</t>
  </si>
  <si>
    <t>Associated Motor Finance Company PLC</t>
  </si>
  <si>
    <t>Bartleet Finance PLC</t>
  </si>
  <si>
    <t>Bimputh Lanka Investments PLC</t>
  </si>
  <si>
    <t>Capital Alliance Finance PLC</t>
  </si>
  <si>
    <t>Central Finance Co PLC</t>
  </si>
  <si>
    <t>Central Investments &amp; Finance PLC</t>
  </si>
  <si>
    <t>Ceylease Financial Services Ltd</t>
  </si>
  <si>
    <t>Chilaw Finance Ltd</t>
  </si>
  <si>
    <t>City Finance Corporation Ltd.</t>
  </si>
  <si>
    <t>Commercial Bank of Ceylon PLC</t>
  </si>
  <si>
    <t>Commercial Leasing &amp; Finance Ltd.</t>
  </si>
  <si>
    <t>Co-operative Leasing Co Ltd</t>
  </si>
  <si>
    <t>DFCC Bank</t>
  </si>
  <si>
    <t>DFCC Vardhana Bank PLC</t>
  </si>
  <si>
    <t>Divasa Finance Ltd.</t>
  </si>
  <si>
    <t>Edirisinghe Trust Investments Ltd</t>
  </si>
  <si>
    <t>Hatton National Bank PLC</t>
  </si>
  <si>
    <t>Lankaputhra Development Bank Ltd.</t>
  </si>
  <si>
    <t>Lisvin Investments Ltd</t>
  </si>
  <si>
    <t>LOLC Micro Credit Ltd.</t>
  </si>
  <si>
    <t>MBSL Savings Bank Ltd</t>
  </si>
  <si>
    <t>MCB Bank Ltd</t>
  </si>
  <si>
    <t>Multi Finance PLC</t>
  </si>
  <si>
    <t>Nanda Investments &amp; Finance Ltd</t>
  </si>
  <si>
    <t>Nation Lanka Finance PLC</t>
  </si>
  <si>
    <t>National Development Bank PLC</t>
  </si>
  <si>
    <t>Nations Trust Bank PLC</t>
  </si>
  <si>
    <t>Orient Financial Services Corporation Ltd</t>
  </si>
  <si>
    <t>Pan Asia Banking Corporation PLC</t>
  </si>
  <si>
    <t>People's Bank</t>
  </si>
  <si>
    <t>People's Finance PLC</t>
  </si>
  <si>
    <t>People's Merchant Finance PLC.</t>
  </si>
  <si>
    <t>Pradeshiya Sanwardhana Bank</t>
  </si>
  <si>
    <t>Sampath Bank PLC</t>
  </si>
  <si>
    <t>Sanasa Development Bank Ltd</t>
  </si>
  <si>
    <t>Senkadagala Finance PLC</t>
  </si>
  <si>
    <t>Seylan Bank PLC.</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</si>
  <si>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</si>
  <si>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</si>
  <si>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</si>
  <si>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</si>
  <si>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</si>
  <si>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</si>
  <si>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</si>
  <si>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</si>
  <si>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</si>
  <si>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</si>
  <si>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</si>
  <si>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ASSETLINE INSURANCE BROKERS</t>
  </si>
  <si>
    <t>QUADRICYCLE</t>
  </si>
  <si>
    <t>Full Seating Capacity</t>
  </si>
  <si>
    <t>Permenant Total Disability</t>
  </si>
  <si>
    <t>Permanent Total Disability</t>
  </si>
  <si>
    <t>PTD</t>
  </si>
  <si>
    <t>Compatibility Report for Qdricycle &amp; Tuk Tuk Quote - Assetline IB.xls</t>
  </si>
  <si>
    <t>Run on 4/2/2019 20:41</t>
  </si>
  <si>
    <t>The following features in this workbook are not supported by earlier versions of Excel. These features may be lost or degraded when opening this workbook in an earlier version of Excel or if you save this workbook in an earlier file format.</t>
  </si>
  <si>
    <t>Significant loss of functionality</t>
  </si>
  <si>
    <t># of occurrences</t>
  </si>
  <si>
    <t>Version</t>
  </si>
  <si>
    <t>Any effects on this object will be removed. Any text that overflows the boundaries of this graphic will appear clipped.</t>
  </si>
  <si>
    <t>Data Entry'!A1:BH152</t>
  </si>
  <si>
    <t>Excel 97-2003</t>
  </si>
  <si>
    <t>Tuk Tuk Quote'!1:156</t>
  </si>
  <si>
    <t>Minor loss of fidelity</t>
  </si>
  <si>
    <t>Some formulas in this workbook are linked to other workbooks that are closed. When these formulas are recalculated in earlier versions of Excel without opening the linked workbooks, characters beyond the 255-character limit cannot be returned.</t>
  </si>
  <si>
    <t>2
Defined Names</t>
  </si>
  <si>
    <t>Some cells or styles in this workbook contain formatting that is not supported by the selected file format. These formats will be converted to the closest format available.</t>
  </si>
  <si>
    <t>One or more objects in this workbook such as shapes, WordArt, or text boxes may allow text to overflow the object boundaries. Earlier versions of Excel do not recognize this option and will hide overflowing text.</t>
  </si>
  <si>
    <t>PTD by SRCC</t>
  </si>
  <si>
    <t>(Named Driver, Spouce, 2 Children)</t>
  </si>
  <si>
    <t>300,000/- Cover -              Rs.</t>
  </si>
  <si>
    <t>SSCL</t>
  </si>
  <si>
    <t>PREMIUM ADJUSTMENT</t>
  </si>
  <si>
    <t>HIRING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</si>
</sst>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0.0000"/>
  </numFmts>
  <fonts count="229" x14ac:knownFonts="1">
    <font>
      <sz val="10"/>
      <name val="Arial"/>
    </font>
    <font>
      <sz val="10"/>
      <name val="Arial"/>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1"/>
      <color indexed="8"/>
      <name val="Perpetua Titling MT"/>
      <family val="1"/>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b/>
      <sz val="9"/>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2"/>
      <color indexed="58"/>
      <name val="Arial"/>
      <family val="2"/>
    </font>
    <font>
      <sz val="11"/>
      <color indexed="58"/>
      <name val="Arial"/>
      <family val="2"/>
    </font>
    <font>
      <sz val="10"/>
      <color indexed="58"/>
      <name val="Tahoma"/>
      <family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b/>
      <u/>
      <sz val="11"/>
      <color indexed="10"/>
      <name val="Arial"/>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9"/>
      <name val="Verdana"/>
      <family val="2"/>
    </font>
    <font>
      <sz val="8"/>
      <name val="Verdana"/>
      <family val="2"/>
    </font>
    <font>
      <b/>
      <sz val="9"/>
      <name val="Verdana"/>
      <family val="2"/>
    </font>
    <font>
      <u/>
      <sz val="10"/>
      <name val="Arial"/>
      <family val="2"/>
    </font>
    <font>
      <sz val="8"/>
      <color indexed="8"/>
      <name val="Tahoma"/>
      <family val="2"/>
    </font>
    <font>
      <sz val="8"/>
      <color indexed="23"/>
      <name val="Tahoma"/>
      <family val="2"/>
    </font>
    <font>
      <sz val="10"/>
      <name val="Wingdings"/>
      <charset val="2"/>
    </font>
    <font>
      <b/>
      <sz val="16"/>
      <color indexed="8"/>
      <name val="Tahoma"/>
      <family val="2"/>
    </font>
    <font>
      <b/>
      <sz val="10"/>
      <color rgb="FFFF0000"/>
      <name val="Tahoma"/>
      <family val="2"/>
    </font>
    <font>
      <b/>
      <sz val="10"/>
      <color rgb="FF003300"/>
      <name val="Arial"/>
      <family val="2"/>
    </font>
    <font>
      <sz val="10"/>
      <color rgb="FF003300"/>
      <name val="Arial"/>
      <family val="2"/>
    </font>
    <font>
      <sz val="9"/>
      <color rgb="FF003300"/>
      <name val="Tahoma"/>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theme="1"/>
      <name val="Arial"/>
      <family val="2"/>
    </font>
    <font>
      <b/>
      <sz val="14"/>
      <color theme="0"/>
      <name val="Tahoma"/>
      <family val="2"/>
    </font>
    <font>
      <b/>
      <sz val="10"/>
      <color rgb="FFC00000"/>
      <name val="Arial"/>
      <family val="2"/>
    </font>
    <font>
      <b/>
      <sz val="10"/>
      <color rgb="FFFF0000"/>
      <name val="Arial"/>
      <family val="2"/>
    </font>
    <font>
      <sz val="12"/>
      <color theme="0"/>
      <name val="Tahoma"/>
      <family val="2"/>
    </font>
    <font>
      <b/>
      <sz val="12"/>
      <color theme="0"/>
      <name val="Arial"/>
      <family val="2"/>
    </font>
    <font>
      <b/>
      <sz val="11"/>
      <color theme="0"/>
      <name val="Arial"/>
      <family val="2"/>
    </font>
    <font>
      <b/>
      <sz val="12"/>
      <color theme="0"/>
      <name val="Tahoma"/>
      <family val="2"/>
    </font>
    <font>
      <b/>
      <sz val="11"/>
      <color theme="0"/>
      <name val="Tahoma"/>
      <family val="2"/>
    </font>
    <font>
      <sz val="12"/>
      <color theme="0"/>
      <name val="Arial"/>
      <family val="2"/>
    </font>
    <font>
      <b/>
      <sz val="10"/>
      <color theme="0"/>
      <name val="Tahoma"/>
      <family val="2"/>
    </font>
    <font>
      <sz val="10"/>
      <color theme="0"/>
      <name val="Tahoma"/>
      <family val="2"/>
    </font>
    <font>
      <b/>
      <sz val="12"/>
      <color rgb="FFFF0000"/>
      <name val="Tahoma"/>
      <family val="2"/>
    </font>
    <font>
      <b/>
      <sz val="10"/>
      <color theme="1"/>
      <name val="Tahoma"/>
      <family val="2"/>
    </font>
    <font>
      <u/>
      <sz val="16"/>
      <color theme="1"/>
      <name val="Britannic Bold"/>
      <family val="2"/>
    </font>
    <font>
      <b/>
      <u/>
      <sz val="12"/>
      <color rgb="FFFF0000"/>
      <name val="Tahoma"/>
      <family val="2"/>
    </font>
    <font>
      <b/>
      <sz val="11"/>
      <color rgb="FF003300"/>
      <name val="Arial"/>
      <family val="2"/>
    </font>
    <font>
      <sz val="12"/>
      <color theme="0"/>
      <name val="Times New Roman"/>
      <family val="1"/>
    </font>
    <font>
      <b/>
      <sz val="10"/>
      <color theme="0"/>
      <name val="Arial"/>
      <family val="2"/>
    </font>
    <font>
      <b/>
      <sz val="14"/>
      <color rgb="FFFF0000"/>
      <name val="Tahoma"/>
      <family val="2"/>
    </font>
    <font>
      <b/>
      <sz val="11"/>
      <color rgb="FFFFFFFF"/>
      <name val="Tahoma"/>
      <family val="2"/>
    </font>
  </fonts>
  <fills count="23">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9"/>
        <bgColor indexed="47"/>
      </patternFill>
    </fill>
    <fill>
      <patternFill patternType="solid">
        <fgColor indexed="51"/>
        <bgColor indexed="64"/>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rgb="FFFFCC66"/>
        <bgColor indexed="64"/>
      </patternFill>
    </fill>
    <fill>
      <patternFill patternType="solid">
        <fgColor theme="9" tint="-0.249977111117893"/>
        <bgColor indexed="64"/>
      </patternFill>
    </fill>
  </fills>
  <borders count="171">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style="double">
        <color indexed="64"/>
      </left>
      <right style="double">
        <color indexed="18"/>
      </right>
      <top style="medium">
        <color indexed="18"/>
      </top>
      <bottom style="medium">
        <color indexed="18"/>
      </bottom>
      <diagonal/>
    </border>
    <border>
      <left style="double">
        <color indexed="64"/>
      </left>
      <right/>
      <top style="medium">
        <color indexed="64"/>
      </top>
      <bottom style="medium">
        <color indexed="64"/>
      </bottom>
      <diagonal/>
    </border>
    <border>
      <left style="double">
        <color indexed="64"/>
      </left>
      <right/>
      <top style="medium">
        <color indexed="18"/>
      </top>
      <bottom style="medium">
        <color indexed="18"/>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thin">
        <color indexed="58"/>
      </left>
      <right style="thin">
        <color indexed="58"/>
      </right>
      <top style="thin">
        <color indexed="58"/>
      </top>
      <bottom style="thin">
        <color indexed="58"/>
      </bottom>
      <diagonal/>
    </border>
    <border>
      <left style="medium">
        <color indexed="8"/>
      </left>
      <right style="medium">
        <color indexed="8"/>
      </right>
      <top style="medium">
        <color indexed="8"/>
      </top>
      <bottom style="medium">
        <color indexed="8"/>
      </bottom>
      <diagonal/>
    </border>
    <border>
      <left/>
      <right/>
      <top style="thin">
        <color indexed="64"/>
      </top>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56"/>
      </right>
      <top/>
      <bottom style="thick">
        <color indexed="8"/>
      </bottom>
      <diagonal/>
    </border>
    <border>
      <left style="medium">
        <color indexed="64"/>
      </left>
      <right style="medium">
        <color indexed="64"/>
      </right>
      <top style="medium">
        <color indexed="64"/>
      </top>
      <bottom/>
      <diagonal/>
    </border>
    <border>
      <left/>
      <right style="double">
        <color indexed="64"/>
      </right>
      <top style="thin">
        <color indexed="64"/>
      </top>
      <bottom/>
      <diagonal/>
    </border>
    <border>
      <left/>
      <right style="double">
        <color indexed="18"/>
      </right>
      <top style="thin">
        <color indexed="64"/>
      </top>
      <bottom/>
      <diagonal/>
    </border>
    <border>
      <left style="medium">
        <color indexed="58"/>
      </left>
      <right style="medium">
        <color indexed="58"/>
      </right>
      <top/>
      <bottom style="medium">
        <color indexed="58"/>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medium">
        <color indexed="8"/>
      </left>
      <right style="double">
        <color indexed="56"/>
      </right>
      <top style="medium">
        <color indexed="8"/>
      </top>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right style="medium">
        <color indexed="58"/>
      </right>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medium">
        <color indexed="18"/>
      </left>
      <right style="medium">
        <color indexed="18"/>
      </right>
      <top style="medium">
        <color indexed="18"/>
      </top>
      <bottom style="medium">
        <color indexed="18"/>
      </bottom>
      <diagonal/>
    </border>
    <border>
      <left style="double">
        <color indexed="18"/>
      </left>
      <right style="medium">
        <color indexed="8"/>
      </right>
      <top style="medium">
        <color indexed="8"/>
      </top>
      <bottom style="medium">
        <color indexed="8"/>
      </bottom>
      <diagonal/>
    </border>
    <border>
      <left/>
      <right/>
      <top/>
      <bottom style="hair">
        <color indexed="64"/>
      </bottom>
      <diagonal/>
    </border>
    <border>
      <left style="medium">
        <color indexed="58"/>
      </left>
      <right style="medium">
        <color indexed="58"/>
      </right>
      <top style="medium">
        <color indexed="58"/>
      </top>
      <bottom/>
      <diagonal/>
    </border>
    <border>
      <left/>
      <right/>
      <top style="hair">
        <color indexed="64"/>
      </top>
      <bottom style="hair">
        <color indexed="64"/>
      </bottom>
      <diagonal/>
    </border>
    <border>
      <left style="medium">
        <color indexed="58"/>
      </left>
      <right style="medium">
        <color indexed="58"/>
      </right>
      <top/>
      <bottom/>
      <diagonal/>
    </border>
    <border>
      <left style="double">
        <color indexed="18"/>
      </left>
      <right style="thin">
        <color indexed="18"/>
      </right>
      <top style="thin">
        <color indexed="18"/>
      </top>
      <bottom style="thin">
        <color indexed="18"/>
      </bottom>
      <diagonal/>
    </border>
    <border>
      <left style="medium">
        <color indexed="8"/>
      </left>
      <right/>
      <top style="medium">
        <color indexed="8"/>
      </top>
      <bottom/>
      <diagonal/>
    </border>
    <border>
      <left style="medium">
        <color indexed="8"/>
      </left>
      <right/>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right/>
      <top style="thin">
        <color indexed="64"/>
      </top>
      <bottom style="double">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double">
        <color rgb="FF003300"/>
      </right>
      <top/>
      <bottom/>
      <diagonal/>
    </border>
  </borders>
  <cellStyleXfs count="5">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cellStyleXfs>
  <cellXfs count="958">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5" xfId="0" applyFont="1" applyFill="1" applyBorder="1" applyProtection="1">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170" fontId="48" fillId="2" borderId="0" xfId="0" applyNumberFormat="1"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3" fillId="3" borderId="0" xfId="0" applyFont="1" applyFill="1" applyProtection="1">
      <protection hidden="1"/>
    </xf>
    <xf numFmtId="0" fontId="65" fillId="2" borderId="0" xfId="0" applyFont="1" applyFill="1" applyBorder="1" applyAlignment="1" applyProtection="1">
      <alignment vertical="center" wrapText="1"/>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7" fillId="2" borderId="0" xfId="0" applyFont="1" applyFill="1" applyBorder="1" applyAlignment="1" applyProtection="1">
      <alignment horizontal="right"/>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69"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5" fillId="2" borderId="0" xfId="0" applyFont="1" applyFill="1" applyBorder="1" applyAlignment="1" applyProtection="1">
      <protection hidden="1"/>
    </xf>
    <xf numFmtId="0" fontId="4" fillId="9" borderId="37" xfId="0" applyFont="1" applyFill="1" applyBorder="1" applyAlignment="1" applyProtection="1">
      <alignment horizontal="center" shrinkToFit="1"/>
      <protection locked="0" hidden="1"/>
    </xf>
    <xf numFmtId="0" fontId="0" fillId="3" borderId="3" xfId="0" applyFill="1" applyBorder="1" applyAlignment="1" applyProtection="1">
      <alignment shrinkToFit="1"/>
      <protection hidden="1"/>
    </xf>
    <xf numFmtId="0" fontId="41" fillId="9" borderId="38" xfId="0" applyFont="1" applyFill="1" applyBorder="1" applyAlignment="1" applyProtection="1">
      <alignment horizontal="center" shrinkToFit="1"/>
      <protection locked="0" hidden="1"/>
    </xf>
    <xf numFmtId="0" fontId="4" fillId="9" borderId="39" xfId="0" applyFont="1" applyFill="1" applyBorder="1" applyAlignment="1" applyProtection="1">
      <alignment horizontal="center"/>
      <protection locked="0"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53" fillId="2" borderId="0" xfId="0" applyFont="1" applyFill="1" applyBorder="1" applyAlignment="1" applyProtection="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3" fillId="9" borderId="37" xfId="0" applyFont="1" applyFill="1" applyBorder="1" applyAlignment="1" applyProtection="1">
      <alignment horizontal="center"/>
      <protection locked="0" hidden="1"/>
    </xf>
    <xf numFmtId="0" fontId="0" fillId="6" borderId="40"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2" xfId="0" applyFont="1" applyFill="1" applyBorder="1" applyAlignment="1" applyProtection="1">
      <alignment horizontal="center"/>
      <protection hidden="1"/>
    </xf>
    <xf numFmtId="0" fontId="3" fillId="10" borderId="42"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3" xfId="0" applyFont="1" applyFill="1" applyBorder="1" applyAlignment="1" applyProtection="1">
      <alignment horizontal="center"/>
      <protection hidden="1"/>
    </xf>
    <xf numFmtId="0" fontId="3" fillId="10" borderId="43"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4" xfId="0" applyFont="1" applyFill="1" applyBorder="1" applyAlignment="1" applyProtection="1">
      <alignment horizontal="center"/>
      <protection hidden="1"/>
    </xf>
    <xf numFmtId="2" fontId="32" fillId="5" borderId="45" xfId="0" applyNumberFormat="1" applyFont="1" applyFill="1" applyBorder="1" applyAlignment="1" applyProtection="1">
      <alignment horizontal="right"/>
      <protection hidden="1"/>
    </xf>
    <xf numFmtId="0" fontId="36" fillId="5" borderId="46"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7"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8"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9" xfId="0" applyFill="1" applyBorder="1" applyProtection="1">
      <protection hidden="1"/>
    </xf>
    <xf numFmtId="0" fontId="0" fillId="2" borderId="50" xfId="0" applyFill="1" applyBorder="1" applyAlignment="1" applyProtection="1">
      <alignment vertical="top" wrapText="1"/>
      <protection hidden="1"/>
    </xf>
    <xf numFmtId="0" fontId="0" fillId="2" borderId="51"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0" fontId="80" fillId="2" borderId="0" xfId="0" applyFont="1" applyFill="1" applyBorder="1" applyAlignment="1" applyProtection="1">
      <alignment horizontal="center"/>
      <protection locked="0" hidden="1"/>
    </xf>
    <xf numFmtId="43" fontId="46" fillId="2" borderId="5" xfId="1" applyNumberFormat="1" applyFont="1" applyFill="1" applyBorder="1" applyProtection="1">
      <protection hidden="1"/>
    </xf>
    <xf numFmtId="164" fontId="90" fillId="2" borderId="0" xfId="1" applyFont="1" applyFill="1" applyBorder="1" applyAlignment="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0"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2"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4"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3" fillId="2" borderId="0" xfId="0" applyFont="1" applyFill="1" applyBorder="1" applyAlignment="1" applyProtection="1">
      <alignment vertical="center" wrapText="1"/>
      <protection hidden="1"/>
    </xf>
    <xf numFmtId="0" fontId="63" fillId="11" borderId="0" xfId="0" applyFont="1" applyFill="1" applyProtection="1">
      <protection hidden="1"/>
    </xf>
    <xf numFmtId="164" fontId="97" fillId="11" borderId="0" xfId="1" applyFont="1" applyFill="1" applyBorder="1" applyProtection="1">
      <protection hidden="1"/>
    </xf>
    <xf numFmtId="164" fontId="98" fillId="11" borderId="0" xfId="1" applyFont="1" applyFill="1" applyBorder="1" applyProtection="1">
      <protection hidden="1"/>
    </xf>
    <xf numFmtId="0" fontId="24" fillId="11" borderId="0" xfId="0" applyFont="1" applyFill="1" applyBorder="1" applyProtection="1">
      <protection hidden="1"/>
    </xf>
    <xf numFmtId="0" fontId="72" fillId="12" borderId="53" xfId="2" applyFont="1" applyFill="1" applyBorder="1" applyAlignment="1" applyProtection="1">
      <alignment horizontal="center" vertical="center"/>
      <protection hidden="1"/>
    </xf>
    <xf numFmtId="0" fontId="72" fillId="12" borderId="54" xfId="2"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77" fillId="11" borderId="0" xfId="2" applyFont="1" applyFill="1" applyBorder="1" applyAlignment="1" applyProtection="1">
      <alignment horizontal="center"/>
    </xf>
    <xf numFmtId="0" fontId="24" fillId="11" borderId="0" xfId="0" applyFont="1" applyFill="1" applyBorder="1" applyAlignment="1" applyProtection="1">
      <alignment vertical="top" wrapText="1"/>
      <protection hidden="1"/>
    </xf>
    <xf numFmtId="0" fontId="87" fillId="11" borderId="55" xfId="0" applyFont="1" applyFill="1" applyBorder="1" applyProtection="1">
      <protection hidden="1"/>
    </xf>
    <xf numFmtId="0" fontId="99" fillId="9" borderId="47" xfId="0" applyFont="1" applyFill="1" applyBorder="1" applyAlignment="1" applyProtection="1">
      <alignment horizontal="center"/>
      <protection hidden="1"/>
    </xf>
    <xf numFmtId="0" fontId="56" fillId="2" borderId="0" xfId="0" applyFont="1" applyFill="1" applyProtection="1">
      <protection hidden="1"/>
    </xf>
    <xf numFmtId="0" fontId="100"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6" xfId="0" applyFont="1" applyFill="1" applyBorder="1" applyAlignment="1" applyProtection="1">
      <alignment horizontal="center" wrapText="1"/>
      <protection hidden="1"/>
    </xf>
    <xf numFmtId="0" fontId="102" fillId="2" borderId="0" xfId="0" applyFont="1" applyFill="1" applyBorder="1" applyProtection="1">
      <protection hidden="1"/>
    </xf>
    <xf numFmtId="164" fontId="103" fillId="11" borderId="0" xfId="0" applyNumberFormat="1" applyFont="1" applyFill="1" applyBorder="1" applyProtection="1">
      <protection locked="0" hidden="1"/>
    </xf>
    <xf numFmtId="0" fontId="104"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5" fillId="11" borderId="0" xfId="0" applyFont="1" applyFill="1" applyProtection="1">
      <protection hidden="1"/>
    </xf>
    <xf numFmtId="0" fontId="106" fillId="11" borderId="57" xfId="2"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8" fillId="11" borderId="0" xfId="0" applyNumberFormat="1" applyFont="1" applyFill="1" applyProtection="1">
      <protection hidden="1"/>
    </xf>
    <xf numFmtId="0" fontId="85" fillId="11" borderId="58" xfId="0" applyFont="1" applyFill="1" applyBorder="1" applyAlignment="1" applyProtection="1">
      <alignment horizontal="center"/>
      <protection locked="0" hidden="1"/>
    </xf>
    <xf numFmtId="0" fontId="85" fillId="11" borderId="0" xfId="0" applyFont="1" applyFill="1" applyBorder="1" applyAlignment="1" applyProtection="1">
      <alignment horizontal="center"/>
      <protection hidden="1"/>
    </xf>
    <xf numFmtId="0" fontId="109" fillId="11" borderId="0" xfId="0" applyFont="1" applyFill="1" applyBorder="1" applyAlignment="1" applyProtection="1">
      <alignment horizontal="right"/>
      <protection hidden="1"/>
    </xf>
    <xf numFmtId="164" fontId="103" fillId="11" borderId="0" xfId="0" applyNumberFormat="1" applyFont="1" applyFill="1" applyBorder="1" applyProtection="1">
      <protection hidden="1"/>
    </xf>
    <xf numFmtId="4" fontId="110" fillId="11" borderId="0" xfId="0" applyNumberFormat="1" applyFont="1" applyFill="1" applyBorder="1" applyProtection="1">
      <protection hidden="1"/>
    </xf>
    <xf numFmtId="0" fontId="111" fillId="11" borderId="0" xfId="0" applyFont="1" applyFill="1" applyBorder="1" applyProtection="1">
      <protection hidden="1"/>
    </xf>
    <xf numFmtId="164" fontId="103" fillId="11" borderId="0" xfId="1" applyFont="1" applyFill="1" applyBorder="1" applyProtection="1">
      <protection hidden="1"/>
    </xf>
    <xf numFmtId="4" fontId="86" fillId="11" borderId="0" xfId="0" applyNumberFormat="1" applyFont="1" applyFill="1" applyProtection="1">
      <protection hidden="1"/>
    </xf>
    <xf numFmtId="0" fontId="103"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8"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7"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2" fillId="2" borderId="0" xfId="0" applyFont="1" applyFill="1" applyProtection="1">
      <protection hidden="1"/>
    </xf>
    <xf numFmtId="15" fontId="112" fillId="2" borderId="0" xfId="0" applyNumberFormat="1" applyFont="1" applyFill="1" applyProtection="1">
      <protection hidden="1"/>
    </xf>
    <xf numFmtId="2" fontId="112" fillId="2" borderId="0" xfId="0" applyNumberFormat="1" applyFont="1" applyFill="1" applyProtection="1">
      <protection hidden="1"/>
    </xf>
    <xf numFmtId="164" fontId="113" fillId="2" borderId="5" xfId="1" applyFont="1" applyFill="1" applyBorder="1" applyProtection="1">
      <protection hidden="1"/>
    </xf>
    <xf numFmtId="164" fontId="103" fillId="11" borderId="4" xfId="0" applyNumberFormat="1" applyFont="1" applyFill="1" applyBorder="1" applyProtection="1">
      <protection locked="0" hidden="1"/>
    </xf>
    <xf numFmtId="0" fontId="6" fillId="2" borderId="0" xfId="0" applyFont="1" applyFill="1" applyBorder="1" applyAlignment="1" applyProtection="1">
      <alignment horizontal="left"/>
      <protection hidden="1"/>
    </xf>
    <xf numFmtId="0" fontId="91" fillId="2" borderId="0" xfId="0" applyFont="1" applyFill="1" applyProtection="1">
      <protection hidden="1"/>
    </xf>
    <xf numFmtId="0" fontId="100" fillId="0" borderId="0" xfId="0" applyFont="1" applyProtection="1">
      <protection hidden="1"/>
    </xf>
    <xf numFmtId="0" fontId="114" fillId="0" borderId="0" xfId="0" applyFont="1" applyProtection="1">
      <protection hidden="1"/>
    </xf>
    <xf numFmtId="4" fontId="45" fillId="2" borderId="0" xfId="0" applyNumberFormat="1" applyFont="1" applyFill="1" applyBorder="1" applyAlignment="1" applyProtection="1">
      <protection hidden="1"/>
    </xf>
    <xf numFmtId="0" fontId="0" fillId="2" borderId="0" xfId="0" applyFill="1" applyBorder="1" applyAlignment="1" applyProtection="1">
      <protection hidden="1"/>
    </xf>
    <xf numFmtId="3" fontId="22" fillId="11" borderId="0" xfId="0" applyNumberFormat="1" applyFont="1" applyFill="1" applyProtection="1">
      <protection hidden="1"/>
    </xf>
    <xf numFmtId="0" fontId="116" fillId="2" borderId="0" xfId="0" applyFont="1" applyFill="1" applyBorder="1" applyAlignment="1" applyProtection="1">
      <alignment horizontal="left"/>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0" fillId="2" borderId="0" xfId="0" applyFont="1" applyFill="1" applyBorder="1" applyProtection="1">
      <protection hidden="1"/>
    </xf>
    <xf numFmtId="0" fontId="48" fillId="2" borderId="0" xfId="0" applyFont="1" applyFill="1" applyBorder="1" applyAlignment="1" applyProtection="1">
      <protection hidden="1"/>
    </xf>
    <xf numFmtId="164" fontId="47" fillId="2" borderId="0" xfId="1" applyFont="1" applyFill="1" applyBorder="1" applyAlignment="1" applyProtection="1">
      <alignment horizontal="center"/>
      <protection locked="0" hidden="1"/>
    </xf>
    <xf numFmtId="0" fontId="18" fillId="11" borderId="0" xfId="0" applyFont="1" applyFill="1" applyProtection="1">
      <protection hidden="1"/>
    </xf>
    <xf numFmtId="0" fontId="70"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48" fillId="2" borderId="0" xfId="0" applyFont="1" applyFill="1" applyBorder="1" applyAlignment="1" applyProtection="1">
      <alignment horizontal="left" vertical="center" wrapText="1"/>
      <protection hidden="1"/>
    </xf>
    <xf numFmtId="0" fontId="70" fillId="2" borderId="0" xfId="0" applyFont="1" applyFill="1" applyBorder="1" applyAlignment="1" applyProtection="1">
      <alignment horizontal="left"/>
      <protection hidden="1"/>
    </xf>
    <xf numFmtId="0" fontId="44" fillId="9" borderId="59" xfId="0" applyFont="1" applyFill="1" applyBorder="1" applyAlignment="1" applyProtection="1">
      <alignment horizontal="center"/>
      <protection hidden="1"/>
    </xf>
    <xf numFmtId="0" fontId="115" fillId="2" borderId="0" xfId="0" applyFont="1" applyFill="1" applyBorder="1" applyAlignment="1" applyProtection="1">
      <alignment vertical="center"/>
      <protection hidden="1"/>
    </xf>
    <xf numFmtId="0" fontId="73" fillId="2" borderId="0" xfId="0" applyFont="1" applyFill="1" applyBorder="1" applyAlignment="1" applyProtection="1">
      <alignment vertical="top" wrapText="1"/>
      <protection hidden="1"/>
    </xf>
    <xf numFmtId="0" fontId="46" fillId="2" borderId="0" xfId="0" applyFont="1" applyFill="1" applyAlignment="1" applyProtection="1">
      <alignment vertical="center"/>
      <protection hidden="1"/>
    </xf>
    <xf numFmtId="0" fontId="46" fillId="2" borderId="0" xfId="0" applyFont="1" applyFill="1" applyBorder="1" applyAlignment="1" applyProtection="1">
      <alignment horizontal="left" vertical="center" wrapText="1"/>
      <protection hidden="1"/>
    </xf>
    <xf numFmtId="0" fontId="46" fillId="2" borderId="0" xfId="0" applyFont="1" applyFill="1" applyBorder="1" applyAlignment="1" applyProtection="1">
      <alignment horizontal="left" vertical="center"/>
      <protection hidden="1"/>
    </xf>
    <xf numFmtId="10" fontId="48" fillId="2" borderId="0" xfId="0" applyNumberFormat="1" applyFont="1" applyFill="1" applyBorder="1" applyAlignment="1" applyProtection="1">
      <protection hidden="1"/>
    </xf>
    <xf numFmtId="0" fontId="46" fillId="2" borderId="60" xfId="0" applyFont="1" applyFill="1" applyBorder="1" applyAlignment="1" applyProtection="1">
      <alignment horizontal="left" vertical="center" wrapText="1"/>
      <protection hidden="1"/>
    </xf>
    <xf numFmtId="0" fontId="48" fillId="2" borderId="0" xfId="0" applyFont="1" applyFill="1" applyBorder="1" applyAlignment="1" applyProtection="1">
      <alignment horizontal="center" vertical="center" wrapText="1"/>
      <protection hidden="1"/>
    </xf>
    <xf numFmtId="0" fontId="7" fillId="2" borderId="61" xfId="0" applyFont="1" applyFill="1" applyBorder="1" applyProtection="1">
      <protection hidden="1"/>
    </xf>
    <xf numFmtId="0" fontId="0" fillId="2" borderId="61" xfId="0" applyFill="1" applyBorder="1" applyAlignment="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172" fontId="113" fillId="11" borderId="0" xfId="0" applyNumberFormat="1" applyFont="1" applyFill="1" applyBorder="1" applyAlignment="1" applyProtection="1">
      <alignment horizontal="right"/>
      <protection hidden="1"/>
    </xf>
    <xf numFmtId="0" fontId="113" fillId="11" borderId="0" xfId="0" applyFont="1" applyFill="1" applyBorder="1" applyAlignment="1" applyProtection="1">
      <alignment horizontal="left"/>
      <protection hidden="1"/>
    </xf>
    <xf numFmtId="172" fontId="113" fillId="11" borderId="0" xfId="0" applyNumberFormat="1" applyFont="1" applyFill="1" applyBorder="1" applyAlignment="1" applyProtection="1">
      <alignment horizontal="center"/>
      <protection hidden="1"/>
    </xf>
    <xf numFmtId="4" fontId="113" fillId="11" borderId="0" xfId="0" applyNumberFormat="1" applyFont="1" applyFill="1" applyBorder="1" applyAlignment="1" applyProtection="1">
      <alignment horizontal="left"/>
      <protection hidden="1"/>
    </xf>
    <xf numFmtId="0" fontId="86" fillId="11" borderId="0" xfId="0" applyFont="1" applyFill="1" applyBorder="1" applyProtection="1">
      <protection hidden="1"/>
    </xf>
    <xf numFmtId="0" fontId="121" fillId="11" borderId="0" xfId="0" applyFont="1" applyFill="1" applyBorder="1" applyProtection="1">
      <protection hidden="1"/>
    </xf>
    <xf numFmtId="0" fontId="122" fillId="11" borderId="0" xfId="0" applyFont="1" applyFill="1" applyBorder="1" applyAlignment="1" applyProtection="1">
      <protection hidden="1"/>
    </xf>
    <xf numFmtId="2" fontId="121" fillId="11" borderId="0" xfId="0" applyNumberFormat="1" applyFont="1" applyFill="1" applyBorder="1" applyProtection="1">
      <protection hidden="1"/>
    </xf>
    <xf numFmtId="164" fontId="121" fillId="11" borderId="0" xfId="1" applyFont="1" applyFill="1" applyBorder="1" applyProtection="1">
      <protection hidden="1"/>
    </xf>
    <xf numFmtId="0" fontId="0" fillId="11" borderId="62" xfId="0" applyFill="1" applyBorder="1" applyProtection="1">
      <protection hidden="1"/>
    </xf>
    <xf numFmtId="0" fontId="0" fillId="11" borderId="3" xfId="0" applyFill="1" applyBorder="1" applyProtection="1">
      <protection hidden="1"/>
    </xf>
    <xf numFmtId="0" fontId="83" fillId="2" borderId="0" xfId="0" applyFont="1" applyFill="1" applyProtection="1">
      <protection hidden="1"/>
    </xf>
    <xf numFmtId="0" fontId="51" fillId="2" borderId="0" xfId="0" applyFont="1" applyFill="1" applyAlignment="1" applyProtection="1">
      <alignment horizontal="center"/>
      <protection hidden="1"/>
    </xf>
    <xf numFmtId="0" fontId="105" fillId="11" borderId="0" xfId="0" applyFont="1" applyFill="1" applyBorder="1" applyProtection="1">
      <protection hidden="1"/>
    </xf>
    <xf numFmtId="0" fontId="124" fillId="11" borderId="0" xfId="0" applyFont="1" applyFill="1" applyProtection="1">
      <protection hidden="1"/>
    </xf>
    <xf numFmtId="0" fontId="126"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8"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30" fillId="2" borderId="0" xfId="0" applyFont="1" applyFill="1" applyBorder="1" applyAlignment="1" applyProtection="1">
      <alignment horizontal="left"/>
      <protection hidden="1"/>
    </xf>
    <xf numFmtId="174" fontId="131" fillId="11" borderId="0" xfId="0" applyNumberFormat="1" applyFont="1" applyFill="1" applyBorder="1" applyProtection="1">
      <protection hidden="1"/>
    </xf>
    <xf numFmtId="0" fontId="46" fillId="2" borderId="52" xfId="0" applyFont="1" applyFill="1" applyBorder="1" applyProtection="1">
      <protection hidden="1"/>
    </xf>
    <xf numFmtId="0" fontId="70"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9" fillId="2" borderId="0" xfId="0" applyFont="1" applyFill="1" applyBorder="1" applyProtection="1">
      <protection locked="0" hidden="1"/>
    </xf>
    <xf numFmtId="0" fontId="129" fillId="2" borderId="0" xfId="0" applyFont="1" applyFill="1" applyBorder="1" applyProtection="1">
      <protection hidden="1"/>
    </xf>
    <xf numFmtId="0" fontId="84" fillId="11" borderId="5" xfId="0" applyFont="1" applyFill="1" applyBorder="1" applyAlignment="1" applyProtection="1">
      <alignment horizontal="center"/>
      <protection locked="0"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63" xfId="0" applyFont="1" applyFill="1" applyBorder="1" applyAlignment="1" applyProtection="1">
      <alignment horizontal="right"/>
      <protection hidden="1"/>
    </xf>
    <xf numFmtId="0" fontId="134"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5"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2"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6"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0" fontId="48" fillId="2" borderId="0" xfId="0" applyFont="1" applyFill="1" applyBorder="1" applyAlignment="1" applyProtection="1">
      <alignment horizontal="right"/>
      <protection hidden="1"/>
    </xf>
    <xf numFmtId="173" fontId="46" fillId="2" borderId="0" xfId="0" applyNumberFormat="1" applyFont="1" applyFill="1" applyBorder="1" applyAlignment="1" applyProtection="1">
      <protection hidden="1"/>
    </xf>
    <xf numFmtId="0" fontId="137" fillId="2" borderId="0" xfId="0" applyFont="1" applyFill="1" applyBorder="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0" fontId="140" fillId="11" borderId="0" xfId="0" applyFont="1" applyFill="1" applyProtection="1">
      <protection hidden="1"/>
    </xf>
    <xf numFmtId="0" fontId="141" fillId="11" borderId="0" xfId="0" applyFont="1" applyFill="1"/>
    <xf numFmtId="164" fontId="79" fillId="2" borderId="0" xfId="1" applyFont="1" applyFill="1" applyBorder="1" applyProtection="1">
      <protection hidden="1"/>
    </xf>
    <xf numFmtId="0" fontId="83" fillId="2" borderId="5" xfId="0" applyFont="1" applyFill="1" applyBorder="1" applyProtection="1">
      <protection hidden="1"/>
    </xf>
    <xf numFmtId="0" fontId="143" fillId="2" borderId="58" xfId="0" applyFont="1" applyFill="1" applyBorder="1" applyAlignment="1" applyProtection="1">
      <alignment vertical="center" wrapText="1"/>
      <protection hidden="1"/>
    </xf>
    <xf numFmtId="0" fontId="143" fillId="2" borderId="0" xfId="0" applyFont="1" applyFill="1" applyBorder="1" applyAlignment="1" applyProtection="1">
      <alignment vertical="center" wrapText="1"/>
      <protection hidden="1"/>
    </xf>
    <xf numFmtId="0" fontId="144" fillId="2" borderId="0" xfId="0" applyFont="1" applyFill="1" applyAlignment="1" applyProtection="1">
      <alignment vertical="center"/>
      <protection hidden="1"/>
    </xf>
    <xf numFmtId="0" fontId="85" fillId="11" borderId="64" xfId="0" applyFont="1" applyFill="1" applyBorder="1" applyAlignment="1" applyProtection="1">
      <alignment horizontal="center"/>
      <protection hidden="1"/>
    </xf>
    <xf numFmtId="0" fontId="2" fillId="7" borderId="0" xfId="0" applyFont="1" applyFill="1" applyBorder="1" applyProtection="1">
      <protection hidden="1"/>
    </xf>
    <xf numFmtId="0" fontId="146" fillId="4" borderId="65" xfId="0" applyFont="1" applyFill="1" applyBorder="1" applyAlignment="1" applyProtection="1">
      <alignment horizontal="center"/>
      <protection hidden="1"/>
    </xf>
    <xf numFmtId="0" fontId="41" fillId="13" borderId="0"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8"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61" xfId="0" applyFont="1" applyFill="1" applyBorder="1" applyAlignment="1" applyProtection="1">
      <alignment horizontal="left" vertical="center" wrapText="1"/>
      <protection hidden="1"/>
    </xf>
    <xf numFmtId="0" fontId="149" fillId="0" borderId="0" xfId="0" applyFont="1" applyProtection="1">
      <protection hidden="1"/>
    </xf>
    <xf numFmtId="0" fontId="149" fillId="2" borderId="0" xfId="0" applyFont="1" applyFill="1" applyProtection="1">
      <protection hidden="1"/>
    </xf>
    <xf numFmtId="0" fontId="149" fillId="0" borderId="0" xfId="0" applyFont="1" applyAlignment="1" applyProtection="1">
      <protection hidden="1"/>
    </xf>
    <xf numFmtId="0" fontId="126"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6" xfId="0" applyFont="1" applyFill="1" applyBorder="1" applyProtection="1">
      <protection hidden="1"/>
    </xf>
    <xf numFmtId="0" fontId="30" fillId="4" borderId="67" xfId="0" applyFont="1" applyFill="1" applyBorder="1" applyProtection="1">
      <protection hidden="1"/>
    </xf>
    <xf numFmtId="0" fontId="27" fillId="4" borderId="68" xfId="0" quotePrefix="1" applyFont="1" applyFill="1" applyBorder="1" applyProtection="1">
      <protection hidden="1"/>
    </xf>
    <xf numFmtId="0" fontId="36" fillId="4" borderId="66" xfId="0" applyFont="1" applyFill="1" applyBorder="1" applyAlignment="1" applyProtection="1">
      <alignment horizontal="center"/>
      <protection hidden="1"/>
    </xf>
    <xf numFmtId="38" fontId="150" fillId="2" borderId="0" xfId="0" applyNumberFormat="1" applyFont="1" applyFill="1" applyBorder="1" applyAlignment="1" applyProtection="1">
      <alignment horizontal="center"/>
      <protection hidden="1"/>
    </xf>
    <xf numFmtId="0" fontId="107" fillId="3" borderId="69"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70" xfId="0" applyFont="1" applyFill="1" applyBorder="1" applyProtection="1">
      <protection hidden="1"/>
    </xf>
    <xf numFmtId="0" fontId="0" fillId="4" borderId="71" xfId="0" applyFill="1" applyBorder="1" applyProtection="1">
      <protection hidden="1"/>
    </xf>
    <xf numFmtId="0" fontId="36" fillId="4" borderId="72" xfId="0" applyFont="1" applyFill="1" applyBorder="1" applyProtection="1">
      <protection hidden="1"/>
    </xf>
    <xf numFmtId="164" fontId="117" fillId="2" borderId="0" xfId="1" applyFont="1" applyFill="1" applyBorder="1" applyAlignment="1" applyProtection="1">
      <alignment horizontal="left"/>
      <protection hidden="1"/>
    </xf>
    <xf numFmtId="2" fontId="151" fillId="2" borderId="0" xfId="0" applyNumberFormat="1" applyFont="1" applyFill="1" applyBorder="1" applyProtection="1">
      <protection hidden="1"/>
    </xf>
    <xf numFmtId="164" fontId="152" fillId="11" borderId="0" xfId="0" applyNumberFormat="1" applyFont="1" applyFill="1" applyBorder="1" applyProtection="1">
      <protection locked="0" hidden="1"/>
    </xf>
    <xf numFmtId="0" fontId="47" fillId="2" borderId="0" xfId="0" applyFont="1" applyFill="1" applyProtection="1">
      <protection hidden="1"/>
    </xf>
    <xf numFmtId="0" fontId="41" fillId="9" borderId="3" xfId="0" applyFont="1" applyFill="1" applyBorder="1" applyAlignment="1" applyProtection="1">
      <alignment horizontal="center" shrinkToFit="1"/>
      <protection locked="0" hidden="1"/>
    </xf>
    <xf numFmtId="0" fontId="143" fillId="2" borderId="73" xfId="0" applyFont="1" applyFill="1" applyBorder="1" applyAlignment="1" applyProtection="1">
      <alignment vertical="center" wrapText="1"/>
      <protection hidden="1"/>
    </xf>
    <xf numFmtId="4" fontId="46" fillId="2" borderId="7" xfId="0" applyNumberFormat="1" applyFont="1" applyFill="1" applyBorder="1" applyAlignment="1" applyProtection="1">
      <alignment horizontal="right"/>
      <protection hidden="1"/>
    </xf>
    <xf numFmtId="39" fontId="46" fillId="2" borderId="7" xfId="0" applyNumberFormat="1" applyFont="1" applyFill="1" applyBorder="1" applyAlignment="1" applyProtection="1">
      <alignment horizontal="right"/>
      <protection hidden="1"/>
    </xf>
    <xf numFmtId="10" fontId="155" fillId="2" borderId="0" xfId="0" applyNumberFormat="1" applyFont="1" applyFill="1" applyBorder="1" applyAlignment="1" applyProtection="1">
      <alignment horizontal="right"/>
      <protection locked="0" hidden="1"/>
    </xf>
    <xf numFmtId="0" fontId="156" fillId="11" borderId="0" xfId="0" applyFont="1" applyFill="1" applyAlignment="1" applyProtection="1">
      <alignment horizontal="center"/>
      <protection hidden="1"/>
    </xf>
    <xf numFmtId="4" fontId="46" fillId="2" borderId="7" xfId="0" applyNumberFormat="1" applyFont="1" applyFill="1" applyBorder="1" applyProtection="1">
      <protection hidden="1"/>
    </xf>
    <xf numFmtId="0" fontId="80" fillId="11" borderId="0" xfId="0" applyFont="1" applyFill="1" applyBorder="1" applyAlignment="1" applyProtection="1">
      <alignment horizontal="center"/>
      <protection hidden="1"/>
    </xf>
    <xf numFmtId="0" fontId="123" fillId="11" borderId="0" xfId="0" applyFont="1" applyFill="1" applyProtection="1">
      <protection hidden="1"/>
    </xf>
    <xf numFmtId="0" fontId="123" fillId="11" borderId="0" xfId="0" applyFont="1" applyFill="1" applyAlignment="1" applyProtection="1">
      <alignment horizontal="left"/>
      <protection hidden="1"/>
    </xf>
    <xf numFmtId="0" fontId="86" fillId="2" borderId="0" xfId="0" applyFont="1" applyFill="1" applyProtection="1">
      <protection hidden="1"/>
    </xf>
    <xf numFmtId="0" fontId="147"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6"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3" fillId="11" borderId="0" xfId="0" applyFont="1" applyFill="1" applyAlignment="1" applyProtection="1">
      <alignment horizontal="center"/>
      <protection hidden="1"/>
    </xf>
    <xf numFmtId="14" fontId="123" fillId="11" borderId="0" xfId="0" applyNumberFormat="1" applyFont="1" applyFill="1" applyProtection="1">
      <protection hidden="1"/>
    </xf>
    <xf numFmtId="14" fontId="157" fillId="11" borderId="74" xfId="0" applyNumberFormat="1" applyFont="1" applyFill="1" applyBorder="1" applyAlignment="1" applyProtection="1">
      <alignment vertical="top" wrapText="1"/>
      <protection hidden="1"/>
    </xf>
    <xf numFmtId="0" fontId="158" fillId="11" borderId="0" xfId="0" applyFont="1" applyFill="1" applyProtection="1">
      <protection hidden="1"/>
    </xf>
    <xf numFmtId="0" fontId="157" fillId="11" borderId="0" xfId="0" applyFont="1" applyFill="1" applyBorder="1" applyAlignment="1" applyProtection="1">
      <alignment vertical="top" wrapText="1"/>
      <protection hidden="1"/>
    </xf>
    <xf numFmtId="1" fontId="123" fillId="11" borderId="0" xfId="0" applyNumberFormat="1" applyFont="1" applyFill="1" applyProtection="1">
      <protection hidden="1"/>
    </xf>
    <xf numFmtId="0" fontId="123" fillId="11" borderId="0" xfId="0" applyFont="1" applyFill="1" applyAlignment="1" applyProtection="1">
      <alignment horizontal="right"/>
      <protection hidden="1"/>
    </xf>
    <xf numFmtId="0" fontId="127" fillId="11" borderId="0" xfId="0" applyFont="1" applyFill="1" applyProtection="1">
      <protection hidden="1"/>
    </xf>
    <xf numFmtId="0" fontId="123" fillId="11" borderId="74" xfId="0" applyFont="1" applyFill="1" applyBorder="1" applyProtection="1">
      <protection hidden="1"/>
    </xf>
    <xf numFmtId="0" fontId="83" fillId="11" borderId="0" xfId="0" applyFont="1" applyFill="1"/>
    <xf numFmtId="0" fontId="123" fillId="11" borderId="0" xfId="0" applyFont="1" applyFill="1" applyBorder="1" applyProtection="1">
      <protection hidden="1"/>
    </xf>
    <xf numFmtId="0" fontId="123" fillId="11" borderId="61" xfId="0" applyFont="1" applyFill="1" applyBorder="1" applyProtection="1">
      <protection hidden="1"/>
    </xf>
    <xf numFmtId="0" fontId="127" fillId="11" borderId="0" xfId="0" applyFont="1" applyFill="1" applyBorder="1" applyAlignment="1" applyProtection="1">
      <alignment horizontal="center"/>
      <protection hidden="1"/>
    </xf>
    <xf numFmtId="0" fontId="157" fillId="11" borderId="47" xfId="0" applyFont="1" applyFill="1" applyBorder="1" applyAlignment="1" applyProtection="1">
      <alignment horizontal="center"/>
      <protection hidden="1"/>
    </xf>
    <xf numFmtId="0" fontId="158" fillId="11" borderId="0" xfId="0" applyFont="1" applyFill="1" applyBorder="1" applyAlignment="1" applyProtection="1">
      <alignment vertical="top"/>
      <protection hidden="1"/>
    </xf>
    <xf numFmtId="0" fontId="157" fillId="11" borderId="61" xfId="0" applyFont="1" applyFill="1" applyBorder="1" applyAlignment="1" applyProtection="1">
      <alignment vertical="top"/>
      <protection hidden="1"/>
    </xf>
    <xf numFmtId="0" fontId="127" fillId="11" borderId="0" xfId="0" applyFont="1" applyFill="1" applyBorder="1" applyProtection="1">
      <protection hidden="1"/>
    </xf>
    <xf numFmtId="0" fontId="123" fillId="11" borderId="0" xfId="0" applyFont="1" applyFill="1" applyBorder="1" applyAlignment="1" applyProtection="1">
      <alignment vertical="top" wrapText="1"/>
      <protection hidden="1"/>
    </xf>
    <xf numFmtId="0" fontId="158" fillId="11" borderId="0" xfId="0" applyFont="1" applyFill="1" applyBorder="1" applyProtection="1">
      <protection hidden="1"/>
    </xf>
    <xf numFmtId="1" fontId="157" fillId="11" borderId="47" xfId="0" applyNumberFormat="1" applyFont="1" applyFill="1" applyBorder="1" applyAlignment="1" applyProtection="1">
      <alignment horizontal="center"/>
      <protection hidden="1"/>
    </xf>
    <xf numFmtId="1" fontId="159" fillId="11" borderId="47" xfId="0" applyNumberFormat="1" applyFont="1" applyFill="1" applyBorder="1" applyAlignment="1" applyProtection="1">
      <alignment horizontal="center"/>
      <protection hidden="1"/>
    </xf>
    <xf numFmtId="175" fontId="127" fillId="11" borderId="47" xfId="0" applyNumberFormat="1" applyFont="1" applyFill="1" applyBorder="1" applyAlignment="1" applyProtection="1">
      <alignment horizontal="center" vertical="top" wrapText="1"/>
      <protection hidden="1"/>
    </xf>
    <xf numFmtId="0" fontId="157" fillId="11" borderId="0" xfId="0" applyFont="1" applyFill="1" applyBorder="1" applyProtection="1">
      <protection hidden="1"/>
    </xf>
    <xf numFmtId="0" fontId="127" fillId="11" borderId="75" xfId="0" applyFont="1" applyFill="1" applyBorder="1" applyProtection="1">
      <protection hidden="1"/>
    </xf>
    <xf numFmtId="0" fontId="123" fillId="11" borderId="6" xfId="0" applyFont="1" applyFill="1" applyBorder="1" applyProtection="1">
      <protection hidden="1"/>
    </xf>
    <xf numFmtId="0" fontId="125" fillId="11" borderId="60" xfId="0" applyFont="1" applyFill="1" applyBorder="1" applyAlignment="1" applyProtection="1">
      <protection hidden="1"/>
    </xf>
    <xf numFmtId="0" fontId="123" fillId="11" borderId="76" xfId="0" applyFont="1" applyFill="1" applyBorder="1" applyProtection="1">
      <protection hidden="1"/>
    </xf>
    <xf numFmtId="0" fontId="107" fillId="11" borderId="0" xfId="0" applyFont="1" applyFill="1" applyAlignment="1" applyProtection="1">
      <alignment horizontal="center"/>
      <protection hidden="1"/>
    </xf>
    <xf numFmtId="0" fontId="154" fillId="3" borderId="47" xfId="0" applyFont="1" applyFill="1" applyBorder="1" applyAlignment="1" applyProtection="1">
      <alignment horizontal="center"/>
      <protection locked="0" hidden="1"/>
    </xf>
    <xf numFmtId="0" fontId="130" fillId="3" borderId="47" xfId="0" applyFont="1" applyFill="1" applyBorder="1" applyAlignment="1" applyProtection="1">
      <alignment horizontal="center"/>
      <protection locked="0" hidden="1"/>
    </xf>
    <xf numFmtId="3" fontId="153" fillId="2" borderId="0" xfId="0" applyNumberFormat="1" applyFont="1" applyFill="1" applyBorder="1" applyProtection="1">
      <protection locked="0" hidden="1"/>
    </xf>
    <xf numFmtId="167" fontId="129" fillId="2" borderId="63" xfId="1" applyNumberFormat="1" applyFont="1" applyFill="1" applyBorder="1" applyProtection="1">
      <protection hidden="1"/>
    </xf>
    <xf numFmtId="0" fontId="28" fillId="2" borderId="0" xfId="0" applyFont="1" applyFill="1" applyAlignment="1" applyProtection="1">
      <alignment horizontal="center"/>
      <protection hidden="1"/>
    </xf>
    <xf numFmtId="0" fontId="165" fillId="0" borderId="0" xfId="0" applyFont="1" applyAlignment="1" applyProtection="1">
      <alignment horizontal="right"/>
      <protection hidden="1"/>
    </xf>
    <xf numFmtId="0" fontId="85" fillId="11" borderId="37"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22" fillId="0" borderId="0" xfId="0" applyFont="1"/>
    <xf numFmtId="0" fontId="167" fillId="2" borderId="0" xfId="0" applyFont="1" applyFill="1" applyAlignment="1" applyProtection="1">
      <alignment horizontal="right"/>
      <protection hidden="1"/>
    </xf>
    <xf numFmtId="0" fontId="13" fillId="2" borderId="0" xfId="0" applyFont="1" applyFill="1" applyProtection="1">
      <protection hidden="1"/>
    </xf>
    <xf numFmtId="0" fontId="168"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50" fillId="2" borderId="4" xfId="0" applyFont="1" applyFill="1" applyBorder="1" applyProtection="1">
      <protection hidden="1"/>
    </xf>
    <xf numFmtId="0" fontId="155" fillId="2" borderId="0" xfId="0" applyFont="1" applyFill="1" applyBorder="1" applyAlignment="1" applyProtection="1">
      <alignment horizontal="center"/>
      <protection hidden="1"/>
    </xf>
    <xf numFmtId="0" fontId="7" fillId="2" borderId="77" xfId="0" applyFont="1" applyFill="1" applyBorder="1" applyProtection="1">
      <protection hidden="1"/>
    </xf>
    <xf numFmtId="0" fontId="0" fillId="2" borderId="78"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9" xfId="0" applyFont="1" applyFill="1" applyBorder="1" applyAlignment="1" applyProtection="1">
      <alignment horizontal="left"/>
      <protection hidden="1"/>
    </xf>
    <xf numFmtId="0" fontId="16" fillId="2" borderId="80" xfId="0" applyFont="1" applyFill="1" applyBorder="1" applyAlignment="1" applyProtection="1">
      <alignment horizontal="right"/>
      <protection hidden="1"/>
    </xf>
    <xf numFmtId="0" fontId="130" fillId="3" borderId="81" xfId="0" applyFont="1" applyFill="1" applyBorder="1" applyAlignment="1" applyProtection="1">
      <alignment horizontal="center"/>
      <protection locked="0" hidden="1"/>
    </xf>
    <xf numFmtId="4" fontId="45" fillId="2" borderId="82" xfId="0" applyNumberFormat="1" applyFont="1" applyFill="1" applyBorder="1" applyProtection="1">
      <protection hidden="1"/>
    </xf>
    <xf numFmtId="164" fontId="49" fillId="2" borderId="83" xfId="1" applyFont="1" applyFill="1" applyBorder="1" applyProtection="1">
      <protection hidden="1"/>
    </xf>
    <xf numFmtId="0" fontId="71" fillId="2" borderId="0" xfId="0" applyFont="1" applyFill="1" applyBorder="1" applyAlignment="1" applyProtection="1">
      <alignment horizontal="left"/>
      <protection hidden="1"/>
    </xf>
    <xf numFmtId="167" fontId="129" fillId="2" borderId="0" xfId="1" applyNumberFormat="1" applyFont="1" applyFill="1" applyBorder="1" applyProtection="1">
      <protection hidden="1"/>
    </xf>
    <xf numFmtId="164" fontId="115" fillId="2" borderId="77" xfId="1" applyFont="1" applyFill="1" applyBorder="1" applyAlignment="1" applyProtection="1">
      <alignment horizontal="center"/>
      <protection locked="0" hidden="1"/>
    </xf>
    <xf numFmtId="0" fontId="130" fillId="2" borderId="0" xfId="0" applyFont="1" applyFill="1" applyBorder="1" applyAlignment="1" applyProtection="1">
      <alignment horizontal="center"/>
      <protection locked="0" hidden="1"/>
    </xf>
    <xf numFmtId="0" fontId="95" fillId="2" borderId="4" xfId="0" applyFont="1" applyFill="1" applyBorder="1" applyProtection="1">
      <protection hidden="1"/>
    </xf>
    <xf numFmtId="0" fontId="172" fillId="2" borderId="0" xfId="0" applyFont="1" applyFill="1" applyBorder="1" applyProtection="1">
      <protection hidden="1"/>
    </xf>
    <xf numFmtId="0" fontId="172" fillId="2" borderId="0" xfId="0" applyFont="1" applyFill="1" applyBorder="1" applyAlignment="1" applyProtection="1">
      <alignment vertical="center"/>
      <protection hidden="1"/>
    </xf>
    <xf numFmtId="0" fontId="145" fillId="2" borderId="0" xfId="0" applyFont="1" applyFill="1" applyBorder="1" applyAlignment="1" applyProtection="1">
      <alignment horizontal="left" vertical="top"/>
      <protection hidden="1"/>
    </xf>
    <xf numFmtId="0" fontId="130" fillId="14" borderId="84" xfId="0" applyFont="1" applyFill="1" applyBorder="1" applyAlignment="1" applyProtection="1">
      <alignment horizontal="center"/>
      <protection locked="0" hidden="1"/>
    </xf>
    <xf numFmtId="0" fontId="173" fillId="2" borderId="0" xfId="0" applyFont="1" applyFill="1" applyBorder="1" applyProtection="1">
      <protection hidden="1"/>
    </xf>
    <xf numFmtId="0" fontId="0" fillId="2" borderId="85" xfId="0" applyFill="1" applyBorder="1" applyProtection="1">
      <protection hidden="1"/>
    </xf>
    <xf numFmtId="0" fontId="143" fillId="2" borderId="86" xfId="0" applyFont="1" applyFill="1" applyBorder="1" applyAlignment="1" applyProtection="1">
      <alignment vertical="center" wrapText="1"/>
      <protection hidden="1"/>
    </xf>
    <xf numFmtId="0" fontId="13" fillId="2" borderId="87" xfId="0" applyFont="1" applyFill="1" applyBorder="1" applyProtection="1">
      <protection hidden="1"/>
    </xf>
    <xf numFmtId="0" fontId="49" fillId="2" borderId="87" xfId="0" applyFont="1" applyFill="1" applyBorder="1" applyAlignment="1" applyProtection="1">
      <alignment horizontal="left"/>
      <protection hidden="1"/>
    </xf>
    <xf numFmtId="0" fontId="9" fillId="2" borderId="87" xfId="0" applyFont="1" applyFill="1" applyBorder="1" applyProtection="1">
      <protection hidden="1"/>
    </xf>
    <xf numFmtId="0" fontId="7" fillId="2" borderId="87" xfId="0" applyFont="1" applyFill="1" applyBorder="1" applyProtection="1">
      <protection hidden="1"/>
    </xf>
    <xf numFmtId="164" fontId="7" fillId="2" borderId="87" xfId="1" applyFont="1" applyFill="1" applyBorder="1" applyProtection="1">
      <protection hidden="1"/>
    </xf>
    <xf numFmtId="2" fontId="174" fillId="3" borderId="88"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5" fillId="0" borderId="0" xfId="0" applyFont="1" applyAlignment="1" applyProtection="1">
      <alignment horizontal="right"/>
      <protection hidden="1"/>
    </xf>
    <xf numFmtId="40" fontId="70" fillId="2" borderId="5" xfId="0" applyNumberFormat="1" applyFont="1" applyFill="1" applyBorder="1" applyProtection="1">
      <protection hidden="1"/>
    </xf>
    <xf numFmtId="0" fontId="46" fillId="2" borderId="0" xfId="0" applyFont="1" applyFill="1" applyBorder="1" applyAlignment="1" applyProtection="1">
      <alignment horizontal="left" vertical="center" shrinkToFit="1"/>
      <protection hidden="1"/>
    </xf>
    <xf numFmtId="0" fontId="176"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7"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7" fillId="11" borderId="0" xfId="0" applyNumberFormat="1" applyFont="1" applyFill="1" applyBorder="1" applyAlignment="1" applyProtection="1">
      <alignment vertical="top" wrapText="1"/>
      <protection hidden="1"/>
    </xf>
    <xf numFmtId="10" fontId="85" fillId="11" borderId="0" xfId="4"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8"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4"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3" fillId="0" borderId="0" xfId="0" applyFont="1"/>
    <xf numFmtId="164" fontId="56" fillId="2" borderId="0" xfId="1" applyFont="1" applyFill="1" applyBorder="1" applyAlignment="1" applyProtection="1">
      <alignment vertical="top"/>
      <protection locked="0"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71" fillId="2" borderId="0" xfId="0" applyFont="1" applyFill="1" applyBorder="1" applyAlignment="1" applyProtection="1">
      <alignment horizontal="left"/>
      <protection hidden="1"/>
    </xf>
    <xf numFmtId="0" fontId="47" fillId="2" borderId="63" xfId="0" applyFont="1" applyFill="1" applyBorder="1" applyAlignment="1" applyProtection="1">
      <alignment horizontal="left"/>
      <protection hidden="1"/>
    </xf>
    <xf numFmtId="0" fontId="155" fillId="2" borderId="0" xfId="0" applyFont="1" applyFill="1" applyBorder="1" applyAlignment="1" applyProtection="1">
      <alignment horizontal="center"/>
      <protection locked="0" hidden="1"/>
    </xf>
    <xf numFmtId="0" fontId="3" fillId="11" borderId="0" xfId="0" applyFont="1" applyFill="1" applyProtection="1">
      <protection hidden="1"/>
    </xf>
    <xf numFmtId="0" fontId="34" fillId="11" borderId="0" xfId="0" applyFont="1" applyFill="1" applyProtection="1">
      <protection hidden="1"/>
    </xf>
    <xf numFmtId="1" fontId="63"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9" xfId="0" applyNumberFormat="1" applyFill="1" applyBorder="1" applyAlignment="1" applyProtection="1">
      <protection hidden="1"/>
    </xf>
    <xf numFmtId="0" fontId="166" fillId="2" borderId="0" xfId="0" applyFont="1" applyFill="1" applyBorder="1" applyAlignment="1" applyProtection="1">
      <alignment vertical="center"/>
      <protection hidden="1"/>
    </xf>
    <xf numFmtId="0" fontId="113" fillId="11" borderId="0" xfId="0" applyFont="1" applyFill="1" applyProtection="1">
      <protection hidden="1"/>
    </xf>
    <xf numFmtId="0" fontId="70" fillId="2" borderId="0" xfId="0" applyFont="1" applyFill="1" applyAlignment="1" applyProtection="1">
      <alignment vertical="center"/>
      <protection hidden="1"/>
    </xf>
    <xf numFmtId="0" fontId="70" fillId="2" borderId="0" xfId="0" applyFont="1" applyFill="1" applyAlignment="1">
      <alignment vertical="top" wrapText="1"/>
    </xf>
    <xf numFmtId="0" fontId="46" fillId="11" borderId="0" xfId="0" applyFont="1" applyFill="1" applyProtection="1">
      <protection hidden="1"/>
    </xf>
    <xf numFmtId="0" fontId="46" fillId="0" borderId="0" xfId="0" applyFont="1"/>
    <xf numFmtId="172" fontId="98" fillId="11" borderId="0" xfId="0" applyNumberFormat="1" applyFont="1" applyFill="1" applyBorder="1" applyAlignment="1" applyProtection="1">
      <alignment horizontal="right"/>
      <protection hidden="1"/>
    </xf>
    <xf numFmtId="0" fontId="98" fillId="11" borderId="0" xfId="0" applyFont="1" applyFill="1" applyBorder="1" applyAlignment="1" applyProtection="1">
      <alignment horizontal="left"/>
      <protection hidden="1"/>
    </xf>
    <xf numFmtId="172" fontId="98" fillId="11" borderId="0" xfId="0" applyNumberFormat="1" applyFont="1" applyFill="1" applyBorder="1" applyAlignment="1" applyProtection="1">
      <alignment horizontal="center"/>
      <protection hidden="1"/>
    </xf>
    <xf numFmtId="4" fontId="98" fillId="11" borderId="0" xfId="0" applyNumberFormat="1" applyFont="1" applyFill="1" applyBorder="1" applyAlignment="1" applyProtection="1">
      <alignment horizontal="left"/>
      <protection hidden="1"/>
    </xf>
    <xf numFmtId="9" fontId="164"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4" fillId="11" borderId="0" xfId="0" applyFont="1" applyFill="1" applyBorder="1" applyAlignment="1" applyProtection="1">
      <alignment horizontal="center"/>
      <protection locked="0" hidden="1"/>
    </xf>
    <xf numFmtId="0" fontId="164" fillId="11" borderId="0" xfId="0" applyFont="1" applyFill="1" applyBorder="1" applyAlignment="1" applyProtection="1">
      <alignment horizontal="center"/>
      <protection hidden="1"/>
    </xf>
    <xf numFmtId="0" fontId="108" fillId="11" borderId="0" xfId="0" applyNumberFormat="1" applyFont="1" applyFill="1" applyProtection="1">
      <protection hidden="1"/>
    </xf>
    <xf numFmtId="0" fontId="164" fillId="11" borderId="0" xfId="0" applyFont="1" applyFill="1" applyAlignment="1" applyProtection="1">
      <alignment horizontal="right"/>
      <protection hidden="1"/>
    </xf>
    <xf numFmtId="2" fontId="183" fillId="11" borderId="0" xfId="0" applyNumberFormat="1" applyFont="1" applyFill="1" applyBorder="1" applyAlignment="1" applyProtection="1">
      <alignment horizontal="center"/>
      <protection hidden="1"/>
    </xf>
    <xf numFmtId="0" fontId="45" fillId="9" borderId="64" xfId="1" applyNumberFormat="1" applyFont="1" applyFill="1" applyBorder="1" applyAlignment="1" applyProtection="1">
      <alignment horizontal="left"/>
      <protection locked="0" hidden="1"/>
    </xf>
    <xf numFmtId="0" fontId="66" fillId="2" borderId="5" xfId="0" applyFont="1" applyFill="1" applyBorder="1" applyAlignment="1" applyProtection="1">
      <alignment horizontal="left"/>
      <protection hidden="1"/>
    </xf>
    <xf numFmtId="0" fontId="123" fillId="11" borderId="0" xfId="0" applyFont="1" applyFill="1" applyBorder="1" applyAlignment="1" applyProtection="1">
      <alignment vertical="top" wrapText="1" shrinkToFit="1"/>
      <protection hidden="1"/>
    </xf>
    <xf numFmtId="164" fontId="47" fillId="2" borderId="0" xfId="1" applyFont="1" applyFill="1" applyBorder="1" applyAlignment="1" applyProtection="1">
      <alignment horizontal="center"/>
      <protection hidden="1"/>
    </xf>
    <xf numFmtId="0" fontId="45" fillId="3" borderId="90" xfId="0" applyFont="1" applyFill="1" applyBorder="1" applyAlignment="1" applyProtection="1">
      <alignment horizontal="center" vertical="center" wrapText="1"/>
      <protection locked="0" hidden="1"/>
    </xf>
    <xf numFmtId="166" fontId="113" fillId="11" borderId="0" xfId="0" applyNumberFormat="1" applyFont="1" applyFill="1" applyBorder="1" applyProtection="1">
      <protection locked="0" hidden="1"/>
    </xf>
    <xf numFmtId="0" fontId="184" fillId="2" borderId="79" xfId="0" applyFont="1" applyFill="1" applyBorder="1" applyAlignment="1" applyProtection="1">
      <protection hidden="1"/>
    </xf>
    <xf numFmtId="0" fontId="133"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85" fillId="11" borderId="0" xfId="0" applyFont="1" applyFill="1" applyBorder="1" applyAlignment="1" applyProtection="1">
      <alignment horizontal="center"/>
      <protection locked="0" hidden="1"/>
    </xf>
    <xf numFmtId="0" fontId="70" fillId="2" borderId="63" xfId="0" applyFont="1" applyFill="1" applyBorder="1" applyAlignment="1" applyProtection="1">
      <alignment horizontal="left" vertical="center"/>
      <protection hidden="1"/>
    </xf>
    <xf numFmtId="0" fontId="23" fillId="2" borderId="91" xfId="0" applyFont="1" applyFill="1" applyBorder="1" applyProtection="1">
      <protection hidden="1"/>
    </xf>
    <xf numFmtId="0" fontId="89" fillId="2" borderId="92" xfId="0" applyFont="1" applyFill="1" applyBorder="1" applyProtection="1">
      <protection hidden="1"/>
    </xf>
    <xf numFmtId="0" fontId="83" fillId="2" borderId="92" xfId="0" applyFont="1" applyFill="1" applyBorder="1" applyProtection="1">
      <protection hidden="1"/>
    </xf>
    <xf numFmtId="0" fontId="8" fillId="2" borderId="92" xfId="0" applyFont="1" applyFill="1" applyBorder="1" applyProtection="1">
      <protection hidden="1"/>
    </xf>
    <xf numFmtId="0" fontId="151" fillId="2" borderId="92" xfId="0" applyFont="1" applyFill="1" applyBorder="1" applyProtection="1">
      <protection hidden="1"/>
    </xf>
    <xf numFmtId="164" fontId="9" fillId="2" borderId="92" xfId="0" applyNumberFormat="1" applyFont="1" applyFill="1" applyBorder="1" applyProtection="1">
      <protection hidden="1"/>
    </xf>
    <xf numFmtId="0" fontId="136" fillId="2" borderId="92" xfId="0" applyFont="1" applyFill="1" applyBorder="1" applyAlignment="1" applyProtection="1">
      <alignment horizontal="right"/>
      <protection hidden="1"/>
    </xf>
    <xf numFmtId="4" fontId="49" fillId="2" borderId="93" xfId="0" applyNumberFormat="1" applyFont="1" applyFill="1" applyBorder="1" applyProtection="1">
      <protection hidden="1"/>
    </xf>
    <xf numFmtId="0" fontId="143" fillId="2" borderId="94" xfId="0" applyFont="1" applyFill="1" applyBorder="1" applyAlignment="1" applyProtection="1">
      <alignment vertical="center" wrapText="1"/>
      <protection hidden="1"/>
    </xf>
    <xf numFmtId="2" fontId="92" fillId="2" borderId="95" xfId="0" applyNumberFormat="1" applyFont="1" applyFill="1" applyBorder="1" applyProtection="1">
      <protection hidden="1"/>
    </xf>
    <xf numFmtId="0" fontId="117" fillId="2" borderId="91" xfId="0" applyFont="1" applyFill="1" applyBorder="1" applyProtection="1">
      <protection hidden="1"/>
    </xf>
    <xf numFmtId="0" fontId="95" fillId="2" borderId="92" xfId="0" applyFont="1" applyFill="1" applyBorder="1" applyAlignment="1" applyProtection="1">
      <alignment vertical="center"/>
      <protection hidden="1"/>
    </xf>
    <xf numFmtId="0" fontId="68" fillId="2" borderId="92" xfId="0" applyFont="1" applyFill="1" applyBorder="1" applyProtection="1">
      <protection hidden="1"/>
    </xf>
    <xf numFmtId="0" fontId="124" fillId="2" borderId="92" xfId="0" applyFont="1" applyFill="1" applyBorder="1" applyAlignment="1" applyProtection="1">
      <alignment horizontal="center"/>
      <protection hidden="1"/>
    </xf>
    <xf numFmtId="0" fontId="88" fillId="2" borderId="96" xfId="0" applyFont="1" applyFill="1" applyBorder="1" applyAlignment="1" applyProtection="1">
      <alignment horizontal="center" vertical="center"/>
      <protection hidden="1"/>
    </xf>
    <xf numFmtId="0" fontId="88" fillId="2" borderId="97" xfId="0" applyFont="1" applyFill="1" applyBorder="1" applyAlignment="1" applyProtection="1">
      <alignment horizontal="center" vertical="center"/>
      <protection hidden="1"/>
    </xf>
    <xf numFmtId="0" fontId="136" fillId="2" borderId="92" xfId="0" applyFont="1" applyFill="1" applyBorder="1" applyAlignment="1" applyProtection="1">
      <alignment horizontal="center"/>
      <protection hidden="1"/>
    </xf>
    <xf numFmtId="38" fontId="129" fillId="2" borderId="0" xfId="0" applyNumberFormat="1" applyFont="1" applyFill="1" applyBorder="1" applyAlignment="1" applyProtection="1">
      <alignment horizontal="center" vertical="center"/>
      <protection locked="0" hidden="1"/>
    </xf>
    <xf numFmtId="38" fontId="195" fillId="2" borderId="0" xfId="0" applyNumberFormat="1" applyFont="1" applyFill="1" applyBorder="1" applyAlignment="1" applyProtection="1">
      <alignment horizontal="center"/>
      <protection hidden="1"/>
    </xf>
    <xf numFmtId="2" fontId="196" fillId="11" borderId="0" xfId="0" applyNumberFormat="1" applyFont="1" applyFill="1" applyBorder="1" applyAlignment="1" applyProtection="1">
      <alignment horizontal="center"/>
      <protection hidden="1"/>
    </xf>
    <xf numFmtId="0" fontId="196" fillId="11" borderId="0" xfId="0" applyFont="1" applyFill="1" applyProtection="1">
      <protection hidden="1"/>
    </xf>
    <xf numFmtId="0" fontId="197" fillId="11" borderId="0" xfId="0" applyFont="1" applyFill="1" applyProtection="1">
      <protection hidden="1"/>
    </xf>
    <xf numFmtId="164" fontId="198" fillId="11" borderId="0" xfId="0" applyNumberFormat="1" applyFont="1" applyFill="1" applyBorder="1" applyProtection="1">
      <protection locked="0" hidden="1"/>
    </xf>
    <xf numFmtId="1" fontId="199" fillId="11" borderId="0" xfId="0" applyNumberFormat="1" applyFont="1" applyFill="1" applyBorder="1" applyProtection="1">
      <protection hidden="1"/>
    </xf>
    <xf numFmtId="43" fontId="196" fillId="11" borderId="0" xfId="0" applyNumberFormat="1" applyFont="1" applyFill="1" applyProtection="1">
      <protection hidden="1"/>
    </xf>
    <xf numFmtId="0" fontId="155" fillId="2" borderId="0" xfId="0" applyFont="1" applyFill="1" applyBorder="1" applyAlignment="1" applyProtection="1">
      <alignment horizontal="right"/>
      <protection hidden="1"/>
    </xf>
    <xf numFmtId="0" fontId="200" fillId="2" borderId="77"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9" fillId="2" borderId="0" xfId="0" applyFont="1" applyFill="1" applyBorder="1" applyAlignment="1" applyProtection="1">
      <alignment vertical="center"/>
      <protection hidden="1"/>
    </xf>
    <xf numFmtId="0" fontId="170"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61" fillId="9" borderId="98" xfId="0" applyFont="1" applyFill="1" applyBorder="1" applyAlignment="1" applyProtection="1">
      <alignment horizontal="center"/>
      <protection locked="0" hidden="1"/>
    </xf>
    <xf numFmtId="0" fontId="155" fillId="2" borderId="170" xfId="0" applyFont="1" applyFill="1" applyBorder="1" applyAlignment="1" applyProtection="1">
      <alignment horizontal="center" vertical="center"/>
      <protection locked="0" hidden="1"/>
    </xf>
    <xf numFmtId="0" fontId="83" fillId="16" borderId="0" xfId="0" applyFont="1" applyFill="1" applyProtection="1">
      <protection hidden="1"/>
    </xf>
    <xf numFmtId="0" fontId="54" fillId="2" borderId="0" xfId="0" applyFont="1" applyFill="1" applyBorder="1" applyAlignment="1" applyProtection="1">
      <alignment horizontal="left" vertical="center"/>
      <protection hidden="1"/>
    </xf>
    <xf numFmtId="0" fontId="54" fillId="2" borderId="0" xfId="0" applyFont="1" applyFill="1" applyBorder="1" applyAlignment="1" applyProtection="1">
      <alignment horizontal="left" vertical="center" wrapText="1"/>
      <protection hidden="1"/>
    </xf>
    <xf numFmtId="0" fontId="83" fillId="16" borderId="0" xfId="0" applyFont="1" applyFill="1" applyBorder="1" applyProtection="1">
      <protection hidden="1"/>
    </xf>
    <xf numFmtId="0" fontId="83" fillId="16" borderId="61" xfId="0" applyFont="1" applyFill="1" applyBorder="1" applyProtection="1">
      <protection hidden="1"/>
    </xf>
    <xf numFmtId="0" fontId="196" fillId="17" borderId="37" xfId="0" applyFont="1" applyFill="1" applyBorder="1" applyAlignment="1" applyProtection="1">
      <alignment horizontal="center"/>
      <protection hidden="1"/>
    </xf>
    <xf numFmtId="4" fontId="197" fillId="17" borderId="99" xfId="0" applyNumberFormat="1" applyFont="1" applyFill="1" applyBorder="1" applyProtection="1">
      <protection hidden="1"/>
    </xf>
    <xf numFmtId="0" fontId="6" fillId="2" borderId="0" xfId="0" applyFont="1" applyFill="1" applyProtection="1">
      <protection hidden="1"/>
    </xf>
    <xf numFmtId="0" fontId="196" fillId="11" borderId="0" xfId="0" applyFont="1" applyFill="1" applyBorder="1" applyAlignment="1" applyProtection="1">
      <alignment horizontal="center"/>
      <protection hidden="1"/>
    </xf>
    <xf numFmtId="0" fontId="83" fillId="16" borderId="0" xfId="0" applyFont="1" applyFill="1" applyBorder="1" applyAlignment="1" applyProtection="1">
      <alignment vertical="top"/>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6" fillId="11" borderId="0" xfId="0" applyNumberFormat="1" applyFont="1" applyFill="1" applyProtection="1">
      <protection hidden="1"/>
    </xf>
    <xf numFmtId="3" fontId="196" fillId="11" borderId="0" xfId="0" applyNumberFormat="1" applyFont="1" applyFill="1" applyProtection="1">
      <protection hidden="1"/>
    </xf>
    <xf numFmtId="1" fontId="197" fillId="11" borderId="0" xfId="0" applyNumberFormat="1" applyFont="1" applyFill="1" applyProtection="1">
      <protection hidden="1"/>
    </xf>
    <xf numFmtId="0" fontId="188"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70" fillId="18" borderId="0" xfId="0" applyFont="1" applyFill="1" applyAlignment="1">
      <alignment vertical="top" wrapText="1"/>
    </xf>
    <xf numFmtId="0" fontId="70" fillId="0" borderId="0" xfId="0" applyFont="1" applyFill="1" applyAlignment="1">
      <alignment vertical="top" wrapText="1"/>
    </xf>
    <xf numFmtId="0" fontId="204" fillId="11" borderId="0" xfId="0" applyFont="1" applyFill="1" applyProtection="1">
      <protection hidden="1"/>
    </xf>
    <xf numFmtId="0" fontId="205" fillId="11" borderId="0" xfId="0" applyFont="1" applyFill="1" applyAlignment="1" applyProtection="1">
      <alignment horizontal="left"/>
      <protection hidden="1"/>
    </xf>
    <xf numFmtId="0" fontId="130" fillId="15" borderId="47" xfId="0" applyFont="1" applyFill="1" applyBorder="1" applyAlignment="1" applyProtection="1">
      <protection hidden="1"/>
    </xf>
    <xf numFmtId="164" fontId="197" fillId="11" borderId="0" xfId="1" applyFont="1" applyFill="1" applyProtection="1">
      <protection hidden="1"/>
    </xf>
    <xf numFmtId="0" fontId="206" fillId="11" borderId="0" xfId="0" applyFont="1" applyFill="1" applyBorder="1" applyAlignment="1" applyProtection="1">
      <alignment horizontal="center"/>
      <protection hidden="1"/>
    </xf>
    <xf numFmtId="0" fontId="168"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7" fillId="11" borderId="0" xfId="0" applyNumberFormat="1" applyFont="1" applyFill="1" applyBorder="1" applyAlignment="1" applyProtection="1">
      <alignment horizontal="left"/>
      <protection hidden="1"/>
    </xf>
    <xf numFmtId="175" fontId="196" fillId="11" borderId="0" xfId="0" applyNumberFormat="1" applyFont="1" applyFill="1" applyBorder="1" applyAlignment="1" applyProtection="1">
      <alignment horizontal="left"/>
      <protection hidden="1"/>
    </xf>
    <xf numFmtId="172" fontId="64" fillId="16" borderId="64" xfId="0" applyNumberFormat="1" applyFont="1" applyFill="1" applyBorder="1" applyProtection="1">
      <protection hidden="1"/>
    </xf>
    <xf numFmtId="0" fontId="70" fillId="17" borderId="0" xfId="0" applyFont="1" applyFill="1" applyAlignment="1">
      <alignment vertical="top" wrapText="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8" fillId="0" borderId="0" xfId="0" applyNumberFormat="1" applyFont="1" applyFill="1" applyBorder="1" applyProtection="1">
      <protection hidden="1"/>
    </xf>
    <xf numFmtId="0" fontId="209" fillId="16" borderId="79" xfId="0" applyFont="1" applyFill="1" applyBorder="1" applyAlignment="1" applyProtection="1">
      <alignment horizontal="center" vertical="center"/>
      <protection locked="0" hidden="1"/>
    </xf>
    <xf numFmtId="164" fontId="47" fillId="14" borderId="64"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90" fillId="2" borderId="0" xfId="0" applyFont="1" applyFill="1" applyAlignment="1" applyProtection="1">
      <alignment horizontal="left"/>
      <protection hidden="1"/>
    </xf>
    <xf numFmtId="0" fontId="190"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91"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9" xfId="3" applyBorder="1" applyProtection="1">
      <protection hidden="1"/>
    </xf>
    <xf numFmtId="0" fontId="11" fillId="0" borderId="50" xfId="3" applyFont="1" applyBorder="1" applyProtection="1">
      <protection hidden="1"/>
    </xf>
    <xf numFmtId="0" fontId="51" fillId="0" borderId="50" xfId="3" applyFont="1" applyBorder="1" applyProtection="1">
      <protection hidden="1"/>
    </xf>
    <xf numFmtId="172" fontId="11" fillId="0" borderId="50" xfId="3" applyNumberFormat="1" applyFont="1" applyBorder="1" applyAlignment="1" applyProtection="1">
      <alignment horizontal="right"/>
      <protection hidden="1"/>
    </xf>
    <xf numFmtId="0" fontId="11" fillId="0" borderId="50" xfId="3" applyFont="1" applyBorder="1" applyAlignment="1" applyProtection="1">
      <alignment horizontal="left"/>
      <protection hidden="1"/>
    </xf>
    <xf numFmtId="172" fontId="11" fillId="0" borderId="50" xfId="3" applyNumberFormat="1" applyFont="1" applyBorder="1" applyAlignment="1" applyProtection="1">
      <alignment horizontal="center"/>
      <protection hidden="1"/>
    </xf>
    <xf numFmtId="0" fontId="81" fillId="0" borderId="50" xfId="3" applyFont="1" applyBorder="1" applyAlignment="1" applyProtection="1">
      <alignment horizontal="right"/>
      <protection hidden="1"/>
    </xf>
    <xf numFmtId="0" fontId="192" fillId="0" borderId="51" xfId="3"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166" fontId="113" fillId="17" borderId="0" xfId="0" applyNumberFormat="1" applyFont="1" applyFill="1" applyBorder="1" applyProtection="1">
      <protection locked="0"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4" fillId="17" borderId="0" xfId="0" applyFont="1" applyFill="1" applyProtection="1">
      <protection hidden="1"/>
    </xf>
    <xf numFmtId="164" fontId="103" fillId="17" borderId="0" xfId="0" applyNumberFormat="1" applyFont="1" applyFill="1" applyBorder="1" applyProtection="1">
      <protection locked="0"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9" fillId="17" borderId="0" xfId="0" applyFont="1" applyFill="1" applyAlignment="1" applyProtection="1">
      <alignment horizontal="right"/>
      <protection hidden="1"/>
    </xf>
    <xf numFmtId="0" fontId="180" fillId="17" borderId="0" xfId="0" applyFont="1" applyFill="1" applyAlignment="1" applyProtection="1">
      <alignment horizontal="center" wrapText="1"/>
      <protection hidden="1"/>
    </xf>
    <xf numFmtId="0" fontId="181"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4" xfId="0" applyNumberFormat="1" applyFont="1" applyFill="1" applyBorder="1" applyAlignment="1" applyProtection="1">
      <alignment horizontal="right"/>
      <protection hidden="1"/>
    </xf>
    <xf numFmtId="0" fontId="3" fillId="9" borderId="37" xfId="0" applyFont="1" applyFill="1" applyBorder="1" applyAlignment="1" applyProtection="1">
      <alignment horizontal="center"/>
      <protection hidden="1"/>
    </xf>
    <xf numFmtId="4" fontId="61" fillId="9" borderId="64" xfId="0" applyNumberFormat="1" applyFont="1" applyFill="1" applyBorder="1" applyProtection="1">
      <protection hidden="1"/>
    </xf>
    <xf numFmtId="173" fontId="56" fillId="2" borderId="0" xfId="0" applyNumberFormat="1" applyFont="1" applyFill="1" applyBorder="1" applyAlignment="1" applyProtection="1">
      <alignment vertical="center"/>
      <protection hidden="1"/>
    </xf>
    <xf numFmtId="164" fontId="46" fillId="2" borderId="7" xfId="1" applyFont="1" applyFill="1" applyBorder="1" applyProtection="1">
      <protection hidden="1"/>
    </xf>
    <xf numFmtId="0" fontId="197" fillId="17" borderId="0" xfId="0" applyFont="1" applyFill="1" applyProtection="1">
      <protection hidden="1"/>
    </xf>
    <xf numFmtId="167" fontId="61" fillId="9" borderId="64" xfId="1" applyNumberFormat="1" applyFont="1" applyFill="1" applyBorder="1" applyProtection="1">
      <protection hidden="1"/>
    </xf>
    <xf numFmtId="164" fontId="47" fillId="9" borderId="64" xfId="1" applyNumberFormat="1" applyFont="1" applyFill="1" applyBorder="1" applyAlignment="1" applyProtection="1">
      <alignment horizontal="right" vertical="center"/>
      <protection hidden="1"/>
    </xf>
    <xf numFmtId="0" fontId="204" fillId="0" borderId="4" xfId="0" applyFont="1" applyBorder="1" applyProtection="1">
      <protection hidden="1"/>
    </xf>
    <xf numFmtId="0" fontId="204" fillId="2" borderId="0" xfId="0" applyFont="1" applyFill="1" applyProtection="1">
      <protection hidden="1"/>
    </xf>
    <xf numFmtId="0" fontId="204" fillId="2" borderId="0" xfId="0" applyFont="1" applyFill="1" applyBorder="1" applyAlignment="1" applyProtection="1">
      <alignment vertical="center"/>
      <protection hidden="1"/>
    </xf>
    <xf numFmtId="0" fontId="212" fillId="2" borderId="0" xfId="0" applyFont="1" applyFill="1" applyBorder="1" applyProtection="1">
      <protection hidden="1"/>
    </xf>
    <xf numFmtId="0" fontId="204" fillId="2" borderId="0" xfId="0" applyFont="1" applyFill="1" applyBorder="1" applyProtection="1">
      <protection hidden="1"/>
    </xf>
    <xf numFmtId="0" fontId="213" fillId="2" borderId="0" xfId="0" applyFont="1" applyFill="1" applyBorder="1" applyAlignment="1" applyProtection="1">
      <alignment horizontal="center"/>
      <protection hidden="1"/>
    </xf>
    <xf numFmtId="0" fontId="83" fillId="0" borderId="0" xfId="0" applyFont="1" applyFill="1" applyProtection="1">
      <protection hidden="1"/>
    </xf>
    <xf numFmtId="3" fontId="53" fillId="0" borderId="0" xfId="0" applyNumberFormat="1" applyFont="1" applyFill="1" applyBorder="1" applyAlignment="1" applyProtection="1">
      <protection hidden="1"/>
    </xf>
    <xf numFmtId="0" fontId="8" fillId="0" borderId="0" xfId="0" applyFont="1" applyFill="1" applyBorder="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49" fillId="0" borderId="0" xfId="0" applyFont="1" applyFill="1" applyBorder="1" applyAlignment="1" applyProtection="1">
      <alignment horizontal="center"/>
      <protection hidden="1"/>
    </xf>
    <xf numFmtId="0" fontId="53" fillId="0" borderId="0" xfId="0" applyFont="1" applyFill="1" applyBorder="1" applyAlignment="1" applyProtection="1">
      <alignment horizontal="left"/>
      <protection hidden="1"/>
    </xf>
    <xf numFmtId="0" fontId="83" fillId="17" borderId="0" xfId="0" applyFont="1" applyFill="1" applyAlignment="1" applyProtection="1">
      <alignment horizontal="left"/>
      <protection hidden="1"/>
    </xf>
    <xf numFmtId="0" fontId="53" fillId="0" borderId="0" xfId="0" applyFont="1" applyFill="1" applyBorder="1" applyProtection="1">
      <protection hidden="1"/>
    </xf>
    <xf numFmtId="0" fontId="214" fillId="0" borderId="64" xfId="0" applyFont="1" applyFill="1" applyBorder="1" applyProtection="1">
      <protection hidden="1"/>
    </xf>
    <xf numFmtId="0" fontId="13" fillId="0" borderId="0" xfId="0" applyFont="1" applyFill="1" applyBorder="1" applyProtection="1">
      <protection hidden="1"/>
    </xf>
    <xf numFmtId="0" fontId="215" fillId="0" borderId="0" xfId="0" applyFont="1" applyFill="1" applyBorder="1" applyAlignment="1" applyProtection="1">
      <alignment horizontal="center" vertical="center" wrapText="1"/>
      <protection hidden="1"/>
    </xf>
    <xf numFmtId="0" fontId="83" fillId="0" borderId="100" xfId="0" applyFont="1" applyFill="1" applyBorder="1" applyProtection="1">
      <protection hidden="1"/>
    </xf>
    <xf numFmtId="0" fontId="216" fillId="0" borderId="0" xfId="1" applyNumberFormat="1" applyFont="1" applyFill="1" applyBorder="1" applyAlignment="1" applyProtection="1">
      <alignment horizontal="center"/>
      <protection locked="0" hidden="1"/>
    </xf>
    <xf numFmtId="4" fontId="214" fillId="0" borderId="0" xfId="0" applyNumberFormat="1" applyFont="1" applyFill="1" applyBorder="1" applyProtection="1">
      <protection locked="0" hidden="1"/>
    </xf>
    <xf numFmtId="0" fontId="61" fillId="9" borderId="47" xfId="0" applyFont="1" applyFill="1" applyBorder="1" applyProtection="1">
      <protection locked="0" hidden="1"/>
    </xf>
    <xf numFmtId="0" fontId="214" fillId="16" borderId="101" xfId="0" applyFont="1" applyFill="1" applyBorder="1" applyProtection="1">
      <protection hidden="1"/>
    </xf>
    <xf numFmtId="4" fontId="61" fillId="9" borderId="47" xfId="0" applyNumberFormat="1" applyFont="1" applyFill="1" applyBorder="1" applyProtection="1">
      <protection hidden="1"/>
    </xf>
    <xf numFmtId="0" fontId="47" fillId="9" borderId="47" xfId="1" applyNumberFormat="1" applyFont="1" applyFill="1" applyBorder="1" applyAlignment="1" applyProtection="1">
      <alignment horizontal="center"/>
      <protection hidden="1"/>
    </xf>
    <xf numFmtId="0" fontId="17" fillId="0" borderId="7" xfId="0" applyFont="1" applyFill="1" applyBorder="1" applyAlignment="1" applyProtection="1">
      <alignment wrapText="1"/>
      <protection hidden="1"/>
    </xf>
    <xf numFmtId="0" fontId="217" fillId="0" borderId="0" xfId="0" applyFont="1" applyFill="1" applyBorder="1" applyProtection="1">
      <protection hidden="1"/>
    </xf>
    <xf numFmtId="0" fontId="113" fillId="0" borderId="102" xfId="0" applyFont="1" applyFill="1" applyBorder="1" applyAlignment="1" applyProtection="1">
      <alignment horizontal="right"/>
      <protection hidden="1"/>
    </xf>
    <xf numFmtId="164" fontId="218" fillId="2" borderId="0" xfId="1" applyFont="1" applyFill="1" applyBorder="1" applyAlignment="1" applyProtection="1">
      <alignment horizontal="left"/>
      <protection hidden="1"/>
    </xf>
    <xf numFmtId="0" fontId="45" fillId="16" borderId="103" xfId="0" applyFont="1" applyFill="1" applyBorder="1" applyAlignment="1" applyProtection="1">
      <alignment horizontal="center"/>
      <protection locked="0" hidden="1"/>
    </xf>
    <xf numFmtId="2" fontId="154" fillId="16" borderId="64" xfId="0" applyNumberFormat="1" applyFont="1" applyFill="1" applyBorder="1" applyAlignment="1" applyProtection="1">
      <alignment horizontal="right"/>
      <protection locked="0" hidden="1"/>
    </xf>
    <xf numFmtId="4" fontId="83" fillId="17" borderId="0" xfId="0" applyNumberFormat="1" applyFont="1" applyFill="1" applyAlignment="1" applyProtection="1">
      <protection hidden="1"/>
    </xf>
    <xf numFmtId="165" fontId="83" fillId="17" borderId="0" xfId="1" applyNumberFormat="1" applyFont="1" applyFill="1" applyProtection="1">
      <protection hidden="1"/>
    </xf>
    <xf numFmtId="0" fontId="24" fillId="17" borderId="0" xfId="0" applyFont="1" applyFill="1" applyProtection="1">
      <protection hidden="1"/>
    </xf>
    <xf numFmtId="0" fontId="83" fillId="17" borderId="0" xfId="0" applyFont="1" applyFill="1" applyAlignment="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0" fontId="196" fillId="17" borderId="0" xfId="0" applyFont="1" applyFill="1" applyProtection="1">
      <protection hidden="1"/>
    </xf>
    <xf numFmtId="0" fontId="196" fillId="17" borderId="0" xfId="0" applyFont="1" applyFill="1" applyBorder="1" applyAlignment="1" applyProtection="1">
      <alignment horizontal="center"/>
      <protection hidden="1"/>
    </xf>
    <xf numFmtId="0" fontId="219" fillId="11" borderId="0" xfId="0" applyFont="1" applyFill="1" applyAlignment="1" applyProtection="1">
      <alignment horizontal="center" vertical="center"/>
      <protection hidden="1"/>
    </xf>
    <xf numFmtId="0" fontId="220" fillId="18" borderId="104" xfId="0" applyFont="1" applyFill="1" applyBorder="1" applyAlignment="1" applyProtection="1">
      <alignment horizontal="left" vertical="center"/>
      <protection locked="0" hidden="1"/>
    </xf>
    <xf numFmtId="0" fontId="46" fillId="2" borderId="5" xfId="0" applyFont="1" applyFill="1" applyBorder="1" applyAlignment="1" applyProtection="1">
      <alignment shrinkToFit="1"/>
      <protection hidden="1"/>
    </xf>
    <xf numFmtId="0" fontId="221" fillId="2" borderId="0" xfId="0" applyFont="1" applyFill="1" applyBorder="1" applyAlignment="1" applyProtection="1">
      <protection hidden="1"/>
    </xf>
    <xf numFmtId="0" fontId="215" fillId="16" borderId="60" xfId="0" applyFont="1" applyFill="1" applyBorder="1" applyAlignment="1" applyProtection="1">
      <alignment horizontal="center" vertical="center" wrapText="1"/>
      <protection hidden="1"/>
    </xf>
    <xf numFmtId="0" fontId="215" fillId="16" borderId="0" xfId="0" applyFont="1" applyFill="1" applyAlignment="1">
      <alignment horizontal="center" vertical="center"/>
    </xf>
    <xf numFmtId="0" fontId="222" fillId="0" borderId="0" xfId="0" applyFont="1" applyFill="1" applyBorder="1" applyProtection="1">
      <protection hidden="1"/>
    </xf>
    <xf numFmtId="0" fontId="222" fillId="0" borderId="0" xfId="0" applyFont="1" applyFill="1" applyBorder="1" applyAlignment="1" applyProtection="1">
      <alignment horizontal="left"/>
      <protection hidden="1"/>
    </xf>
    <xf numFmtId="0" fontId="48" fillId="0" borderId="0" xfId="0" applyFont="1"/>
    <xf numFmtId="4" fontId="61" fillId="16" borderId="64" xfId="0" applyNumberFormat="1" applyFont="1" applyFill="1" applyBorder="1" applyProtection="1">
      <protection locked="0" hidden="1"/>
    </xf>
    <xf numFmtId="0" fontId="139" fillId="0" borderId="0" xfId="0" applyFont="1" applyFill="1" applyAlignment="1" applyProtection="1">
      <alignment vertical="center"/>
      <protection hidden="1"/>
    </xf>
    <xf numFmtId="4" fontId="61" fillId="16" borderId="64" xfId="0" applyNumberFormat="1" applyFont="1" applyFill="1" applyBorder="1" applyProtection="1">
      <protection hidden="1"/>
    </xf>
    <xf numFmtId="0" fontId="56" fillId="2" borderId="0" xfId="0" applyFont="1" applyFill="1" applyBorder="1" applyAlignment="1" applyProtection="1">
      <alignment horizontal="right"/>
      <protection hidden="1"/>
    </xf>
    <xf numFmtId="4" fontId="46" fillId="19" borderId="47" xfId="0" applyNumberFormat="1" applyFont="1" applyFill="1" applyBorder="1" applyProtection="1">
      <protection hidden="1"/>
    </xf>
    <xf numFmtId="0" fontId="123" fillId="0" borderId="0" xfId="0" applyFont="1" applyFill="1" applyAlignment="1" applyProtection="1">
      <alignment horizontal="right"/>
      <protection hidden="1"/>
    </xf>
    <xf numFmtId="0" fontId="223" fillId="16" borderId="0" xfId="0" applyFont="1" applyFill="1" applyProtection="1">
      <protection hidden="1"/>
    </xf>
    <xf numFmtId="0" fontId="7" fillId="2" borderId="0" xfId="0" applyFont="1" applyFill="1" applyBorder="1" applyAlignment="1" applyProtection="1">
      <alignment horizontal="left" wrapText="1"/>
      <protection hidden="1"/>
    </xf>
    <xf numFmtId="0" fontId="201" fillId="2" borderId="0" xfId="0" applyFont="1" applyFill="1" applyAlignment="1" applyProtection="1">
      <alignment horizontal="left" vertical="top" wrapText="1"/>
      <protection hidden="1"/>
    </xf>
    <xf numFmtId="178" fontId="224" fillId="16" borderId="64" xfId="0" applyNumberFormat="1" applyFont="1" applyFill="1" applyBorder="1" applyProtection="1">
      <protection hidden="1"/>
    </xf>
    <xf numFmtId="0" fontId="212" fillId="17" borderId="0" xfId="0" applyFont="1" applyFill="1" applyBorder="1" applyAlignment="1" applyProtection="1">
      <alignment horizontal="right"/>
      <protection hidden="1"/>
    </xf>
    <xf numFmtId="0" fontId="204" fillId="11" borderId="0" xfId="0" applyFont="1" applyFill="1" applyAlignment="1" applyProtection="1">
      <alignment horizontal="left"/>
      <protection hidden="1"/>
    </xf>
    <xf numFmtId="0" fontId="225" fillId="11" borderId="0" xfId="0" applyFont="1" applyFill="1"/>
    <xf numFmtId="0" fontId="204" fillId="17" borderId="0" xfId="0" applyFont="1" applyFill="1" applyProtection="1">
      <protection hidden="1"/>
    </xf>
    <xf numFmtId="0" fontId="2" fillId="0" borderId="0" xfId="0" applyNumberFormat="1" applyFont="1" applyAlignment="1">
      <alignment vertical="top" wrapText="1"/>
    </xf>
    <xf numFmtId="0" fontId="0" fillId="0" borderId="0" xfId="0" applyNumberFormat="1" applyAlignment="1">
      <alignment vertical="top" wrapText="1"/>
    </xf>
    <xf numFmtId="0" fontId="0" fillId="0" borderId="105" xfId="0" applyNumberFormat="1" applyBorder="1" applyAlignment="1">
      <alignment vertical="top" wrapText="1"/>
    </xf>
    <xf numFmtId="0" fontId="0" fillId="0" borderId="92" xfId="0" applyNumberFormat="1" applyBorder="1" applyAlignment="1">
      <alignment vertical="top" wrapText="1"/>
    </xf>
    <xf numFmtId="0" fontId="0" fillId="0" borderId="106" xfId="0" applyNumberFormat="1" applyBorder="1" applyAlignment="1">
      <alignment vertical="top" wrapText="1"/>
    </xf>
    <xf numFmtId="0" fontId="0" fillId="0" borderId="107" xfId="0" applyNumberFormat="1" applyBorder="1" applyAlignment="1">
      <alignment vertical="top" wrapText="1"/>
    </xf>
    <xf numFmtId="0" fontId="0" fillId="0" borderId="108" xfId="0" applyNumberFormat="1" applyBorder="1" applyAlignment="1">
      <alignment vertical="top" wrapText="1"/>
    </xf>
    <xf numFmtId="0" fontId="0" fillId="0" borderId="109" xfId="0" applyNumberFormat="1" applyBorder="1" applyAlignment="1">
      <alignment vertical="top" wrapText="1"/>
    </xf>
    <xf numFmtId="0" fontId="0" fillId="0" borderId="110"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92" xfId="0" applyNumberFormat="1" applyBorder="1" applyAlignment="1">
      <alignment horizontal="center" vertical="top" wrapText="1"/>
    </xf>
    <xf numFmtId="0" fontId="0" fillId="0" borderId="111" xfId="0" applyNumberFormat="1" applyBorder="1" applyAlignment="1">
      <alignment horizontal="center" vertical="top" wrapText="1"/>
    </xf>
    <xf numFmtId="0" fontId="5" fillId="0" borderId="0" xfId="2" quotePrefix="1" applyNumberFormat="1" applyAlignment="1" applyProtection="1">
      <alignment horizontal="center" vertical="top" wrapText="1"/>
    </xf>
    <xf numFmtId="0" fontId="0" fillId="0" borderId="112" xfId="0" applyNumberFormat="1" applyBorder="1" applyAlignment="1">
      <alignment horizontal="center" vertical="top" wrapText="1"/>
    </xf>
    <xf numFmtId="0" fontId="0" fillId="0" borderId="108" xfId="0" applyNumberFormat="1" applyBorder="1" applyAlignment="1">
      <alignment horizontal="center" vertical="top" wrapText="1"/>
    </xf>
    <xf numFmtId="0" fontId="0" fillId="0" borderId="113" xfId="0" applyNumberFormat="1" applyBorder="1" applyAlignment="1">
      <alignment horizontal="center" vertical="top" wrapText="1"/>
    </xf>
    <xf numFmtId="0" fontId="0" fillId="0" borderId="110" xfId="0" applyNumberFormat="1" applyBorder="1" applyAlignment="1">
      <alignment horizontal="center" vertical="top" wrapText="1"/>
    </xf>
    <xf numFmtId="0" fontId="0" fillId="0" borderId="114" xfId="0" applyNumberFormat="1" applyBorder="1" applyAlignment="1">
      <alignment horizontal="center" vertical="top" wrapText="1"/>
    </xf>
    <xf numFmtId="0" fontId="5" fillId="0" borderId="108" xfId="2" quotePrefix="1" applyNumberFormat="1" applyBorder="1" applyAlignment="1" applyProtection="1">
      <alignment horizontal="center" vertical="top" wrapText="1"/>
    </xf>
    <xf numFmtId="0" fontId="226" fillId="17" borderId="0" xfId="0" applyFont="1" applyFill="1" applyBorder="1" applyAlignment="1" applyProtection="1">
      <alignment horizontal="center"/>
      <protection hidden="1"/>
    </xf>
    <xf numFmtId="0" fontId="46" fillId="0" borderId="0" xfId="0"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83" fillId="0" borderId="0" xfId="0" applyFont="1" applyFill="1" applyAlignment="1" applyProtection="1">
      <alignment vertical="center"/>
      <protection hidden="1"/>
    </xf>
    <xf numFmtId="178" fontId="207" fillId="16" borderId="101" xfId="0" applyNumberFormat="1" applyFont="1" applyFill="1" applyBorder="1" applyAlignment="1" applyProtection="1">
      <alignment horizontal="right"/>
      <protection hidden="1"/>
    </xf>
    <xf numFmtId="0" fontId="138" fillId="0" borderId="0" xfId="0" applyFont="1" applyFill="1" applyAlignment="1" applyProtection="1">
      <alignment vertical="center"/>
      <protection hidden="1"/>
    </xf>
    <xf numFmtId="4" fontId="70" fillId="19" borderId="84" xfId="0" applyNumberFormat="1" applyFont="1" applyFill="1" applyBorder="1" applyProtection="1">
      <protection hidden="1"/>
    </xf>
    <xf numFmtId="4" fontId="48" fillId="2" borderId="115" xfId="0" applyNumberFormat="1" applyFont="1" applyFill="1" applyBorder="1" applyAlignment="1" applyProtection="1">
      <protection hidden="1"/>
    </xf>
    <xf numFmtId="4" fontId="48" fillId="2" borderId="0" xfId="0" applyNumberFormat="1" applyFont="1" applyFill="1" applyBorder="1" applyAlignment="1" applyProtection="1">
      <protection hidden="1"/>
    </xf>
    <xf numFmtId="4" fontId="61" fillId="19" borderId="64" xfId="0" applyNumberFormat="1" applyFont="1" applyFill="1" applyBorder="1" applyProtection="1">
      <protection locked="0" hidden="1"/>
    </xf>
    <xf numFmtId="10" fontId="55" fillId="2" borderId="0" xfId="0" applyNumberFormat="1" applyFont="1" applyFill="1" applyBorder="1" applyProtection="1">
      <protection hidden="1"/>
    </xf>
    <xf numFmtId="0" fontId="101" fillId="4" borderId="116" xfId="0" applyFont="1" applyFill="1" applyBorder="1" applyAlignment="1" applyProtection="1">
      <alignment horizontal="left"/>
      <protection hidden="1"/>
    </xf>
    <xf numFmtId="0" fontId="101" fillId="4" borderId="117" xfId="0" applyFont="1" applyFill="1" applyBorder="1" applyAlignment="1" applyProtection="1">
      <alignment horizontal="left"/>
      <protection hidden="1"/>
    </xf>
    <xf numFmtId="0" fontId="101" fillId="4" borderId="118" xfId="0" applyFont="1" applyFill="1" applyBorder="1" applyAlignment="1" applyProtection="1">
      <alignment horizontal="left"/>
      <protection hidden="1"/>
    </xf>
    <xf numFmtId="173" fontId="67" fillId="0" borderId="119" xfId="0" applyNumberFormat="1" applyFont="1" applyBorder="1" applyAlignment="1" applyProtection="1">
      <alignment horizontal="left" vertical="top"/>
      <protection hidden="1"/>
    </xf>
    <xf numFmtId="0" fontId="54" fillId="9" borderId="120" xfId="0" applyFont="1" applyFill="1" applyBorder="1" applyAlignment="1" applyProtection="1">
      <alignment horizontal="center"/>
      <protection hidden="1"/>
    </xf>
    <xf numFmtId="0" fontId="54" fillId="9" borderId="121" xfId="0" applyFont="1" applyFill="1" applyBorder="1" applyAlignment="1" applyProtection="1">
      <alignment horizontal="center"/>
      <protection hidden="1"/>
    </xf>
    <xf numFmtId="0" fontId="54" fillId="9" borderId="122"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23" xfId="0" applyFont="1" applyFill="1" applyBorder="1" applyAlignment="1" applyProtection="1">
      <alignment horizontal="left"/>
      <protection hidden="1"/>
    </xf>
    <xf numFmtId="0" fontId="28" fillId="5" borderId="124" xfId="0" applyFont="1" applyFill="1" applyBorder="1" applyAlignment="1" applyProtection="1">
      <alignment horizontal="left"/>
      <protection hidden="1"/>
    </xf>
    <xf numFmtId="0" fontId="35" fillId="3" borderId="125" xfId="0" applyFont="1" applyFill="1" applyBorder="1" applyAlignment="1" applyProtection="1">
      <alignment horizontal="left"/>
      <protection hidden="1"/>
    </xf>
    <xf numFmtId="0" fontId="35" fillId="3" borderId="126" xfId="0" applyFont="1" applyFill="1" applyBorder="1" applyAlignment="1" applyProtection="1">
      <alignment horizontal="left"/>
      <protection hidden="1"/>
    </xf>
    <xf numFmtId="0" fontId="50" fillId="5" borderId="127"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8" xfId="0" applyFont="1" applyFill="1" applyBorder="1" applyAlignment="1" applyProtection="1">
      <alignment horizontal="left"/>
      <protection hidden="1"/>
    </xf>
    <xf numFmtId="0" fontId="28" fillId="5" borderId="129" xfId="0" applyFont="1" applyFill="1" applyBorder="1" applyAlignment="1" applyProtection="1">
      <alignment horizontal="left"/>
      <protection hidden="1"/>
    </xf>
    <xf numFmtId="0" fontId="2" fillId="5" borderId="130" xfId="0" applyFont="1" applyFill="1" applyBorder="1" applyAlignment="1" applyProtection="1">
      <alignment horizontal="center"/>
      <protection hidden="1"/>
    </xf>
    <xf numFmtId="0" fontId="2" fillId="5" borderId="131" xfId="0" applyFont="1" applyFill="1" applyBorder="1" applyAlignment="1" applyProtection="1">
      <alignment horizontal="center"/>
      <protection hidden="1"/>
    </xf>
    <xf numFmtId="0" fontId="2" fillId="5" borderId="132" xfId="0" applyFont="1" applyFill="1" applyBorder="1" applyAlignment="1" applyProtection="1">
      <alignment horizontal="center"/>
      <protection hidden="1"/>
    </xf>
    <xf numFmtId="0" fontId="28" fillId="5" borderId="139" xfId="0" applyFont="1" applyFill="1" applyBorder="1" applyAlignment="1" applyProtection="1">
      <alignment horizontal="left"/>
      <protection hidden="1"/>
    </xf>
    <xf numFmtId="0" fontId="28" fillId="5" borderId="140" xfId="0" applyFont="1" applyFill="1" applyBorder="1" applyAlignment="1" applyProtection="1">
      <alignment horizontal="left"/>
      <protection hidden="1"/>
    </xf>
    <xf numFmtId="0" fontId="2" fillId="5" borderId="141" xfId="0" applyFont="1" applyFill="1" applyBorder="1" applyAlignment="1" applyProtection="1">
      <alignment horizontal="center"/>
      <protection hidden="1"/>
    </xf>
    <xf numFmtId="172" fontId="38" fillId="6" borderId="133" xfId="0" applyNumberFormat="1" applyFont="1" applyFill="1" applyBorder="1" applyAlignment="1" applyProtection="1">
      <alignment horizontal="center"/>
      <protection hidden="1"/>
    </xf>
    <xf numFmtId="172" fontId="38" fillId="6" borderId="134" xfId="0" applyNumberFormat="1" applyFont="1" applyFill="1" applyBorder="1" applyAlignment="1" applyProtection="1">
      <alignment horizontal="center"/>
      <protection hidden="1"/>
    </xf>
    <xf numFmtId="3" fontId="6" fillId="15" borderId="130" xfId="0" applyNumberFormat="1" applyFont="1" applyFill="1" applyBorder="1" applyAlignment="1" applyProtection="1">
      <alignment horizontal="right"/>
      <protection hidden="1"/>
    </xf>
    <xf numFmtId="3" fontId="6" fillId="15" borderId="132" xfId="0" applyNumberFormat="1" applyFont="1" applyFill="1" applyBorder="1" applyAlignment="1" applyProtection="1">
      <alignment horizontal="right"/>
      <protection hidden="1"/>
    </xf>
    <xf numFmtId="0" fontId="51" fillId="9" borderId="136"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37" xfId="0" applyFont="1" applyFill="1" applyBorder="1" applyAlignment="1" applyProtection="1">
      <alignment horizontal="center" vertical="center" wrapText="1"/>
      <protection hidden="1"/>
    </xf>
    <xf numFmtId="0" fontId="51" fillId="9" borderId="75"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8" xfId="0" applyFont="1" applyFill="1" applyBorder="1" applyAlignment="1" applyProtection="1">
      <alignment horizontal="center" vertical="center" wrapText="1"/>
      <protection hidden="1"/>
    </xf>
    <xf numFmtId="0" fontId="62" fillId="2" borderId="0" xfId="0" applyFont="1" applyFill="1" applyAlignment="1" applyProtection="1">
      <alignment horizontal="center" wrapText="1"/>
      <protection hidden="1"/>
    </xf>
    <xf numFmtId="0" fontId="185" fillId="2" borderId="0" xfId="0" applyFont="1" applyFill="1" applyAlignment="1" applyProtection="1">
      <alignment horizontal="left" vertical="top" wrapText="1"/>
      <protection hidden="1"/>
    </xf>
    <xf numFmtId="3" fontId="3" fillId="6" borderId="133" xfId="0" applyNumberFormat="1" applyFont="1" applyFill="1" applyBorder="1" applyAlignment="1" applyProtection="1">
      <alignment horizontal="center"/>
      <protection hidden="1"/>
    </xf>
    <xf numFmtId="3" fontId="3" fillId="6" borderId="135" xfId="0" applyNumberFormat="1" applyFont="1" applyFill="1" applyBorder="1" applyAlignment="1" applyProtection="1">
      <alignment horizontal="center"/>
      <protection hidden="1"/>
    </xf>
    <xf numFmtId="3" fontId="3" fillId="6" borderId="134" xfId="0" applyNumberFormat="1" applyFont="1" applyFill="1" applyBorder="1" applyAlignment="1" applyProtection="1">
      <alignment horizontal="center"/>
      <protection hidden="1"/>
    </xf>
    <xf numFmtId="0" fontId="3" fillId="6" borderId="133" xfId="0" applyFont="1" applyFill="1" applyBorder="1" applyAlignment="1" applyProtection="1">
      <alignment horizontal="center"/>
      <protection hidden="1"/>
    </xf>
    <xf numFmtId="0" fontId="3" fillId="6" borderId="134"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40" fontId="127" fillId="11" borderId="6" xfId="0" applyNumberFormat="1" applyFont="1" applyFill="1" applyBorder="1" applyAlignment="1" applyProtection="1">
      <alignment horizontal="center" vertical="top"/>
      <protection hidden="1"/>
    </xf>
    <xf numFmtId="0" fontId="127" fillId="11" borderId="6" xfId="0" applyFont="1" applyFill="1" applyBorder="1" applyAlignment="1" applyProtection="1">
      <alignment horizontal="center" vertical="top"/>
      <protection hidden="1"/>
    </xf>
    <xf numFmtId="0" fontId="127" fillId="11" borderId="142" xfId="0" applyFont="1" applyFill="1" applyBorder="1" applyAlignment="1" applyProtection="1">
      <alignment horizontal="center" vertical="top"/>
      <protection hidden="1"/>
    </xf>
    <xf numFmtId="0" fontId="161" fillId="11" borderId="0" xfId="0" applyFont="1" applyFill="1" applyBorder="1" applyAlignment="1" applyProtection="1">
      <alignment horizontal="center" wrapText="1"/>
      <protection hidden="1"/>
    </xf>
    <xf numFmtId="0" fontId="161" fillId="11" borderId="61" xfId="0" applyFont="1" applyFill="1" applyBorder="1" applyAlignment="1" applyProtection="1">
      <alignment horizontal="center" wrapText="1"/>
      <protection hidden="1"/>
    </xf>
    <xf numFmtId="40" fontId="127" fillId="11" borderId="0" xfId="0" applyNumberFormat="1" applyFont="1" applyFill="1" applyBorder="1" applyAlignment="1" applyProtection="1">
      <alignment horizontal="center" vertical="top"/>
      <protection hidden="1"/>
    </xf>
    <xf numFmtId="40" fontId="127" fillId="11" borderId="61" xfId="0" applyNumberFormat="1" applyFont="1" applyFill="1" applyBorder="1" applyAlignment="1" applyProtection="1">
      <alignment horizontal="center" vertical="top"/>
      <protection hidden="1"/>
    </xf>
    <xf numFmtId="0" fontId="162" fillId="11" borderId="0" xfId="0" applyFont="1" applyFill="1" applyBorder="1" applyAlignment="1" applyProtection="1">
      <alignment horizontal="center"/>
      <protection hidden="1"/>
    </xf>
    <xf numFmtId="0" fontId="162" fillId="11" borderId="61" xfId="0" applyFont="1" applyFill="1" applyBorder="1" applyAlignment="1" applyProtection="1">
      <alignment horizontal="center"/>
      <protection hidden="1"/>
    </xf>
    <xf numFmtId="0" fontId="125" fillId="11" borderId="136" xfId="0" applyFont="1" applyFill="1" applyBorder="1" applyAlignment="1" applyProtection="1">
      <alignment horizontal="center"/>
      <protection hidden="1"/>
    </xf>
    <xf numFmtId="0" fontId="125" fillId="11" borderId="60" xfId="0" applyFont="1" applyFill="1" applyBorder="1" applyAlignment="1" applyProtection="1">
      <alignment horizontal="center"/>
      <protection hidden="1"/>
    </xf>
    <xf numFmtId="4" fontId="127" fillId="11" borderId="0" xfId="0" applyNumberFormat="1" applyFont="1" applyFill="1" applyBorder="1" applyAlignment="1" applyProtection="1">
      <alignment horizontal="center"/>
      <protection hidden="1"/>
    </xf>
    <xf numFmtId="4" fontId="127" fillId="11" borderId="61" xfId="0" applyNumberFormat="1" applyFont="1" applyFill="1" applyBorder="1" applyAlignment="1" applyProtection="1">
      <alignment horizontal="center"/>
      <protection hidden="1"/>
    </xf>
    <xf numFmtId="0" fontId="160" fillId="11" borderId="0" xfId="0" applyFont="1" applyFill="1" applyBorder="1" applyAlignment="1" applyProtection="1">
      <alignment horizontal="center" vertical="top"/>
      <protection hidden="1"/>
    </xf>
    <xf numFmtId="0" fontId="157" fillId="11" borderId="120" xfId="0" applyFont="1" applyFill="1" applyBorder="1" applyAlignment="1" applyProtection="1">
      <alignment horizontal="center"/>
      <protection hidden="1"/>
    </xf>
    <xf numFmtId="0" fontId="157" fillId="11" borderId="121" xfId="0" applyFont="1" applyFill="1" applyBorder="1" applyAlignment="1" applyProtection="1">
      <alignment horizontal="center"/>
      <protection hidden="1"/>
    </xf>
    <xf numFmtId="0" fontId="157" fillId="11" borderId="122" xfId="0" applyFont="1" applyFill="1" applyBorder="1" applyAlignment="1" applyProtection="1">
      <alignment horizontal="center"/>
      <protection hidden="1"/>
    </xf>
    <xf numFmtId="0" fontId="127" fillId="11" borderId="0" xfId="0" applyFont="1" applyFill="1" applyAlignment="1" applyProtection="1">
      <alignment horizontal="left" vertical="center"/>
      <protection hidden="1"/>
    </xf>
    <xf numFmtId="175" fontId="127" fillId="11" borderId="0" xfId="0" applyNumberFormat="1" applyFont="1" applyFill="1" applyAlignment="1" applyProtection="1">
      <alignment horizontal="left" vertical="center"/>
      <protection hidden="1"/>
    </xf>
    <xf numFmtId="0" fontId="123" fillId="11" borderId="74" xfId="0" applyFont="1" applyFill="1" applyBorder="1" applyAlignment="1" applyProtection="1">
      <alignment horizontal="center" vertical="center" wrapText="1"/>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8" fillId="3" borderId="148" xfId="0" applyFont="1" applyFill="1" applyBorder="1" applyAlignment="1" applyProtection="1">
      <alignment horizontal="center"/>
      <protection hidden="1"/>
    </xf>
    <xf numFmtId="0" fontId="148" fillId="3" borderId="149"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locked="0" hidden="1"/>
    </xf>
    <xf numFmtId="0" fontId="88" fillId="16" borderId="144" xfId="0" applyFont="1" applyFill="1" applyBorder="1" applyAlignment="1" applyProtection="1">
      <alignment horizontal="center" vertical="center"/>
      <protection locked="0" hidden="1"/>
    </xf>
    <xf numFmtId="0" fontId="88" fillId="16" borderId="145" xfId="0" applyFont="1" applyFill="1" applyBorder="1" applyAlignment="1" applyProtection="1">
      <alignment horizontal="center" vertical="center"/>
      <protection locked="0" hidden="1"/>
    </xf>
    <xf numFmtId="0" fontId="117" fillId="2" borderId="63"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0" fontId="142" fillId="9" borderId="146" xfId="0" applyFont="1" applyFill="1" applyBorder="1" applyAlignment="1" applyProtection="1">
      <alignment horizontal="left"/>
      <protection locked="0" hidden="1"/>
    </xf>
    <xf numFmtId="0" fontId="142" fillId="9" borderId="150" xfId="0" applyFont="1" applyFill="1" applyBorder="1" applyAlignment="1" applyProtection="1">
      <alignment horizontal="left"/>
      <protection locked="0" hidden="1"/>
    </xf>
    <xf numFmtId="0" fontId="71" fillId="2" borderId="143" xfId="0" applyFont="1" applyFill="1" applyBorder="1" applyAlignment="1" applyProtection="1">
      <alignment horizontal="left"/>
      <protection hidden="1"/>
    </xf>
    <xf numFmtId="0" fontId="71" fillId="2" borderId="145" xfId="0" applyFont="1" applyFill="1" applyBorder="1" applyAlignment="1" applyProtection="1">
      <alignment horizontal="left"/>
      <protection hidden="1"/>
    </xf>
    <xf numFmtId="0" fontId="163" fillId="2" borderId="0" xfId="0" applyFont="1" applyFill="1" applyBorder="1" applyAlignment="1" applyProtection="1">
      <alignment horizontal="center" wrapText="1"/>
      <protection hidden="1"/>
    </xf>
    <xf numFmtId="0" fontId="163" fillId="2" borderId="5" xfId="0" applyFont="1" applyFill="1" applyBorder="1" applyAlignment="1" applyProtection="1">
      <alignment horizontal="center" wrapText="1"/>
      <protection hidden="1"/>
    </xf>
    <xf numFmtId="0" fontId="171" fillId="16" borderId="151" xfId="0" applyFont="1" applyFill="1" applyBorder="1" applyAlignment="1" applyProtection="1">
      <alignment horizontal="left"/>
      <protection hidden="1"/>
    </xf>
    <xf numFmtId="0" fontId="171" fillId="16" borderId="152" xfId="0" applyFont="1" applyFill="1" applyBorder="1" applyAlignment="1" applyProtection="1">
      <alignment horizontal="left"/>
      <protection hidden="1"/>
    </xf>
    <xf numFmtId="0" fontId="97" fillId="2" borderId="0" xfId="0" applyFont="1" applyFill="1" applyBorder="1" applyAlignment="1" applyProtection="1">
      <alignment horizontal="center"/>
      <protection hidden="1"/>
    </xf>
    <xf numFmtId="0" fontId="97" fillId="2" borderId="79" xfId="0" applyFont="1" applyFill="1" applyBorder="1" applyAlignment="1" applyProtection="1">
      <alignment horizontal="center"/>
      <protection hidden="1"/>
    </xf>
    <xf numFmtId="0" fontId="55" fillId="9" borderId="143" xfId="0" applyFont="1" applyFill="1" applyBorder="1" applyAlignment="1" applyProtection="1">
      <alignment horizontal="left"/>
      <protection locked="0" hidden="1"/>
    </xf>
    <xf numFmtId="0" fontId="55" fillId="9" borderId="150" xfId="0" applyFont="1" applyFill="1" applyBorder="1" applyAlignment="1" applyProtection="1">
      <alignment horizontal="left"/>
      <protection locked="0" hidden="1"/>
    </xf>
    <xf numFmtId="0" fontId="55" fillId="9" borderId="144" xfId="0" applyFont="1" applyFill="1" applyBorder="1" applyAlignment="1" applyProtection="1">
      <alignment horizontal="left"/>
      <protection locked="0" hidden="1"/>
    </xf>
    <xf numFmtId="0" fontId="55" fillId="9" borderId="145" xfId="0" applyFont="1" applyFill="1" applyBorder="1" applyAlignment="1" applyProtection="1">
      <alignment horizontal="left"/>
      <protection locked="0" hidden="1"/>
    </xf>
    <xf numFmtId="0" fontId="78" fillId="9" borderId="143" xfId="0" applyFont="1" applyFill="1" applyBorder="1" applyAlignment="1" applyProtection="1">
      <alignment horizontal="left"/>
      <protection locked="0" hidden="1"/>
    </xf>
    <xf numFmtId="0" fontId="78" fillId="9" borderId="144" xfId="0" applyFont="1" applyFill="1" applyBorder="1" applyAlignment="1" applyProtection="1">
      <alignment horizontal="left"/>
      <protection locked="0" hidden="1"/>
    </xf>
    <xf numFmtId="0" fontId="78" fillId="9" borderId="145" xfId="0" applyFont="1" applyFill="1" applyBorder="1" applyAlignment="1" applyProtection="1">
      <alignment horizontal="left"/>
      <protection locked="0"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locked="0" hidden="1"/>
    </xf>
    <xf numFmtId="0" fontId="45" fillId="16" borderId="145" xfId="0" applyFont="1" applyFill="1" applyBorder="1" applyAlignment="1" applyProtection="1">
      <alignment horizontal="left"/>
      <protection locked="0" hidden="1"/>
    </xf>
    <xf numFmtId="0" fontId="74" fillId="2" borderId="0" xfId="0" applyFont="1" applyFill="1" applyBorder="1" applyAlignment="1" applyProtection="1">
      <alignment horizontal="left"/>
      <protection locked="0" hidden="1"/>
    </xf>
    <xf numFmtId="0" fontId="74" fillId="2" borderId="79" xfId="0" applyFont="1" applyFill="1" applyBorder="1" applyAlignment="1" applyProtection="1">
      <alignment horizontal="left"/>
      <protection locked="0" hidden="1"/>
    </xf>
    <xf numFmtId="0" fontId="45" fillId="9" borderId="109" xfId="0" applyFont="1" applyFill="1" applyBorder="1" applyAlignment="1" applyProtection="1">
      <alignment horizontal="left"/>
      <protection locked="0" hidden="1"/>
    </xf>
    <xf numFmtId="0" fontId="45" fillId="9" borderId="114" xfId="0" applyFont="1" applyFill="1" applyBorder="1" applyAlignment="1" applyProtection="1">
      <alignment horizontal="left"/>
      <protection locked="0" hidden="1"/>
    </xf>
    <xf numFmtId="0" fontId="65" fillId="2" borderId="0" xfId="0" applyFont="1" applyFill="1" applyBorder="1" applyAlignment="1" applyProtection="1">
      <alignment horizontal="left"/>
      <protection hidden="1"/>
    </xf>
    <xf numFmtId="0" fontId="125" fillId="15" borderId="78" xfId="0" applyFont="1" applyFill="1" applyBorder="1" applyAlignment="1" applyProtection="1">
      <alignment horizontal="center" vertical="center" wrapText="1"/>
      <protection hidden="1"/>
    </xf>
    <xf numFmtId="0" fontId="125" fillId="15" borderId="154" xfId="0" applyFont="1" applyFill="1" applyBorder="1" applyAlignment="1" applyProtection="1">
      <alignment horizontal="center" vertical="center" wrapText="1"/>
      <protection hidden="1"/>
    </xf>
    <xf numFmtId="0" fontId="125" fillId="15" borderId="162" xfId="0" applyFont="1" applyFill="1" applyBorder="1" applyAlignment="1" applyProtection="1">
      <alignment horizontal="center" vertical="center" wrapText="1"/>
      <protection hidden="1"/>
    </xf>
    <xf numFmtId="0" fontId="125" fillId="15" borderId="155" xfId="0" applyFont="1" applyFill="1" applyBorder="1" applyAlignment="1" applyProtection="1">
      <alignment horizontal="center" vertical="center" wrapText="1"/>
      <protection hidden="1"/>
    </xf>
    <xf numFmtId="0" fontId="125" fillId="15" borderId="153" xfId="0" applyFont="1" applyFill="1" applyBorder="1" applyAlignment="1" applyProtection="1">
      <alignment horizontal="center" vertical="center" wrapText="1"/>
      <protection hidden="1"/>
    </xf>
    <xf numFmtId="0" fontId="125" fillId="15" borderId="77" xfId="0" applyFont="1" applyFill="1" applyBorder="1" applyAlignment="1" applyProtection="1">
      <alignment horizontal="center" vertical="center" wrapText="1"/>
      <protection hidden="1"/>
    </xf>
    <xf numFmtId="0" fontId="171" fillId="16" borderId="146" xfId="0" applyFont="1" applyFill="1" applyBorder="1" applyAlignment="1" applyProtection="1">
      <alignment horizontal="left"/>
      <protection hidden="1"/>
    </xf>
    <xf numFmtId="0" fontId="171" fillId="16" borderId="156" xfId="0" applyFont="1" applyFill="1" applyBorder="1" applyAlignment="1" applyProtection="1">
      <alignment horizontal="left"/>
      <protection hidden="1"/>
    </xf>
    <xf numFmtId="164" fontId="115" fillId="16" borderId="157" xfId="1" applyFont="1" applyFill="1" applyBorder="1" applyAlignment="1" applyProtection="1">
      <alignment horizontal="center"/>
      <protection locked="0" hidden="1"/>
    </xf>
    <xf numFmtId="164" fontId="115" fillId="16" borderId="158" xfId="1" applyFont="1" applyFill="1" applyBorder="1" applyAlignment="1" applyProtection="1">
      <alignment horizontal="center"/>
      <protection locked="0" hidden="1"/>
    </xf>
    <xf numFmtId="0" fontId="47" fillId="16" borderId="143" xfId="0" applyFont="1" applyFill="1" applyBorder="1" applyAlignment="1" applyProtection="1">
      <alignment horizontal="left"/>
      <protection locked="0" hidden="1"/>
    </xf>
    <xf numFmtId="0" fontId="47" fillId="16" borderId="145" xfId="0" applyFont="1" applyFill="1" applyBorder="1" applyAlignment="1" applyProtection="1">
      <alignment horizontal="left"/>
      <protection locked="0" hidden="1"/>
    </xf>
    <xf numFmtId="0" fontId="209" fillId="2" borderId="153" xfId="0" applyFont="1" applyFill="1" applyBorder="1" applyAlignment="1" applyProtection="1">
      <alignment horizontal="left" vertical="center"/>
      <protection hidden="1"/>
    </xf>
    <xf numFmtId="0" fontId="20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2" fillId="2" borderId="153" xfId="0" applyFont="1" applyFill="1" applyBorder="1" applyAlignment="1" applyProtection="1">
      <alignment horizontal="left" vertical="center"/>
      <protection hidden="1"/>
    </xf>
    <xf numFmtId="0" fontId="182" fillId="2" borderId="159" xfId="0" applyFont="1" applyFill="1" applyBorder="1" applyAlignment="1" applyProtection="1">
      <alignment horizontal="left" vertical="center"/>
      <protection hidden="1"/>
    </xf>
    <xf numFmtId="0" fontId="182" fillId="2" borderId="0" xfId="0" applyFont="1" applyFill="1" applyBorder="1" applyAlignment="1" applyProtection="1">
      <alignment horizontal="left" vertical="center"/>
      <protection hidden="1"/>
    </xf>
    <xf numFmtId="0" fontId="182" fillId="2" borderId="5" xfId="0" applyFont="1" applyFill="1" applyBorder="1" applyAlignment="1" applyProtection="1">
      <alignment horizontal="left" vertical="center"/>
      <protection hidden="1"/>
    </xf>
    <xf numFmtId="0" fontId="47" fillId="2" borderId="77" xfId="0" applyFont="1" applyFill="1" applyBorder="1" applyAlignment="1" applyProtection="1">
      <alignment horizontal="left" vertical="center"/>
      <protection hidden="1"/>
    </xf>
    <xf numFmtId="0" fontId="97" fillId="2" borderId="63" xfId="0" applyFont="1" applyFill="1" applyBorder="1" applyAlignment="1" applyProtection="1">
      <alignment horizontal="left"/>
      <protection hidden="1"/>
    </xf>
    <xf numFmtId="0" fontId="97" fillId="2" borderId="0" xfId="0" applyFont="1" applyFill="1" applyBorder="1" applyAlignment="1" applyProtection="1">
      <alignment horizontal="left"/>
      <protection hidden="1"/>
    </xf>
    <xf numFmtId="0" fontId="227" fillId="16" borderId="160" xfId="0" applyFont="1" applyFill="1" applyBorder="1" applyAlignment="1" applyProtection="1">
      <alignment horizontal="right"/>
      <protection hidden="1"/>
    </xf>
    <xf numFmtId="0" fontId="227" fillId="16" borderId="161" xfId="0" applyFont="1" applyFill="1" applyBorder="1" applyAlignment="1" applyProtection="1">
      <alignment horizontal="right"/>
      <protection hidden="1"/>
    </xf>
    <xf numFmtId="0" fontId="70" fillId="2" borderId="0" xfId="0" applyFont="1" applyFill="1" applyBorder="1" applyAlignment="1" applyProtection="1">
      <alignment horizontal="justify" wrapText="1"/>
      <protection hidden="1"/>
    </xf>
    <xf numFmtId="9" fontId="97" fillId="2" borderId="63" xfId="0" applyNumberFormat="1" applyFont="1" applyFill="1" applyBorder="1" applyAlignment="1" applyProtection="1">
      <alignment horizontal="center"/>
      <protection hidden="1"/>
    </xf>
    <xf numFmtId="9" fontId="97" fillId="2" borderId="0" xfId="0" applyNumberFormat="1" applyFont="1" applyFill="1" applyBorder="1" applyAlignment="1" applyProtection="1">
      <alignment horizontal="center"/>
      <protection hidden="1"/>
    </xf>
    <xf numFmtId="3" fontId="197" fillId="11" borderId="0" xfId="0" applyNumberFormat="1" applyFont="1" applyFill="1" applyAlignment="1" applyProtection="1">
      <alignment horizontal="left"/>
      <protection hidden="1"/>
    </xf>
    <xf numFmtId="0" fontId="125" fillId="11" borderId="0" xfId="0" applyFont="1" applyFill="1" applyAlignment="1" applyProtection="1">
      <alignment horizontal="center" wrapText="1"/>
      <protection hidden="1"/>
    </xf>
    <xf numFmtId="0" fontId="77" fillId="2" borderId="52" xfId="2" applyFont="1" applyFill="1" applyBorder="1" applyAlignment="1" applyProtection="1">
      <alignment horizontal="center"/>
    </xf>
    <xf numFmtId="0" fontId="117" fillId="2" borderId="63"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5" fillId="15" borderId="163" xfId="2" applyFont="1" applyFill="1" applyBorder="1" applyAlignment="1" applyProtection="1">
      <alignment horizontal="center" vertical="center"/>
      <protection hidden="1"/>
    </xf>
    <xf numFmtId="0" fontId="125" fillId="15" borderId="164" xfId="2" applyFont="1" applyFill="1" applyBorder="1" applyAlignment="1" applyProtection="1">
      <alignment horizontal="center" vertical="center"/>
      <protection hidden="1"/>
    </xf>
    <xf numFmtId="164" fontId="97" fillId="2" borderId="0" xfId="1" applyFont="1" applyFill="1" applyBorder="1" applyAlignment="1" applyProtection="1">
      <alignment horizontal="left"/>
      <protection hidden="1"/>
    </xf>
    <xf numFmtId="38" fontId="129" fillId="2" borderId="63" xfId="0" applyNumberFormat="1" applyFont="1" applyFill="1" applyBorder="1" applyAlignment="1" applyProtection="1">
      <alignment horizontal="center" vertical="center"/>
      <protection locked="0" hidden="1"/>
    </xf>
    <xf numFmtId="0" fontId="0" fillId="0" borderId="0" xfId="0" applyAlignment="1">
      <alignment horizontal="center" vertical="center"/>
    </xf>
    <xf numFmtId="0" fontId="228" fillId="20" borderId="63" xfId="0" applyFont="1" applyFill="1" applyBorder="1" applyAlignment="1" applyProtection="1">
      <alignment horizontal="left"/>
      <protection hidden="1"/>
    </xf>
    <xf numFmtId="0" fontId="228" fillId="20" borderId="0" xfId="0" applyFont="1" applyFill="1" applyBorder="1" applyAlignment="1" applyProtection="1">
      <alignment horizontal="left"/>
      <protection hidden="1"/>
    </xf>
    <xf numFmtId="38" fontId="61" fillId="21" borderId="143" xfId="0" applyNumberFormat="1" applyFont="1" applyFill="1" applyBorder="1" applyAlignment="1" applyProtection="1">
      <alignment horizontal="center"/>
      <protection hidden="1"/>
    </xf>
    <xf numFmtId="38" fontId="61" fillId="21" borderId="144" xfId="0" applyNumberFormat="1" applyFont="1" applyFill="1" applyBorder="1" applyAlignment="1" applyProtection="1">
      <alignment horizontal="center"/>
      <protection hidden="1"/>
    </xf>
    <xf numFmtId="38" fontId="61" fillId="21" borderId="145" xfId="0" applyNumberFormat="1" applyFont="1" applyFill="1" applyBorder="1" applyAlignment="1" applyProtection="1">
      <alignment horizontal="center"/>
      <protection hidden="1"/>
    </xf>
    <xf numFmtId="0" fontId="12" fillId="14" borderId="74" xfId="0" applyFont="1" applyFill="1" applyBorder="1" applyAlignment="1" applyProtection="1">
      <alignment horizontal="left" vertical="top" wrapText="1"/>
      <protection locked="0" hidden="1"/>
    </xf>
    <xf numFmtId="0" fontId="12" fillId="14" borderId="61" xfId="0" applyFont="1" applyFill="1" applyBorder="1" applyAlignment="1" applyProtection="1">
      <alignment horizontal="left" vertical="top" wrapText="1"/>
      <protection locked="0" hidden="1"/>
    </xf>
    <xf numFmtId="0" fontId="12" fillId="14" borderId="75" xfId="0" applyFont="1" applyFill="1" applyBorder="1" applyAlignment="1" applyProtection="1">
      <alignment horizontal="left" vertical="top" wrapText="1"/>
      <protection locked="0" hidden="1"/>
    </xf>
    <xf numFmtId="0" fontId="12" fillId="14" borderId="142" xfId="0" applyFont="1" applyFill="1" applyBorder="1" applyAlignment="1" applyProtection="1">
      <alignment horizontal="left" vertical="top" wrapText="1"/>
      <protection locked="0" hidden="1"/>
    </xf>
    <xf numFmtId="0" fontId="96" fillId="2" borderId="0" xfId="0" applyFont="1" applyFill="1" applyBorder="1" applyAlignment="1" applyProtection="1">
      <alignment horizontal="center" vertical="top" wrapText="1"/>
      <protection hidden="1"/>
    </xf>
    <xf numFmtId="0" fontId="96" fillId="2" borderId="50" xfId="0" applyFont="1" applyFill="1" applyBorder="1" applyAlignment="1" applyProtection="1">
      <alignment horizontal="center" vertical="top" wrapText="1"/>
      <protection hidden="1"/>
    </xf>
    <xf numFmtId="0" fontId="51" fillId="0" borderId="2" xfId="0" applyFont="1" applyBorder="1" applyAlignment="1" applyProtection="1">
      <alignment horizontal="right" vertical="top"/>
      <protection hidden="1"/>
    </xf>
    <xf numFmtId="0" fontId="51" fillId="0" borderId="48" xfId="0" applyFont="1" applyBorder="1" applyAlignment="1" applyProtection="1">
      <alignment horizontal="right" vertical="top"/>
      <protection hidden="1"/>
    </xf>
    <xf numFmtId="0" fontId="69" fillId="0" borderId="0" xfId="0" applyFont="1" applyBorder="1" applyAlignment="1" applyProtection="1">
      <alignment horizontal="center" vertical="center"/>
      <protection hidden="1"/>
    </xf>
    <xf numFmtId="2" fontId="46" fillId="19" borderId="165" xfId="0" applyNumberFormat="1" applyFont="1" applyFill="1" applyBorder="1" applyAlignment="1" applyProtection="1">
      <alignment horizontal="left" vertical="center" shrinkToFit="1"/>
      <protection locked="0" hidden="1"/>
    </xf>
    <xf numFmtId="2" fontId="46" fillId="19" borderId="102" xfId="0" applyNumberFormat="1" applyFont="1" applyFill="1" applyBorder="1" applyAlignment="1" applyProtection="1">
      <alignment horizontal="left" vertical="center" shrinkToFit="1"/>
      <protection locked="0" hidden="1"/>
    </xf>
    <xf numFmtId="2" fontId="46" fillId="19" borderId="166" xfId="0" applyNumberFormat="1" applyFont="1" applyFill="1" applyBorder="1" applyAlignment="1" applyProtection="1">
      <alignment horizontal="left" vertical="center" shrinkToFit="1"/>
      <protection locked="0" hidden="1"/>
    </xf>
    <xf numFmtId="0" fontId="46" fillId="16" borderId="165" xfId="0" applyFont="1" applyFill="1" applyBorder="1" applyAlignment="1" applyProtection="1">
      <alignment horizontal="left" vertical="center" shrinkToFit="1"/>
      <protection hidden="1"/>
    </xf>
    <xf numFmtId="0" fontId="46" fillId="16" borderId="102" xfId="0" applyFont="1" applyFill="1" applyBorder="1" applyAlignment="1" applyProtection="1">
      <alignment horizontal="left" vertical="center" shrinkToFit="1"/>
      <protection hidden="1"/>
    </xf>
    <xf numFmtId="0" fontId="46" fillId="16" borderId="166" xfId="0" applyFont="1" applyFill="1" applyBorder="1" applyAlignment="1" applyProtection="1">
      <alignment horizontal="left" vertical="center" shrinkToFit="1"/>
      <protection hidden="1"/>
    </xf>
    <xf numFmtId="0" fontId="46" fillId="19" borderId="165" xfId="0" applyFont="1" applyFill="1" applyBorder="1" applyAlignment="1" applyProtection="1">
      <alignment horizontal="left" vertical="center" shrinkToFit="1"/>
      <protection locked="0" hidden="1"/>
    </xf>
    <xf numFmtId="0" fontId="46" fillId="19" borderId="102" xfId="0" applyFont="1" applyFill="1" applyBorder="1" applyAlignment="1" applyProtection="1">
      <alignment horizontal="left" vertical="center" shrinkToFit="1"/>
      <protection locked="0" hidden="1"/>
    </xf>
    <xf numFmtId="0" fontId="46" fillId="19" borderId="166" xfId="0" applyFont="1" applyFill="1" applyBorder="1" applyAlignment="1" applyProtection="1">
      <alignment horizontal="left" vertical="center" shrinkToFit="1"/>
      <protection locked="0" hidden="1"/>
    </xf>
    <xf numFmtId="2" fontId="46" fillId="2" borderId="0" xfId="0" applyNumberFormat="1" applyFont="1" applyFill="1" applyBorder="1" applyAlignment="1" applyProtection="1">
      <alignment horizontal="left" shrinkToFit="1"/>
      <protection hidden="1"/>
    </xf>
    <xf numFmtId="4" fontId="194" fillId="18" borderId="120" xfId="0" applyNumberFormat="1" applyFont="1" applyFill="1" applyBorder="1" applyAlignment="1" applyProtection="1">
      <alignment vertical="center"/>
      <protection locked="0" hidden="1"/>
    </xf>
    <xf numFmtId="4" fontId="194" fillId="18" borderId="122" xfId="0" applyNumberFormat="1" applyFont="1" applyFill="1" applyBorder="1" applyAlignment="1" applyProtection="1">
      <alignment vertical="center"/>
      <protection locked="0" hidden="1"/>
    </xf>
    <xf numFmtId="0" fontId="70" fillId="19" borderId="165" xfId="0" applyFont="1" applyFill="1" applyBorder="1" applyAlignment="1" applyProtection="1">
      <alignment horizontal="left"/>
      <protection locked="0" hidden="1"/>
    </xf>
    <xf numFmtId="0" fontId="70" fillId="19" borderId="166" xfId="0" applyFont="1" applyFill="1" applyBorder="1" applyAlignment="1" applyProtection="1">
      <alignment horizontal="left"/>
      <protection locked="0" hidden="1"/>
    </xf>
    <xf numFmtId="173" fontId="48" fillId="2" borderId="0" xfId="0" applyNumberFormat="1" applyFont="1" applyFill="1" applyBorder="1" applyAlignment="1" applyProtection="1">
      <alignment horizontal="right" vertical="top"/>
      <protection hidden="1"/>
    </xf>
    <xf numFmtId="0" fontId="123" fillId="11" borderId="0" xfId="0" applyFont="1" applyFill="1" applyBorder="1" applyAlignment="1" applyProtection="1">
      <alignment horizontal="left" vertical="top" wrapText="1" shrinkToFit="1"/>
      <protection hidden="1"/>
    </xf>
    <xf numFmtId="0" fontId="189" fillId="2" borderId="6" xfId="0" applyFont="1" applyFill="1" applyBorder="1" applyAlignment="1" applyProtection="1">
      <alignment horizontal="left"/>
      <protection hidden="1"/>
    </xf>
    <xf numFmtId="2" fontId="48" fillId="18" borderId="165" xfId="0" applyNumberFormat="1" applyFont="1" applyFill="1" applyBorder="1" applyAlignment="1" applyProtection="1">
      <alignment horizontal="left" vertical="center" shrinkToFit="1"/>
      <protection locked="0" hidden="1"/>
    </xf>
    <xf numFmtId="2" fontId="48" fillId="18" borderId="102" xfId="0" applyNumberFormat="1" applyFont="1" applyFill="1" applyBorder="1" applyAlignment="1" applyProtection="1">
      <alignment horizontal="left" vertical="center" shrinkToFit="1"/>
      <protection locked="0" hidden="1"/>
    </xf>
    <xf numFmtId="2" fontId="48" fillId="18" borderId="166" xfId="0" applyNumberFormat="1" applyFont="1" applyFill="1" applyBorder="1" applyAlignment="1" applyProtection="1">
      <alignment horizontal="left" vertical="center" shrinkToFit="1"/>
      <protection locked="0" hidden="1"/>
    </xf>
    <xf numFmtId="0" fontId="56" fillId="2" borderId="60" xfId="0" applyFont="1" applyFill="1" applyBorder="1" applyAlignment="1" applyProtection="1">
      <alignment horizontal="justify" vertical="center" wrapText="1" shrinkToFit="1"/>
      <protection hidden="1"/>
    </xf>
    <xf numFmtId="0" fontId="7" fillId="2" borderId="61" xfId="0" applyFont="1" applyFill="1" applyBorder="1" applyAlignment="1" applyProtection="1">
      <alignment horizontal="center"/>
      <protection hidden="1"/>
    </xf>
    <xf numFmtId="0" fontId="7" fillId="2" borderId="0" xfId="0" applyFont="1" applyFill="1" applyBorder="1" applyAlignment="1" applyProtection="1">
      <alignment horizontal="center"/>
      <protection hidden="1"/>
    </xf>
    <xf numFmtId="0" fontId="68" fillId="2" borderId="6" xfId="0" applyFont="1" applyFill="1" applyBorder="1" applyAlignment="1" applyProtection="1">
      <alignment horizontal="left" wrapText="1"/>
      <protection hidden="1"/>
    </xf>
    <xf numFmtId="0" fontId="216" fillId="22" borderId="167" xfId="0" applyFont="1" applyFill="1" applyBorder="1" applyAlignment="1" applyProtection="1">
      <alignment horizontal="left" vertical="center" shrinkToFit="1"/>
      <protection hidden="1"/>
    </xf>
    <xf numFmtId="0" fontId="216" fillId="22" borderId="168" xfId="0" applyFont="1" applyFill="1" applyBorder="1" applyAlignment="1" applyProtection="1">
      <alignment horizontal="left" vertical="center" shrinkToFit="1"/>
      <protection hidden="1"/>
    </xf>
    <xf numFmtId="0" fontId="216" fillId="22" borderId="169" xfId="0" applyFont="1" applyFill="1" applyBorder="1" applyAlignment="1" applyProtection="1">
      <alignment horizontal="left" vertical="center" shrinkToFit="1"/>
      <protection hidden="1"/>
    </xf>
    <xf numFmtId="0" fontId="201" fillId="2" borderId="0" xfId="0" applyFont="1" applyFill="1" applyAlignment="1" applyProtection="1">
      <alignment horizontal="justify" vertical="top" wrapText="1"/>
      <protection hidden="1"/>
    </xf>
    <xf numFmtId="0" fontId="218" fillId="2" borderId="0" xfId="0" applyFont="1" applyFill="1" applyBorder="1" applyAlignment="1" applyProtection="1">
      <alignment horizontal="right" vertical="center"/>
      <protection hidden="1"/>
    </xf>
    <xf numFmtId="0" fontId="83" fillId="11" borderId="0" xfId="0" applyFont="1" applyFill="1" applyAlignment="1" applyProtection="1">
      <alignment horizontal="center" vertical="center" wrapText="1"/>
      <protection hidden="1"/>
    </xf>
    <xf numFmtId="0" fontId="70" fillId="2" borderId="0" xfId="0" applyFont="1" applyFill="1" applyAlignment="1" applyProtection="1">
      <alignment horizontal="left"/>
      <protection hidden="1"/>
    </xf>
    <xf numFmtId="0" fontId="45" fillId="2" borderId="0" xfId="0" applyFont="1" applyFill="1" applyBorder="1" applyAlignment="1" applyProtection="1">
      <alignment horizontal="left" vertical="top" wrapText="1"/>
      <protection hidden="1"/>
    </xf>
    <xf numFmtId="0" fontId="60" fillId="2" borderId="0" xfId="0" applyFont="1" applyFill="1" applyBorder="1" applyAlignment="1" applyProtection="1">
      <alignment horizontal="left" vertical="top" wrapText="1"/>
      <protection hidden="1"/>
    </xf>
    <xf numFmtId="0" fontId="47" fillId="2" borderId="0" xfId="0" applyFont="1" applyFill="1" applyBorder="1" applyAlignment="1" applyProtection="1">
      <alignment horizontal="left" vertical="top" wrapText="1"/>
      <protection hidden="1"/>
    </xf>
    <xf numFmtId="0" fontId="56" fillId="2" borderId="0" xfId="0" applyFont="1" applyFill="1" applyBorder="1" applyAlignment="1" applyProtection="1">
      <alignment horizontal="justify" vertical="top" wrapText="1"/>
      <protection hidden="1"/>
    </xf>
    <xf numFmtId="0" fontId="46" fillId="2" borderId="0" xfId="0" applyFont="1" applyFill="1" applyBorder="1" applyAlignment="1" applyProtection="1">
      <alignment horizontal="left" wrapText="1"/>
      <protection hidden="1"/>
    </xf>
    <xf numFmtId="0" fontId="145" fillId="2" borderId="0" xfId="0" applyFont="1" applyFill="1" applyBorder="1" applyAlignment="1" applyProtection="1">
      <alignment horizontal="left" vertical="top" wrapText="1"/>
      <protection hidden="1"/>
    </xf>
    <xf numFmtId="0" fontId="45" fillId="2" borderId="0" xfId="0" applyFont="1" applyFill="1" applyBorder="1" applyAlignment="1" applyProtection="1">
      <alignment horizontal="left" wrapText="1"/>
      <protection hidden="1"/>
    </xf>
  </cellXfs>
  <cellStyles count="5">
    <cellStyle name="Comma" xfId="1" builtinId="3"/>
    <cellStyle name="Hyperlink" xfId="2" builtinId="8"/>
    <cellStyle name="Normal" xfId="0" builtinId="0"/>
    <cellStyle name="Normal 2" xfId="3" xr:uid="{00000000-0005-0000-0000-000003000000}"/>
    <cellStyle name="Percent" xfId="4" builtinId="5"/>
  </cellStyles>
  <dxfs count="173">
    <dxf>
      <font>
        <b/>
        <i val="0"/>
      </font>
    </dxf>
    <dxf>
      <font>
        <b/>
        <i val="0"/>
        <condense val="0"/>
        <extend val="0"/>
      </font>
    </dxf>
    <dxf>
      <font>
        <b/>
        <i val="0"/>
        <color theme="0"/>
      </font>
      <fill>
        <patternFill>
          <bgColor theme="9" tint="-0.24994659260841701"/>
        </patternFill>
      </fill>
    </dxf>
    <dxf>
      <font>
        <condense val="0"/>
        <extend val="0"/>
        <color indexed="9"/>
      </font>
    </dxf>
    <dxf>
      <font>
        <condense val="0"/>
        <extend val="0"/>
        <color indexed="9"/>
      </font>
    </dxf>
    <dxf>
      <font>
        <b/>
        <i val="0"/>
        <condense val="0"/>
        <extend val="0"/>
      </font>
    </dxf>
    <dxf>
      <font>
        <condense val="0"/>
        <extend val="0"/>
        <color auto="1"/>
      </font>
      <fill>
        <patternFill patternType="solid"/>
      </fill>
    </dxf>
    <dxf>
      <font>
        <condense val="0"/>
        <extend val="0"/>
        <color auto="1"/>
      </font>
      <fill>
        <patternFill patternType="gray125"/>
      </fill>
    </dxf>
    <dxf>
      <font>
        <b/>
        <i val="0"/>
        <condense val="0"/>
        <extend val="0"/>
      </font>
    </dxf>
    <dxf>
      <font>
        <b/>
        <i val="0"/>
        <condense val="0"/>
        <extend val="0"/>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condense val="0"/>
        <extend val="0"/>
        <color auto="1"/>
      </font>
      <fill>
        <patternFill patternType="gray125"/>
      </fill>
    </dxf>
    <dxf>
      <border>
        <left style="hair">
          <color indexed="64"/>
        </left>
        <right style="hair">
          <color indexed="64"/>
        </right>
        <top style="hair">
          <color indexed="64"/>
        </top>
        <bottom style="hair">
          <color indexed="64"/>
        </bottom>
      </border>
    </dxf>
    <dxf>
      <font>
        <b/>
        <i val="0"/>
        <condense val="0"/>
        <extend val="0"/>
      </font>
    </dxf>
    <dxf>
      <font>
        <condense val="0"/>
        <extend val="0"/>
        <color indexed="27"/>
      </font>
    </dxf>
    <dxf>
      <font>
        <condense val="0"/>
        <extend val="0"/>
        <color indexed="9"/>
      </font>
    </dxf>
    <dxf>
      <font>
        <condense val="0"/>
        <extend val="0"/>
        <color auto="1"/>
      </font>
    </dxf>
    <dxf>
      <font>
        <b/>
        <i val="0"/>
        <condense val="0"/>
        <extend val="0"/>
        <color auto="1"/>
      </font>
      <fill>
        <patternFill>
          <bgColor indexed="50"/>
        </patternFill>
      </fill>
    </dxf>
    <dxf>
      <font>
        <b/>
        <i val="0"/>
        <condense val="0"/>
        <extend val="0"/>
      </font>
    </dxf>
    <dxf>
      <font>
        <condense val="0"/>
        <extend val="0"/>
        <color indexed="9"/>
      </font>
    </dxf>
    <dxf>
      <font>
        <condense val="0"/>
        <extend val="0"/>
        <color indexed="9"/>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b/>
        <i val="0"/>
        <condense val="0"/>
        <extend val="0"/>
      </font>
    </dxf>
    <dxf>
      <font>
        <condense val="0"/>
        <extend val="0"/>
        <color indexed="8"/>
      </font>
      <fill>
        <patternFill patternType="gray125"/>
      </fill>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condense val="0"/>
        <extend val="0"/>
        <color auto="1"/>
      </font>
      <fill>
        <patternFill patternType="gray125"/>
      </fill>
    </dxf>
    <dxf>
      <font>
        <condense val="0"/>
        <extend val="0"/>
        <color auto="1"/>
      </font>
      <fill>
        <patternFill patternType="gray125"/>
      </fill>
    </dxf>
    <dxf>
      <font>
        <condense val="0"/>
        <extend val="0"/>
        <color auto="1"/>
      </font>
      <fill>
        <patternFill patternType="gray125"/>
      </fill>
    </dxf>
    <dxf>
      <font>
        <condense val="0"/>
        <extend val="0"/>
        <color auto="1"/>
      </font>
      <fill>
        <patternFill patternType="gray125"/>
      </fill>
    </dxf>
    <dxf>
      <font>
        <b/>
        <i val="0"/>
        <condense val="0"/>
        <extend val="0"/>
      </font>
    </dxf>
    <dxf>
      <font>
        <b/>
        <i val="0"/>
        <condense val="0"/>
        <extend val="0"/>
        <color auto="1"/>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9"/>
      </font>
    </dxf>
    <dxf>
      <font>
        <condense val="0"/>
        <extend val="0"/>
        <color indexed="10"/>
      </font>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Data Entry'!K52"/></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77015" name="Rectangle 18">
          <a:extLst>
            <a:ext uri="{FF2B5EF4-FFF2-40B4-BE49-F238E27FC236}">
              <a16:creationId xmlns:a16="http://schemas.microsoft.com/office/drawing/2014/main" id="{420B738E-5F72-4842-A1F5-E64EAA1106E9}"/>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CED041A8-E3B6-4294-883E-B37CA528E1BF}"/>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328D3061-8957-4810-96CC-CFE35AF45983}"/>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F2A5D0D1-8974-40DA-8C18-A409B0E788CF}"/>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15422" name="AutoShape 4">
          <a:extLst>
            <a:ext uri="{FF2B5EF4-FFF2-40B4-BE49-F238E27FC236}">
              <a16:creationId xmlns:a16="http://schemas.microsoft.com/office/drawing/2014/main" id="{3109783D-D400-4752-A0BD-9FA0FE3DD74A}"/>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E3049136-4A5B-4045-A903-1BABBDF6763D}"/>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D3D4867D-97A7-4B74-B4A2-46AFC9DA6A43}"/>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A620F36A-CB15-4ED2-AA92-3684E16640B0}"/>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D4CFDDE8-B29D-40BC-B438-7973A3F0D140}"/>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72AE5A3C-0363-447C-BCE3-1148664130CD}"/>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AD4970AC-085D-4A34-A54B-ABE4FD2C1B71}"/>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D1D7C1F0-0094-4784-A8D9-A2BCA5340A05}"/>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39A1466B-8979-4550-A84E-6A8B5CA0A172}"/>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8E208D29-A540-468B-BFF6-F9E4C51B77CD}"/>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95557379-615C-4191-853F-7F797BE2EFF3}"/>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6E142AC2-0C41-4B1D-A668-2EA7870C6B06}"/>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FB55528D-D350-4D96-B96C-16A436B54AAD}"/>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1E8C9054-C2C7-423E-A690-43EE386E10E1}"/>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E78D8F86-9E5F-4552-A9FB-83ADFE6712CE}"/>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1C2579AD-28F0-44C5-AC7F-5948E8A2A4F4}"/>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B4BD306B-9D70-4D15-AE59-620089A7CDD0}"/>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79E19E79-A969-4201-AEC0-D43C486B7669}"/>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B058BD98-3D11-45B7-960D-B1758029EF54}"/>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A47A6ED7-BBBE-488A-85A0-F071C4E5DA97}"/>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84F58E07-BC04-45D1-9A7D-DE8CB8345CD3}"/>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3A7DD95D-8F81-4FD6-AB4F-262E159A56C1}"/>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525662B6-83F0-446F-A012-F91ACBA91431}"/>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BC4442EC-F78C-4350-80AE-7B98D5B3CD1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8A5F5512-3DCE-44F2-B36F-3A01A16ECBE0}"/>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BE17E9B0-0E50-42FD-8C8F-6CA8E9BC363E}"/>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218203A3-3D0F-41A7-BB24-826D36B3CF90}"/>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4B46DD5E-485B-43B8-B1A3-F12BB4EEE483}"/>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36111DD8-3964-4E88-8DF9-49F83842F25A}"/>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908CD6FA-49D7-48A0-B52F-85611DD1FD3C}"/>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C0FDC4FB-7EF0-49DD-BAA4-DF09EE8DC693}"/>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15453" name="AutoShape 66">
          <a:extLst>
            <a:ext uri="{FF2B5EF4-FFF2-40B4-BE49-F238E27FC236}">
              <a16:creationId xmlns:a16="http://schemas.microsoft.com/office/drawing/2014/main" id="{07192027-DF44-4B4D-9C8C-F0CA3A400875}"/>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15454" name="AutoShape 67">
          <a:extLst>
            <a:ext uri="{FF2B5EF4-FFF2-40B4-BE49-F238E27FC236}">
              <a16:creationId xmlns:a16="http://schemas.microsoft.com/office/drawing/2014/main" id="{E76AC039-7013-435E-8F5F-8A53B523E59E}"/>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32867234-61EF-457E-9ADC-080C358CD46D}"/>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F362B63C-8BE2-47D7-9CFB-1C2DCB4A7495}"/>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9307DF21-F168-42AA-9DC9-D0BF8F528FFD}"/>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5BBB26F3-F3DE-44A0-B57B-5047826ADEE4}"/>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AD107729-F11E-4D71-87D0-B7C731B6980E}"/>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4BC27D2A-C96E-423C-813A-83CAA5BAFA5C}"/>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20151D86-5FC0-464A-9349-F732C87CF25F}"/>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0AB0B728-2D98-463C-BC25-58D72D52BEAE}"/>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DEA640FB-170D-4E81-80A4-23F1941EE87E}"/>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93634D2D-0CE6-4F12-835C-AFA78C1FF9D8}"/>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DB283963-87F2-4D57-A0A6-0973C327AEA1}"/>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9D1E4101-3145-411C-8FAB-5B89A02BF182}"/>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7E8215E6-77BA-483A-8B21-91DBE6EFAD71}"/>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D1613E19-BAA2-46EE-A4DC-B9818001140C}"/>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9D94E71E-DBEB-410F-86F9-DE3873772A3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D7390A2D-ABAE-4845-811B-7D14C1FCFCE6}"/>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54" name="Text Box 2">
          <a:extLst>
            <a:ext uri="{FF2B5EF4-FFF2-40B4-BE49-F238E27FC236}">
              <a16:creationId xmlns:a16="http://schemas.microsoft.com/office/drawing/2014/main" id="{564A342C-B180-4C3F-91BA-302610F8C322}"/>
            </a:ext>
          </a:extLst>
        </xdr:cNvPr>
        <xdr:cNvSpPr txBox="1">
          <a:spLocks noChangeArrowheads="1"/>
        </xdr:cNvSpPr>
      </xdr:nvSpPr>
      <xdr:spPr bwMode="auto">
        <a:xfrm>
          <a:off x="7970520" y="4070985"/>
          <a:ext cx="255155" cy="20383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55" name="Text Box 3">
          <a:extLst>
            <a:ext uri="{FF2B5EF4-FFF2-40B4-BE49-F238E27FC236}">
              <a16:creationId xmlns:a16="http://schemas.microsoft.com/office/drawing/2014/main" id="{6CEE54C2-BA67-4760-B827-5BCE4F90BA0E}"/>
            </a:ext>
          </a:extLst>
        </xdr:cNvPr>
        <xdr:cNvSpPr txBox="1">
          <a:spLocks noChangeArrowheads="1"/>
        </xdr:cNvSpPr>
      </xdr:nvSpPr>
      <xdr:spPr bwMode="auto">
        <a:xfrm>
          <a:off x="7980045" y="4351020"/>
          <a:ext cx="255155" cy="20383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78307AC6-225D-4E0F-B403-6C03321E0D7D}"/>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0599AA58-ECF0-4626-AAA3-21DBE9A3AABE}"/>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1951355</xdr:colOff>
      <xdr:row>0</xdr:row>
      <xdr:rowOff>114300</xdr:rowOff>
    </xdr:from>
    <xdr:to>
      <xdr:col>10</xdr:col>
      <xdr:colOff>315158</xdr:colOff>
      <xdr:row>0</xdr:row>
      <xdr:rowOff>514350</xdr:rowOff>
    </xdr:to>
    <xdr:sp macro="" textlink="">
      <xdr:nvSpPr>
        <xdr:cNvPr id="14436" name="Text Box 65">
          <a:extLst>
            <a:ext uri="{FF2B5EF4-FFF2-40B4-BE49-F238E27FC236}">
              <a16:creationId xmlns:a16="http://schemas.microsoft.com/office/drawing/2014/main" id="{10E0760A-DB8F-4D1C-9089-B75788F80CF7}"/>
            </a:ext>
          </a:extLst>
        </xdr:cNvPr>
        <xdr:cNvSpPr txBox="1">
          <a:spLocks noChangeArrowheads="1"/>
        </xdr:cNvSpPr>
      </xdr:nvSpPr>
      <xdr:spPr bwMode="auto">
        <a:xfrm>
          <a:off x="2816225" y="1143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SPECIAL</a:t>
          </a:r>
          <a:r>
            <a:rPr lang="en-US" sz="1600" b="1" i="0" u="sng" strike="noStrike" cap="none" spc="50" baseline="0">
              <a:ln w="11430"/>
              <a:solidFill>
                <a:srgbClr val="FF0000"/>
              </a:solidFill>
              <a:effectLst>
                <a:outerShdw blurRad="76200" dist="50800" dir="5400000" algn="tl" rotWithShape="0">
                  <a:srgbClr val="000000">
                    <a:alpha val="65000"/>
                  </a:srgbClr>
                </a:outerShdw>
              </a:effectLst>
              <a:latin typeface="Tahoma"/>
              <a:cs typeface="Tahoma"/>
            </a:rPr>
            <a:t> </a:t>
          </a: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TAKAFUL QUOTATION </a:t>
          </a:r>
        </a:p>
      </xdr:txBody>
    </xdr:sp>
    <xdr:clientData/>
  </xdr:twoCellAnchor>
  <xdr:twoCellAnchor>
    <xdr:from>
      <xdr:col>3</xdr:col>
      <xdr:colOff>104775</xdr:colOff>
      <xdr:row>69</xdr:row>
      <xdr:rowOff>38100</xdr:rowOff>
    </xdr:from>
    <xdr:to>
      <xdr:col>5</xdr:col>
      <xdr:colOff>831885</xdr:colOff>
      <xdr:row>71</xdr:row>
      <xdr:rowOff>32582</xdr:rowOff>
    </xdr:to>
    <xdr:sp macro="" textlink="">
      <xdr:nvSpPr>
        <xdr:cNvPr id="2114" name="Text Box 66">
          <a:extLst>
            <a:ext uri="{FF2B5EF4-FFF2-40B4-BE49-F238E27FC236}">
              <a16:creationId xmlns:a16="http://schemas.microsoft.com/office/drawing/2014/main" id="{3BB3906A-AA23-420F-BB84-7BF3EDA64C99}"/>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47F69D52-1319-4571-B62C-009DE9255D11}"/>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7DDC4D7F-57CE-43A0-A0CB-AE8118CA8C92}"/>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69</xdr:row>
      <xdr:rowOff>63500</xdr:rowOff>
    </xdr:from>
    <xdr:to>
      <xdr:col>12</xdr:col>
      <xdr:colOff>695697</xdr:colOff>
      <xdr:row>71</xdr:row>
      <xdr:rowOff>108771</xdr:rowOff>
    </xdr:to>
    <xdr:sp macro="" textlink="">
      <xdr:nvSpPr>
        <xdr:cNvPr id="2517" name="Text Box 469" descr="Large grid">
          <a:extLst>
            <a:ext uri="{FF2B5EF4-FFF2-40B4-BE49-F238E27FC236}">
              <a16:creationId xmlns:a16="http://schemas.microsoft.com/office/drawing/2014/main" id="{5E6B6685-0390-4B97-8041-164C62A130C3}"/>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66</xdr:row>
      <xdr:rowOff>116205</xdr:rowOff>
    </xdr:from>
    <xdr:to>
      <xdr:col>5</xdr:col>
      <xdr:colOff>2301663</xdr:colOff>
      <xdr:row>69</xdr:row>
      <xdr:rowOff>109262</xdr:rowOff>
    </xdr:to>
    <xdr:sp macro="" textlink="">
      <xdr:nvSpPr>
        <xdr:cNvPr id="14442" name="Text Box 522">
          <a:extLst>
            <a:ext uri="{FF2B5EF4-FFF2-40B4-BE49-F238E27FC236}">
              <a16:creationId xmlns:a16="http://schemas.microsoft.com/office/drawing/2014/main" id="{C120C869-46F5-4989-A157-E6EE49E98C90}"/>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565118</xdr:colOff>
      <xdr:row>0</xdr:row>
      <xdr:rowOff>295275</xdr:rowOff>
    </xdr:to>
    <xdr:sp macro="" textlink="">
      <xdr:nvSpPr>
        <xdr:cNvPr id="2660" name="Text Box 612">
          <a:extLst>
            <a:ext uri="{FF2B5EF4-FFF2-40B4-BE49-F238E27FC236}">
              <a16:creationId xmlns:a16="http://schemas.microsoft.com/office/drawing/2014/main" id="{668B6141-8E84-42B4-A27B-68CCADA6A227}"/>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Enter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E21AF45D-4A27-43B8-840F-EB1A6A8E4B15}"/>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EC462C9F-81BF-4703-AD9D-6D4B8D5E7F08}"/>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twoCellAnchor>
    <xdr:from>
      <xdr:col>13</xdr:col>
      <xdr:colOff>0</xdr:colOff>
      <xdr:row>24</xdr:row>
      <xdr:rowOff>44450</xdr:rowOff>
    </xdr:from>
    <xdr:to>
      <xdr:col>17</xdr:col>
      <xdr:colOff>381000</xdr:colOff>
      <xdr:row>40</xdr:row>
      <xdr:rowOff>44450</xdr:rowOff>
    </xdr:to>
    <xdr:pic>
      <xdr:nvPicPr>
        <xdr:cNvPr id="105349" name="Picture 6">
          <a:extLst>
            <a:ext uri="{FF2B5EF4-FFF2-40B4-BE49-F238E27FC236}">
              <a16:creationId xmlns:a16="http://schemas.microsoft.com/office/drawing/2014/main" id="{9A4934DF-A25A-4368-9F09-0FEFE7D79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5150" y="5365750"/>
          <a:ext cx="3232150" cy="218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2382</xdr:colOff>
      <xdr:row>54</xdr:row>
      <xdr:rowOff>192088</xdr:rowOff>
    </xdr:from>
    <xdr:to>
      <xdr:col>19</xdr:col>
      <xdr:colOff>64792</xdr:colOff>
      <xdr:row>55</xdr:row>
      <xdr:rowOff>227710</xdr:rowOff>
    </xdr:to>
    <xdr:sp macro="" textlink="">
      <xdr:nvSpPr>
        <xdr:cNvPr id="9217" name="Text Box 1">
          <a:extLst>
            <a:ext uri="{FF2B5EF4-FFF2-40B4-BE49-F238E27FC236}">
              <a16:creationId xmlns:a16="http://schemas.microsoft.com/office/drawing/2014/main" id="{BD7C0B42-C718-4615-92B0-A6F9CC97D958}"/>
            </a:ext>
          </a:extLst>
        </xdr:cNvPr>
        <xdr:cNvSpPr txBox="1">
          <a:spLocks noChangeArrowheads="1"/>
        </xdr:cNvSpPr>
      </xdr:nvSpPr>
      <xdr:spPr bwMode="auto">
        <a:xfrm>
          <a:off x="5062538" y="12300744"/>
          <a:ext cx="3557587" cy="297560"/>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386080</xdr:colOff>
      <xdr:row>7</xdr:row>
      <xdr:rowOff>63500</xdr:rowOff>
    </xdr:from>
    <xdr:to>
      <xdr:col>14</xdr:col>
      <xdr:colOff>498915</xdr:colOff>
      <xdr:row>8</xdr:row>
      <xdr:rowOff>10</xdr:rowOff>
    </xdr:to>
    <xdr:sp macro="" textlink="">
      <xdr:nvSpPr>
        <xdr:cNvPr id="9243" name="Text Box 27">
          <a:extLst>
            <a:ext uri="{FF2B5EF4-FFF2-40B4-BE49-F238E27FC236}">
              <a16:creationId xmlns:a16="http://schemas.microsoft.com/office/drawing/2014/main" id="{44BCB49D-A09D-4F2E-BD4C-399E0AAC16E4}"/>
            </a:ext>
          </a:extLst>
        </xdr:cNvPr>
        <xdr:cNvSpPr txBox="1">
          <a:spLocks noChangeArrowheads="1"/>
        </xdr:cNvSpPr>
      </xdr:nvSpPr>
      <xdr:spPr bwMode="auto">
        <a:xfrm>
          <a:off x="5772150" y="191452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386080</xdr:colOff>
      <xdr:row>9</xdr:row>
      <xdr:rowOff>34925</xdr:rowOff>
    </xdr:from>
    <xdr:to>
      <xdr:col>14</xdr:col>
      <xdr:colOff>503219</xdr:colOff>
      <xdr:row>10</xdr:row>
      <xdr:rowOff>15133</xdr:rowOff>
    </xdr:to>
    <xdr:sp macro="" textlink="">
      <xdr:nvSpPr>
        <xdr:cNvPr id="9244" name="Text Box 28">
          <a:extLst>
            <a:ext uri="{FF2B5EF4-FFF2-40B4-BE49-F238E27FC236}">
              <a16:creationId xmlns:a16="http://schemas.microsoft.com/office/drawing/2014/main" id="{2D864005-01E0-433D-97B8-DA232135EC00}"/>
            </a:ext>
          </a:extLst>
        </xdr:cNvPr>
        <xdr:cNvSpPr txBox="1">
          <a:spLocks noChangeArrowheads="1"/>
        </xdr:cNvSpPr>
      </xdr:nvSpPr>
      <xdr:spPr bwMode="auto">
        <a:xfrm>
          <a:off x="5772150" y="2124075"/>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386080</xdr:colOff>
      <xdr:row>10</xdr:row>
      <xdr:rowOff>66675</xdr:rowOff>
    </xdr:from>
    <xdr:to>
      <xdr:col>14</xdr:col>
      <xdr:colOff>498622</xdr:colOff>
      <xdr:row>11</xdr:row>
      <xdr:rowOff>28157</xdr:rowOff>
    </xdr:to>
    <xdr:sp macro="" textlink="">
      <xdr:nvSpPr>
        <xdr:cNvPr id="9245" name="Text Box 29">
          <a:extLst>
            <a:ext uri="{FF2B5EF4-FFF2-40B4-BE49-F238E27FC236}">
              <a16:creationId xmlns:a16="http://schemas.microsoft.com/office/drawing/2014/main" id="{316C5299-AB41-4239-BF95-9299E8E04368}"/>
            </a:ext>
          </a:extLst>
        </xdr:cNvPr>
        <xdr:cNvSpPr txBox="1">
          <a:spLocks noChangeArrowheads="1"/>
        </xdr:cNvSpPr>
      </xdr:nvSpPr>
      <xdr:spPr bwMode="auto">
        <a:xfrm>
          <a:off x="5772150" y="2390775"/>
          <a:ext cx="114300" cy="1714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386080</xdr:colOff>
      <xdr:row>11</xdr:row>
      <xdr:rowOff>36195</xdr:rowOff>
    </xdr:from>
    <xdr:to>
      <xdr:col>14</xdr:col>
      <xdr:colOff>500380</xdr:colOff>
      <xdr:row>11</xdr:row>
      <xdr:rowOff>223633</xdr:rowOff>
    </xdr:to>
    <xdr:sp macro="" textlink="">
      <xdr:nvSpPr>
        <xdr:cNvPr id="9246" name="Text Box 30">
          <a:extLst>
            <a:ext uri="{FF2B5EF4-FFF2-40B4-BE49-F238E27FC236}">
              <a16:creationId xmlns:a16="http://schemas.microsoft.com/office/drawing/2014/main" id="{0882F2EE-0202-4D70-BBCB-FDDECF46EC7F}"/>
            </a:ext>
          </a:extLst>
        </xdr:cNvPr>
        <xdr:cNvSpPr txBox="1">
          <a:spLocks noChangeArrowheads="1"/>
        </xdr:cNvSpPr>
      </xdr:nvSpPr>
      <xdr:spPr bwMode="auto">
        <a:xfrm>
          <a:off x="5772150" y="25812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4908550</xdr:colOff>
      <xdr:row>6</xdr:row>
      <xdr:rowOff>0</xdr:rowOff>
    </xdr:from>
    <xdr:to>
      <xdr:col>24</xdr:col>
      <xdr:colOff>133350</xdr:colOff>
      <xdr:row>6</xdr:row>
      <xdr:rowOff>196850</xdr:rowOff>
    </xdr:to>
    <xdr:sp macro="" textlink="">
      <xdr:nvSpPr>
        <xdr:cNvPr id="116131" name="Text Box 35">
          <a:extLst>
            <a:ext uri="{FF2B5EF4-FFF2-40B4-BE49-F238E27FC236}">
              <a16:creationId xmlns:a16="http://schemas.microsoft.com/office/drawing/2014/main" id="{6F8DBB2B-9285-43D9-86F7-AB802430FC45}"/>
            </a:ext>
          </a:extLst>
        </xdr:cNvPr>
        <xdr:cNvSpPr txBox="1">
          <a:spLocks noChangeArrowheads="1"/>
        </xdr:cNvSpPr>
      </xdr:nvSpPr>
      <xdr:spPr bwMode="auto">
        <a:xfrm>
          <a:off x="9925050" y="165100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14</xdr:col>
      <xdr:colOff>386080</xdr:colOff>
      <xdr:row>12</xdr:row>
      <xdr:rowOff>38100</xdr:rowOff>
    </xdr:from>
    <xdr:to>
      <xdr:col>14</xdr:col>
      <xdr:colOff>500380</xdr:colOff>
      <xdr:row>12</xdr:row>
      <xdr:rowOff>219075</xdr:rowOff>
    </xdr:to>
    <xdr:sp macro="" textlink="">
      <xdr:nvSpPr>
        <xdr:cNvPr id="9255" name="Text Box 39">
          <a:extLst>
            <a:ext uri="{FF2B5EF4-FFF2-40B4-BE49-F238E27FC236}">
              <a16:creationId xmlns:a16="http://schemas.microsoft.com/office/drawing/2014/main" id="{FB9C0EF4-9741-4736-9742-006F2303B448}"/>
            </a:ext>
          </a:extLst>
        </xdr:cNvPr>
        <xdr:cNvSpPr txBox="1">
          <a:spLocks noChangeArrowheads="1"/>
        </xdr:cNvSpPr>
      </xdr:nvSpPr>
      <xdr:spPr bwMode="auto">
        <a:xfrm>
          <a:off x="5772150" y="281940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33" name="Rectangle 42">
          <a:extLst>
            <a:ext uri="{FF2B5EF4-FFF2-40B4-BE49-F238E27FC236}">
              <a16:creationId xmlns:a16="http://schemas.microsoft.com/office/drawing/2014/main" id="{9163665F-2DE9-46C5-BEA8-7B7797780D15}"/>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5</xdr:col>
      <xdr:colOff>127635</xdr:colOff>
      <xdr:row>7</xdr:row>
      <xdr:rowOff>177800</xdr:rowOff>
    </xdr:from>
    <xdr:to>
      <xdr:col>5</xdr:col>
      <xdr:colOff>241935</xdr:colOff>
      <xdr:row>7</xdr:row>
      <xdr:rowOff>231558</xdr:rowOff>
    </xdr:to>
    <xdr:sp macro="" textlink="">
      <xdr:nvSpPr>
        <xdr:cNvPr id="9260" name="Text Box 44">
          <a:extLst>
            <a:ext uri="{FF2B5EF4-FFF2-40B4-BE49-F238E27FC236}">
              <a16:creationId xmlns:a16="http://schemas.microsoft.com/office/drawing/2014/main" id="{105A9440-F571-4D38-BE98-A05B74E6376E}"/>
            </a:ext>
          </a:extLst>
        </xdr:cNvPr>
        <xdr:cNvSpPr txBox="1">
          <a:spLocks noChangeArrowheads="1"/>
        </xdr:cNvSpPr>
      </xdr:nvSpPr>
      <xdr:spPr bwMode="auto">
        <a:xfrm>
          <a:off x="1743075"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7</xdr:row>
      <xdr:rowOff>177800</xdr:rowOff>
    </xdr:from>
    <xdr:to>
      <xdr:col>5</xdr:col>
      <xdr:colOff>241935</xdr:colOff>
      <xdr:row>7</xdr:row>
      <xdr:rowOff>231558</xdr:rowOff>
    </xdr:to>
    <xdr:sp macro="" textlink="">
      <xdr:nvSpPr>
        <xdr:cNvPr id="9264" name="Text Box 48">
          <a:extLst>
            <a:ext uri="{FF2B5EF4-FFF2-40B4-BE49-F238E27FC236}">
              <a16:creationId xmlns:a16="http://schemas.microsoft.com/office/drawing/2014/main" id="{961A2857-33ED-4188-A56B-0420A045D069}"/>
            </a:ext>
          </a:extLst>
        </xdr:cNvPr>
        <xdr:cNvSpPr txBox="1">
          <a:spLocks noChangeArrowheads="1"/>
        </xdr:cNvSpPr>
      </xdr:nvSpPr>
      <xdr:spPr bwMode="auto">
        <a:xfrm>
          <a:off x="1743075"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7</xdr:row>
      <xdr:rowOff>177800</xdr:rowOff>
    </xdr:from>
    <xdr:to>
      <xdr:col>5</xdr:col>
      <xdr:colOff>241935</xdr:colOff>
      <xdr:row>7</xdr:row>
      <xdr:rowOff>231558</xdr:rowOff>
    </xdr:to>
    <xdr:sp macro="" textlink="">
      <xdr:nvSpPr>
        <xdr:cNvPr id="9274" name="Text Box 58">
          <a:extLst>
            <a:ext uri="{FF2B5EF4-FFF2-40B4-BE49-F238E27FC236}">
              <a16:creationId xmlns:a16="http://schemas.microsoft.com/office/drawing/2014/main" id="{6BF6EF4D-6941-4DDE-8760-3AD9B34A10B4}"/>
            </a:ext>
          </a:extLst>
        </xdr:cNvPr>
        <xdr:cNvSpPr txBox="1">
          <a:spLocks noChangeArrowheads="1"/>
        </xdr:cNvSpPr>
      </xdr:nvSpPr>
      <xdr:spPr bwMode="auto">
        <a:xfrm>
          <a:off x="1743075"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7</xdr:row>
      <xdr:rowOff>108744</xdr:rowOff>
    </xdr:from>
    <xdr:to>
      <xdr:col>20</xdr:col>
      <xdr:colOff>0</xdr:colOff>
      <xdr:row>12</xdr:row>
      <xdr:rowOff>119137</xdr:rowOff>
    </xdr:to>
    <xdr:sp macro="" textlink="">
      <xdr:nvSpPr>
        <xdr:cNvPr id="9282" name="AutoShape 66">
          <a:hlinkClick xmlns:r="http://schemas.openxmlformats.org/officeDocument/2006/relationships" r:id="rId1"/>
          <a:extLst>
            <a:ext uri="{FF2B5EF4-FFF2-40B4-BE49-F238E27FC236}">
              <a16:creationId xmlns:a16="http://schemas.microsoft.com/office/drawing/2014/main" id="{A5C8F22E-C980-46B6-91DE-83A72BA4F0AC}"/>
            </a:ext>
          </a:extLst>
        </xdr:cNvPr>
        <xdr:cNvSpPr>
          <a:spLocks noChangeArrowheads="1"/>
        </xdr:cNvSpPr>
      </xdr:nvSpPr>
      <xdr:spPr bwMode="auto">
        <a:xfrm>
          <a:off x="11287125" y="1974057"/>
          <a:ext cx="2200275" cy="1157287"/>
        </a:xfrm>
        <a:prstGeom prst="leftArrow">
          <a:avLst>
            <a:gd name="adj1" fmla="val 50000"/>
            <a:gd name="adj2" fmla="val 58333"/>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8</xdr:col>
      <xdr:colOff>0</xdr:colOff>
      <xdr:row>38</xdr:row>
      <xdr:rowOff>8732</xdr:rowOff>
    </xdr:from>
    <xdr:to>
      <xdr:col>8</xdr:col>
      <xdr:colOff>316758</xdr:colOff>
      <xdr:row>39</xdr:row>
      <xdr:rowOff>27703</xdr:rowOff>
    </xdr:to>
    <xdr:sp macro="" textlink="">
      <xdr:nvSpPr>
        <xdr:cNvPr id="9299" name="Text Box 83">
          <a:extLst>
            <a:ext uri="{FF2B5EF4-FFF2-40B4-BE49-F238E27FC236}">
              <a16:creationId xmlns:a16="http://schemas.microsoft.com/office/drawing/2014/main" id="{E530842C-CAEE-49BA-936F-B08F637739AD}"/>
            </a:ext>
          </a:extLst>
        </xdr:cNvPr>
        <xdr:cNvSpPr txBox="1">
          <a:spLocks noChangeArrowheads="1"/>
        </xdr:cNvSpPr>
      </xdr:nvSpPr>
      <xdr:spPr bwMode="auto">
        <a:xfrm>
          <a:off x="2922494" y="8283156"/>
          <a:ext cx="318397" cy="2422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35</xdr:row>
      <xdr:rowOff>69850</xdr:rowOff>
    </xdr:from>
    <xdr:to>
      <xdr:col>17</xdr:col>
      <xdr:colOff>312910</xdr:colOff>
      <xdr:row>35</xdr:row>
      <xdr:rowOff>230697</xdr:rowOff>
    </xdr:to>
    <xdr:sp macro="" textlink="">
      <xdr:nvSpPr>
        <xdr:cNvPr id="9300" name="Text Box 84">
          <a:extLst>
            <a:ext uri="{FF2B5EF4-FFF2-40B4-BE49-F238E27FC236}">
              <a16:creationId xmlns:a16="http://schemas.microsoft.com/office/drawing/2014/main" id="{71150379-E398-46A7-A969-F6FF3BF03ECC}"/>
            </a:ext>
          </a:extLst>
        </xdr:cNvPr>
        <xdr:cNvSpPr txBox="1">
          <a:spLocks noChangeArrowheads="1"/>
        </xdr:cNvSpPr>
      </xdr:nvSpPr>
      <xdr:spPr bwMode="auto">
        <a:xfrm>
          <a:off x="6591300" y="7477125"/>
          <a:ext cx="2952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chemeClr val="bg1"/>
              </a:solidFill>
              <a:latin typeface="Tahoma"/>
              <a:cs typeface="Tahoma"/>
            </a:rPr>
            <a:t>Rs.</a:t>
          </a:r>
        </a:p>
      </xdr:txBody>
    </xdr:sp>
    <xdr:clientData/>
  </xdr:twoCellAnchor>
  <xdr:twoCellAnchor>
    <xdr:from>
      <xdr:col>8</xdr:col>
      <xdr:colOff>0</xdr:colOff>
      <xdr:row>34</xdr:row>
      <xdr:rowOff>34925</xdr:rowOff>
    </xdr:from>
    <xdr:to>
      <xdr:col>8</xdr:col>
      <xdr:colOff>316758</xdr:colOff>
      <xdr:row>34</xdr:row>
      <xdr:rowOff>200536</xdr:rowOff>
    </xdr:to>
    <xdr:sp macro="" textlink="">
      <xdr:nvSpPr>
        <xdr:cNvPr id="9301" name="Text Box 85">
          <a:extLst>
            <a:ext uri="{FF2B5EF4-FFF2-40B4-BE49-F238E27FC236}">
              <a16:creationId xmlns:a16="http://schemas.microsoft.com/office/drawing/2014/main" id="{A0B9F2A7-F37C-41AD-BE98-2FEE3617CF58}"/>
            </a:ext>
          </a:extLst>
        </xdr:cNvPr>
        <xdr:cNvSpPr txBox="1">
          <a:spLocks noChangeArrowheads="1"/>
        </xdr:cNvSpPr>
      </xdr:nvSpPr>
      <xdr:spPr bwMode="auto">
        <a:xfrm>
          <a:off x="2914650" y="7197725"/>
          <a:ext cx="310816"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31</xdr:row>
      <xdr:rowOff>67945</xdr:rowOff>
    </xdr:from>
    <xdr:to>
      <xdr:col>17</xdr:col>
      <xdr:colOff>312910</xdr:colOff>
      <xdr:row>31</xdr:row>
      <xdr:rowOff>230848</xdr:rowOff>
    </xdr:to>
    <xdr:sp macro="" textlink="">
      <xdr:nvSpPr>
        <xdr:cNvPr id="9302" name="Text Box 86">
          <a:extLst>
            <a:ext uri="{FF2B5EF4-FFF2-40B4-BE49-F238E27FC236}">
              <a16:creationId xmlns:a16="http://schemas.microsoft.com/office/drawing/2014/main" id="{F66CB603-83F2-4596-B1D8-A54F6B01FE09}"/>
            </a:ext>
          </a:extLst>
        </xdr:cNvPr>
        <xdr:cNvSpPr txBox="1">
          <a:spLocks noChangeArrowheads="1"/>
        </xdr:cNvSpPr>
      </xdr:nvSpPr>
      <xdr:spPr bwMode="auto">
        <a:xfrm>
          <a:off x="6591300" y="6762750"/>
          <a:ext cx="2952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37</xdr:row>
      <xdr:rowOff>36830</xdr:rowOff>
    </xdr:from>
    <xdr:to>
      <xdr:col>17</xdr:col>
      <xdr:colOff>312910</xdr:colOff>
      <xdr:row>37</xdr:row>
      <xdr:rowOff>225673</xdr:rowOff>
    </xdr:to>
    <xdr:sp macro="" textlink="">
      <xdr:nvSpPr>
        <xdr:cNvPr id="9303" name="Text Box 87">
          <a:extLst>
            <a:ext uri="{FF2B5EF4-FFF2-40B4-BE49-F238E27FC236}">
              <a16:creationId xmlns:a16="http://schemas.microsoft.com/office/drawing/2014/main" id="{086A9432-DC16-499B-84BF-8EBF3F757803}"/>
            </a:ext>
          </a:extLst>
        </xdr:cNvPr>
        <xdr:cNvSpPr txBox="1">
          <a:spLocks noChangeArrowheads="1"/>
        </xdr:cNvSpPr>
      </xdr:nvSpPr>
      <xdr:spPr bwMode="auto">
        <a:xfrm>
          <a:off x="6591300" y="6981825"/>
          <a:ext cx="295275" cy="1809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8</xdr:col>
      <xdr:colOff>0</xdr:colOff>
      <xdr:row>33</xdr:row>
      <xdr:rowOff>29845</xdr:rowOff>
    </xdr:from>
    <xdr:to>
      <xdr:col>8</xdr:col>
      <xdr:colOff>316758</xdr:colOff>
      <xdr:row>33</xdr:row>
      <xdr:rowOff>179581</xdr:rowOff>
    </xdr:to>
    <xdr:sp macro="" textlink="">
      <xdr:nvSpPr>
        <xdr:cNvPr id="9304" name="Text Box 88">
          <a:extLst>
            <a:ext uri="{FF2B5EF4-FFF2-40B4-BE49-F238E27FC236}">
              <a16:creationId xmlns:a16="http://schemas.microsoft.com/office/drawing/2014/main" id="{4E3572DE-103E-40FF-A3B6-5CC3ABA70F30}"/>
            </a:ext>
          </a:extLst>
        </xdr:cNvPr>
        <xdr:cNvSpPr txBox="1">
          <a:spLocks noChangeArrowheads="1"/>
        </xdr:cNvSpPr>
      </xdr:nvSpPr>
      <xdr:spPr bwMode="auto">
        <a:xfrm>
          <a:off x="2914650" y="6938645"/>
          <a:ext cx="310816" cy="16399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32</xdr:row>
      <xdr:rowOff>40005</xdr:rowOff>
    </xdr:from>
    <xdr:to>
      <xdr:col>17</xdr:col>
      <xdr:colOff>312910</xdr:colOff>
      <xdr:row>32</xdr:row>
      <xdr:rowOff>228848</xdr:rowOff>
    </xdr:to>
    <xdr:sp macro="" textlink="">
      <xdr:nvSpPr>
        <xdr:cNvPr id="9305" name="Text Box 89">
          <a:extLst>
            <a:ext uri="{FF2B5EF4-FFF2-40B4-BE49-F238E27FC236}">
              <a16:creationId xmlns:a16="http://schemas.microsoft.com/office/drawing/2014/main" id="{C6F2D9B4-AE53-4750-9AE6-EB7AFA5845EC}"/>
            </a:ext>
          </a:extLst>
        </xdr:cNvPr>
        <xdr:cNvSpPr txBox="1">
          <a:spLocks noChangeArrowheads="1"/>
        </xdr:cNvSpPr>
      </xdr:nvSpPr>
      <xdr:spPr bwMode="auto">
        <a:xfrm>
          <a:off x="6591300" y="6029325"/>
          <a:ext cx="295275" cy="1809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95250</xdr:colOff>
      <xdr:row>81</xdr:row>
      <xdr:rowOff>0</xdr:rowOff>
    </xdr:from>
    <xdr:to>
      <xdr:col>17</xdr:col>
      <xdr:colOff>95250</xdr:colOff>
      <xdr:row>84</xdr:row>
      <xdr:rowOff>0</xdr:rowOff>
    </xdr:to>
    <xdr:sp macro="" textlink="">
      <xdr:nvSpPr>
        <xdr:cNvPr id="116145" name="Line 100">
          <a:extLst>
            <a:ext uri="{FF2B5EF4-FFF2-40B4-BE49-F238E27FC236}">
              <a16:creationId xmlns:a16="http://schemas.microsoft.com/office/drawing/2014/main" id="{5AAF0D5A-DF51-4EAB-886B-BA62E51CF630}"/>
            </a:ext>
          </a:extLst>
        </xdr:cNvPr>
        <xdr:cNvSpPr>
          <a:spLocks noChangeShapeType="1"/>
        </xdr:cNvSpPr>
      </xdr:nvSpPr>
      <xdr:spPr bwMode="auto">
        <a:xfrm>
          <a:off x="7124700" y="126174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386080</xdr:colOff>
      <xdr:row>6</xdr:row>
      <xdr:rowOff>47625</xdr:rowOff>
    </xdr:from>
    <xdr:to>
      <xdr:col>14</xdr:col>
      <xdr:colOff>498622</xdr:colOff>
      <xdr:row>7</xdr:row>
      <xdr:rowOff>0</xdr:rowOff>
    </xdr:to>
    <xdr:sp macro="" textlink="">
      <xdr:nvSpPr>
        <xdr:cNvPr id="9318" name="Text Box 102">
          <a:extLst>
            <a:ext uri="{FF2B5EF4-FFF2-40B4-BE49-F238E27FC236}">
              <a16:creationId xmlns:a16="http://schemas.microsoft.com/office/drawing/2014/main" id="{56471DE1-3FA0-401D-8F6D-A2643CACBA00}"/>
            </a:ext>
          </a:extLst>
        </xdr:cNvPr>
        <xdr:cNvSpPr txBox="1">
          <a:spLocks noChangeArrowheads="1"/>
        </xdr:cNvSpPr>
      </xdr:nvSpPr>
      <xdr:spPr bwMode="auto">
        <a:xfrm>
          <a:off x="5772150" y="168592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8</xdr:col>
      <xdr:colOff>835177</xdr:colOff>
      <xdr:row>1</xdr:row>
      <xdr:rowOff>421004</xdr:rowOff>
    </xdr:from>
    <xdr:to>
      <xdr:col>14</xdr:col>
      <xdr:colOff>78214</xdr:colOff>
      <xdr:row>3</xdr:row>
      <xdr:rowOff>146094</xdr:rowOff>
    </xdr:to>
    <xdr:sp macro="" textlink="">
      <xdr:nvSpPr>
        <xdr:cNvPr id="9327" name="WordArt 111">
          <a:extLst>
            <a:ext uri="{FF2B5EF4-FFF2-40B4-BE49-F238E27FC236}">
              <a16:creationId xmlns:a16="http://schemas.microsoft.com/office/drawing/2014/main" id="{265F6533-757C-40DC-8804-F497234829B5}"/>
            </a:ext>
          </a:extLst>
        </xdr:cNvPr>
        <xdr:cNvSpPr>
          <a:spLocks noChangeArrowheads="1" noChangeShapeType="1" noTextEdit="1"/>
        </xdr:cNvSpPr>
      </xdr:nvSpPr>
      <xdr:spPr bwMode="auto">
        <a:xfrm>
          <a:off x="3505193" y="1000124"/>
          <a:ext cx="1971683" cy="297657"/>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QUOTATIODN</a:t>
          </a:r>
        </a:p>
      </xdr:txBody>
    </xdr:sp>
    <xdr:clientData/>
  </xdr:twoCellAnchor>
  <xdr:twoCellAnchor editAs="absolute">
    <xdr:from>
      <xdr:col>16</xdr:col>
      <xdr:colOff>210979</xdr:colOff>
      <xdr:row>12</xdr:row>
      <xdr:rowOff>66675</xdr:rowOff>
    </xdr:from>
    <xdr:to>
      <xdr:col>17</xdr:col>
      <xdr:colOff>1077613</xdr:colOff>
      <xdr:row>14</xdr:row>
      <xdr:rowOff>0</xdr:rowOff>
    </xdr:to>
    <xdr:sp macro="" textlink="">
      <xdr:nvSpPr>
        <xdr:cNvPr id="9330" name="Text Box 114">
          <a:extLst>
            <a:ext uri="{FF2B5EF4-FFF2-40B4-BE49-F238E27FC236}">
              <a16:creationId xmlns:a16="http://schemas.microsoft.com/office/drawing/2014/main" id="{C7F420B7-46DE-4010-92A4-649DF36A0164}"/>
            </a:ext>
          </a:extLst>
        </xdr:cNvPr>
        <xdr:cNvSpPr txBox="1">
          <a:spLocks noChangeArrowheads="1"/>
        </xdr:cNvSpPr>
      </xdr:nvSpPr>
      <xdr:spPr bwMode="auto">
        <a:xfrm>
          <a:off x="6553200" y="3078956"/>
          <a:ext cx="1154906" cy="230982"/>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14</xdr:col>
      <xdr:colOff>387985</xdr:colOff>
      <xdr:row>8</xdr:row>
      <xdr:rowOff>9525</xdr:rowOff>
    </xdr:from>
    <xdr:to>
      <xdr:col>14</xdr:col>
      <xdr:colOff>502285</xdr:colOff>
      <xdr:row>8</xdr:row>
      <xdr:rowOff>190500</xdr:rowOff>
    </xdr:to>
    <xdr:sp macro="" textlink="">
      <xdr:nvSpPr>
        <xdr:cNvPr id="6179" name="Text Box 35">
          <a:extLst>
            <a:ext uri="{FF2B5EF4-FFF2-40B4-BE49-F238E27FC236}">
              <a16:creationId xmlns:a16="http://schemas.microsoft.com/office/drawing/2014/main" id="{1E95338F-E397-428E-B799-CA2B04321A6F}"/>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50" name="Rectangle 53">
          <a:extLst>
            <a:ext uri="{FF2B5EF4-FFF2-40B4-BE49-F238E27FC236}">
              <a16:creationId xmlns:a16="http://schemas.microsoft.com/office/drawing/2014/main" id="{06505B43-6917-4DE8-A2FE-3B52553331D9}"/>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51" name="Rectangle 53">
          <a:extLst>
            <a:ext uri="{FF2B5EF4-FFF2-40B4-BE49-F238E27FC236}">
              <a16:creationId xmlns:a16="http://schemas.microsoft.com/office/drawing/2014/main" id="{DE8653EE-77CF-47B1-9B37-BA3BB4D2AC95}"/>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52" name="Rectangle 53">
          <a:extLst>
            <a:ext uri="{FF2B5EF4-FFF2-40B4-BE49-F238E27FC236}">
              <a16:creationId xmlns:a16="http://schemas.microsoft.com/office/drawing/2014/main" id="{70570901-56D5-44F2-A63F-480F3C015A6E}"/>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53" name="Rectangle 53">
          <a:extLst>
            <a:ext uri="{FF2B5EF4-FFF2-40B4-BE49-F238E27FC236}">
              <a16:creationId xmlns:a16="http://schemas.microsoft.com/office/drawing/2014/main" id="{641BCAC4-14FE-49D4-BEE0-B0DDC232EE94}"/>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12</xdr:col>
      <xdr:colOff>488950</xdr:colOff>
      <xdr:row>61</xdr:row>
      <xdr:rowOff>260350</xdr:rowOff>
    </xdr:from>
    <xdr:to>
      <xdr:col>17</xdr:col>
      <xdr:colOff>793750</xdr:colOff>
      <xdr:row>61</xdr:row>
      <xdr:rowOff>349250</xdr:rowOff>
    </xdr:to>
    <xdr:sp macro="" textlink="">
      <xdr:nvSpPr>
        <xdr:cNvPr id="116154" name="Rectangle 53">
          <a:extLst>
            <a:ext uri="{FF2B5EF4-FFF2-40B4-BE49-F238E27FC236}">
              <a16:creationId xmlns:a16="http://schemas.microsoft.com/office/drawing/2014/main" id="{C903D119-EF43-45A3-85CB-F700EAD9A820}"/>
            </a:ext>
          </a:extLst>
        </xdr:cNvPr>
        <xdr:cNvSpPr>
          <a:spLocks noChangeArrowheads="1"/>
        </xdr:cNvSpPr>
      </xdr:nvSpPr>
      <xdr:spPr bwMode="auto">
        <a:xfrm>
          <a:off x="5257800" y="12617450"/>
          <a:ext cx="2565400" cy="0"/>
        </a:xfrm>
        <a:prstGeom prst="rect">
          <a:avLst/>
        </a:prstGeom>
        <a:solidFill>
          <a:srgbClr val="FFFFFF"/>
        </a:solidFill>
        <a:ln w="9525">
          <a:solidFill>
            <a:srgbClr val="FFFFFF"/>
          </a:solidFill>
          <a:miter lim="800000"/>
          <a:headEnd/>
          <a:tailEnd/>
        </a:ln>
      </xdr:spPr>
    </xdr:sp>
    <xdr:clientData/>
  </xdr:twoCellAnchor>
  <xdr:twoCellAnchor>
    <xdr:from>
      <xdr:col>17</xdr:col>
      <xdr:colOff>0</xdr:colOff>
      <xdr:row>35</xdr:row>
      <xdr:rowOff>35719</xdr:rowOff>
    </xdr:from>
    <xdr:to>
      <xdr:col>17</xdr:col>
      <xdr:colOff>312910</xdr:colOff>
      <xdr:row>35</xdr:row>
      <xdr:rowOff>197533</xdr:rowOff>
    </xdr:to>
    <xdr:sp macro="" textlink="">
      <xdr:nvSpPr>
        <xdr:cNvPr id="58" name="Text Box 84">
          <a:extLst>
            <a:ext uri="{FF2B5EF4-FFF2-40B4-BE49-F238E27FC236}">
              <a16:creationId xmlns:a16="http://schemas.microsoft.com/office/drawing/2014/main" id="{D4DF83BB-1C53-47EE-8F9A-963DD41D9C1B}"/>
            </a:ext>
          </a:extLst>
        </xdr:cNvPr>
        <xdr:cNvSpPr txBox="1">
          <a:spLocks noChangeArrowheads="1"/>
        </xdr:cNvSpPr>
      </xdr:nvSpPr>
      <xdr:spPr bwMode="auto">
        <a:xfrm>
          <a:off x="6584156" y="8405813"/>
          <a:ext cx="295275" cy="1746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34</xdr:row>
      <xdr:rowOff>61595</xdr:rowOff>
    </xdr:from>
    <xdr:to>
      <xdr:col>17</xdr:col>
      <xdr:colOff>312910</xdr:colOff>
      <xdr:row>35</xdr:row>
      <xdr:rowOff>1350</xdr:rowOff>
    </xdr:to>
    <xdr:sp macro="" textlink="">
      <xdr:nvSpPr>
        <xdr:cNvPr id="59" name="Text Box 84">
          <a:extLst>
            <a:ext uri="{FF2B5EF4-FFF2-40B4-BE49-F238E27FC236}">
              <a16:creationId xmlns:a16="http://schemas.microsoft.com/office/drawing/2014/main" id="{E96CFCFA-056E-483C-ABE2-CC55C71FE4E9}"/>
            </a:ext>
          </a:extLst>
        </xdr:cNvPr>
        <xdr:cNvSpPr txBox="1">
          <a:spLocks noChangeArrowheads="1"/>
        </xdr:cNvSpPr>
      </xdr:nvSpPr>
      <xdr:spPr bwMode="auto">
        <a:xfrm>
          <a:off x="6584156" y="7957344"/>
          <a:ext cx="295275" cy="1746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0</xdr:colOff>
      <xdr:row>33</xdr:row>
      <xdr:rowOff>71120</xdr:rowOff>
    </xdr:from>
    <xdr:to>
      <xdr:col>17</xdr:col>
      <xdr:colOff>312910</xdr:colOff>
      <xdr:row>33</xdr:row>
      <xdr:rowOff>229246</xdr:rowOff>
    </xdr:to>
    <xdr:sp macro="" textlink="">
      <xdr:nvSpPr>
        <xdr:cNvPr id="61" name="Text Box 89">
          <a:extLst>
            <a:ext uri="{FF2B5EF4-FFF2-40B4-BE49-F238E27FC236}">
              <a16:creationId xmlns:a16="http://schemas.microsoft.com/office/drawing/2014/main" id="{3D4A6896-51CB-4B4A-B537-425F3ECB3E78}"/>
            </a:ext>
          </a:extLst>
        </xdr:cNvPr>
        <xdr:cNvSpPr txBox="1">
          <a:spLocks noChangeArrowheads="1"/>
        </xdr:cNvSpPr>
      </xdr:nvSpPr>
      <xdr:spPr bwMode="auto">
        <a:xfrm>
          <a:off x="6584156" y="6512719"/>
          <a:ext cx="295275" cy="1809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118454</xdr:colOff>
      <xdr:row>35</xdr:row>
      <xdr:rowOff>65884</xdr:rowOff>
    </xdr:from>
    <xdr:to>
      <xdr:col>17</xdr:col>
      <xdr:colOff>273811</xdr:colOff>
      <xdr:row>35</xdr:row>
      <xdr:rowOff>195085</xdr:rowOff>
    </xdr:to>
    <xdr:sp macro="" textlink="">
      <xdr:nvSpPr>
        <xdr:cNvPr id="6" name="Rectangle 5">
          <a:extLst>
            <a:ext uri="{FF2B5EF4-FFF2-40B4-BE49-F238E27FC236}">
              <a16:creationId xmlns:a16="http://schemas.microsoft.com/office/drawing/2014/main" id="{71F9AACB-6A2E-4CDE-AC47-E258CC67F048}"/>
            </a:ext>
          </a:extLst>
        </xdr:cNvPr>
        <xdr:cNvSpPr/>
      </xdr:nvSpPr>
      <xdr:spPr bwMode="auto">
        <a:xfrm>
          <a:off x="5631048" y="7477128"/>
          <a:ext cx="1322786" cy="142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r>
            <a:rPr lang="en-US" sz="1000"/>
            <a:t>( Rs.1,000 x 4 days  )</a:t>
          </a:r>
        </a:p>
      </xdr:txBody>
    </xdr:sp>
    <xdr:clientData/>
  </xdr:twoCellAnchor>
  <xdr:twoCellAnchor>
    <xdr:from>
      <xdr:col>5</xdr:col>
      <xdr:colOff>127635</xdr:colOff>
      <xdr:row>10</xdr:row>
      <xdr:rowOff>171450</xdr:rowOff>
    </xdr:from>
    <xdr:to>
      <xdr:col>5</xdr:col>
      <xdr:colOff>241935</xdr:colOff>
      <xdr:row>11</xdr:row>
      <xdr:rowOff>851</xdr:rowOff>
    </xdr:to>
    <xdr:sp macro="" textlink="">
      <xdr:nvSpPr>
        <xdr:cNvPr id="62" name="Text Box 44">
          <a:extLst>
            <a:ext uri="{FF2B5EF4-FFF2-40B4-BE49-F238E27FC236}">
              <a16:creationId xmlns:a16="http://schemas.microsoft.com/office/drawing/2014/main" id="{F9C0D02C-9F56-4754-A67C-BFDE82814486}"/>
            </a:ext>
          </a:extLst>
        </xdr:cNvPr>
        <xdr:cNvSpPr txBox="1">
          <a:spLocks noChangeArrowheads="1"/>
        </xdr:cNvSpPr>
      </xdr:nvSpPr>
      <xdr:spPr bwMode="auto">
        <a:xfrm>
          <a:off x="1850231" y="2043113"/>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851</xdr:rowOff>
    </xdr:to>
    <xdr:sp macro="" textlink="">
      <xdr:nvSpPr>
        <xdr:cNvPr id="64" name="Text Box 48">
          <a:extLst>
            <a:ext uri="{FF2B5EF4-FFF2-40B4-BE49-F238E27FC236}">
              <a16:creationId xmlns:a16="http://schemas.microsoft.com/office/drawing/2014/main" id="{EA416899-E196-40F6-8E44-45C2FDD3FC84}"/>
            </a:ext>
          </a:extLst>
        </xdr:cNvPr>
        <xdr:cNvSpPr txBox="1">
          <a:spLocks noChangeArrowheads="1"/>
        </xdr:cNvSpPr>
      </xdr:nvSpPr>
      <xdr:spPr bwMode="auto">
        <a:xfrm>
          <a:off x="1850231" y="2043113"/>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851</xdr:rowOff>
    </xdr:to>
    <xdr:sp macro="" textlink="">
      <xdr:nvSpPr>
        <xdr:cNvPr id="65" name="Text Box 58">
          <a:extLst>
            <a:ext uri="{FF2B5EF4-FFF2-40B4-BE49-F238E27FC236}">
              <a16:creationId xmlns:a16="http://schemas.microsoft.com/office/drawing/2014/main" id="{9D11EC26-6B8F-4031-BDD8-69502647C97C}"/>
            </a:ext>
          </a:extLst>
        </xdr:cNvPr>
        <xdr:cNvSpPr txBox="1">
          <a:spLocks noChangeArrowheads="1"/>
        </xdr:cNvSpPr>
      </xdr:nvSpPr>
      <xdr:spPr bwMode="auto">
        <a:xfrm>
          <a:off x="1850231" y="2043113"/>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0</xdr:colOff>
      <xdr:row>38</xdr:row>
      <xdr:rowOff>47625</xdr:rowOff>
    </xdr:from>
    <xdr:to>
      <xdr:col>17</xdr:col>
      <xdr:colOff>312910</xdr:colOff>
      <xdr:row>38</xdr:row>
      <xdr:rowOff>228600</xdr:rowOff>
    </xdr:to>
    <xdr:sp macro="" textlink="">
      <xdr:nvSpPr>
        <xdr:cNvPr id="66" name="Text Box 89">
          <a:extLst>
            <a:ext uri="{FF2B5EF4-FFF2-40B4-BE49-F238E27FC236}">
              <a16:creationId xmlns:a16="http://schemas.microsoft.com/office/drawing/2014/main" id="{2A014BDF-BD8A-41E4-BE81-A65D7047965E}"/>
            </a:ext>
          </a:extLst>
        </xdr:cNvPr>
        <xdr:cNvSpPr txBox="1">
          <a:spLocks noChangeArrowheads="1"/>
        </xdr:cNvSpPr>
      </xdr:nvSpPr>
      <xdr:spPr bwMode="auto">
        <a:xfrm>
          <a:off x="6691313" y="6988969"/>
          <a:ext cx="295275" cy="1809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56" name="Text Box 48">
          <a:extLst>
            <a:ext uri="{FF2B5EF4-FFF2-40B4-BE49-F238E27FC236}">
              <a16:creationId xmlns:a16="http://schemas.microsoft.com/office/drawing/2014/main" id="{39E9E97F-FC81-49AC-BB29-CE4BB8A87C74}"/>
            </a:ext>
          </a:extLst>
        </xdr:cNvPr>
        <xdr:cNvSpPr txBox="1">
          <a:spLocks noChangeArrowheads="1"/>
        </xdr:cNvSpPr>
      </xdr:nvSpPr>
      <xdr:spPr bwMode="auto">
        <a:xfrm>
          <a:off x="1714500" y="3181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60" name="Text Box 44">
          <a:extLst>
            <a:ext uri="{FF2B5EF4-FFF2-40B4-BE49-F238E27FC236}">
              <a16:creationId xmlns:a16="http://schemas.microsoft.com/office/drawing/2014/main" id="{A9A0357D-8082-48B3-ABA2-63FA037D2AD7}"/>
            </a:ext>
          </a:extLst>
        </xdr:cNvPr>
        <xdr:cNvSpPr txBox="1">
          <a:spLocks noChangeArrowheads="1"/>
        </xdr:cNvSpPr>
      </xdr:nvSpPr>
      <xdr:spPr bwMode="auto">
        <a:xfrm>
          <a:off x="1848326" y="2052638"/>
          <a:ext cx="114300" cy="55108"/>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63" name="Text Box 48">
          <a:extLst>
            <a:ext uri="{FF2B5EF4-FFF2-40B4-BE49-F238E27FC236}">
              <a16:creationId xmlns:a16="http://schemas.microsoft.com/office/drawing/2014/main" id="{DDCCD7B7-ECBA-4E4B-98AE-A5D78A3B486C}"/>
            </a:ext>
          </a:extLst>
        </xdr:cNvPr>
        <xdr:cNvSpPr txBox="1">
          <a:spLocks noChangeArrowheads="1"/>
        </xdr:cNvSpPr>
      </xdr:nvSpPr>
      <xdr:spPr bwMode="auto">
        <a:xfrm>
          <a:off x="1848326" y="2052638"/>
          <a:ext cx="114300" cy="55108"/>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67" name="Text Box 58">
          <a:extLst>
            <a:ext uri="{FF2B5EF4-FFF2-40B4-BE49-F238E27FC236}">
              <a16:creationId xmlns:a16="http://schemas.microsoft.com/office/drawing/2014/main" id="{0E9F3EE5-0199-4E04-95C0-9DF02F66DD55}"/>
            </a:ext>
          </a:extLst>
        </xdr:cNvPr>
        <xdr:cNvSpPr txBox="1">
          <a:spLocks noChangeArrowheads="1"/>
        </xdr:cNvSpPr>
      </xdr:nvSpPr>
      <xdr:spPr bwMode="auto">
        <a:xfrm>
          <a:off x="1848326" y="2052638"/>
          <a:ext cx="114300" cy="55108"/>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68" name="Text Box 48">
          <a:extLst>
            <a:ext uri="{FF2B5EF4-FFF2-40B4-BE49-F238E27FC236}">
              <a16:creationId xmlns:a16="http://schemas.microsoft.com/office/drawing/2014/main" id="{EDBC06DB-B11E-4E45-BFB6-4DAF66D4E3A0}"/>
            </a:ext>
          </a:extLst>
        </xdr:cNvPr>
        <xdr:cNvSpPr txBox="1">
          <a:spLocks noChangeArrowheads="1"/>
        </xdr:cNvSpPr>
      </xdr:nvSpPr>
      <xdr:spPr bwMode="auto">
        <a:xfrm>
          <a:off x="170878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69" name="Text Box 48">
          <a:extLst>
            <a:ext uri="{FF2B5EF4-FFF2-40B4-BE49-F238E27FC236}">
              <a16:creationId xmlns:a16="http://schemas.microsoft.com/office/drawing/2014/main" id="{0E84D6EB-B092-4899-B3CF-5B07E75F6A88}"/>
            </a:ext>
          </a:extLst>
        </xdr:cNvPr>
        <xdr:cNvSpPr txBox="1">
          <a:spLocks noChangeArrowheads="1"/>
        </xdr:cNvSpPr>
      </xdr:nvSpPr>
      <xdr:spPr bwMode="auto">
        <a:xfrm>
          <a:off x="170878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70" name="Text Box 48">
          <a:extLst>
            <a:ext uri="{FF2B5EF4-FFF2-40B4-BE49-F238E27FC236}">
              <a16:creationId xmlns:a16="http://schemas.microsoft.com/office/drawing/2014/main" id="{EB471793-DF7C-445B-8C63-846180367D6F}"/>
            </a:ext>
          </a:extLst>
        </xdr:cNvPr>
        <xdr:cNvSpPr txBox="1">
          <a:spLocks noChangeArrowheads="1"/>
        </xdr:cNvSpPr>
      </xdr:nvSpPr>
      <xdr:spPr bwMode="auto">
        <a:xfrm>
          <a:off x="1708785" y="3171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851</xdr:rowOff>
    </xdr:to>
    <xdr:sp macro="" textlink="">
      <xdr:nvSpPr>
        <xdr:cNvPr id="71" name="Text Box 44">
          <a:extLst>
            <a:ext uri="{FF2B5EF4-FFF2-40B4-BE49-F238E27FC236}">
              <a16:creationId xmlns:a16="http://schemas.microsoft.com/office/drawing/2014/main" id="{AB167966-A770-4A7E-B15D-9DA4C32F9413}"/>
            </a:ext>
          </a:extLst>
        </xdr:cNvPr>
        <xdr:cNvSpPr txBox="1">
          <a:spLocks noChangeArrowheads="1"/>
        </xdr:cNvSpPr>
      </xdr:nvSpPr>
      <xdr:spPr bwMode="auto">
        <a:xfrm>
          <a:off x="170878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851</xdr:rowOff>
    </xdr:to>
    <xdr:sp macro="" textlink="">
      <xdr:nvSpPr>
        <xdr:cNvPr id="72" name="Text Box 48">
          <a:extLst>
            <a:ext uri="{FF2B5EF4-FFF2-40B4-BE49-F238E27FC236}">
              <a16:creationId xmlns:a16="http://schemas.microsoft.com/office/drawing/2014/main" id="{99B7485C-ED32-408B-B41E-27087D57F7B1}"/>
            </a:ext>
          </a:extLst>
        </xdr:cNvPr>
        <xdr:cNvSpPr txBox="1">
          <a:spLocks noChangeArrowheads="1"/>
        </xdr:cNvSpPr>
      </xdr:nvSpPr>
      <xdr:spPr bwMode="auto">
        <a:xfrm>
          <a:off x="170878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3573</xdr:rowOff>
    </xdr:to>
    <xdr:sp macro="" textlink="">
      <xdr:nvSpPr>
        <xdr:cNvPr id="73" name="Text Box 48">
          <a:extLst>
            <a:ext uri="{FF2B5EF4-FFF2-40B4-BE49-F238E27FC236}">
              <a16:creationId xmlns:a16="http://schemas.microsoft.com/office/drawing/2014/main" id="{29AF7883-C6F5-44D0-A3A3-95BD0773CFA8}"/>
            </a:ext>
          </a:extLst>
        </xdr:cNvPr>
        <xdr:cNvSpPr txBox="1">
          <a:spLocks noChangeArrowheads="1"/>
        </xdr:cNvSpPr>
      </xdr:nvSpPr>
      <xdr:spPr bwMode="auto">
        <a:xfrm>
          <a:off x="1708785"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3573</xdr:rowOff>
    </xdr:to>
    <xdr:sp macro="" textlink="">
      <xdr:nvSpPr>
        <xdr:cNvPr id="74" name="Text Box 49">
          <a:extLst>
            <a:ext uri="{FF2B5EF4-FFF2-40B4-BE49-F238E27FC236}">
              <a16:creationId xmlns:a16="http://schemas.microsoft.com/office/drawing/2014/main" id="{583BEA8D-E4D6-476E-B98C-BABFA883C0BD}"/>
            </a:ext>
          </a:extLst>
        </xdr:cNvPr>
        <xdr:cNvSpPr txBox="1">
          <a:spLocks noChangeArrowheads="1"/>
        </xdr:cNvSpPr>
      </xdr:nvSpPr>
      <xdr:spPr bwMode="auto">
        <a:xfrm>
          <a:off x="1708785"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3573</xdr:rowOff>
    </xdr:to>
    <xdr:sp macro="" textlink="">
      <xdr:nvSpPr>
        <xdr:cNvPr id="75" name="Text Box 44">
          <a:extLst>
            <a:ext uri="{FF2B5EF4-FFF2-40B4-BE49-F238E27FC236}">
              <a16:creationId xmlns:a16="http://schemas.microsoft.com/office/drawing/2014/main" id="{286B3000-5179-4A68-BD79-4644C771A276}"/>
            </a:ext>
          </a:extLst>
        </xdr:cNvPr>
        <xdr:cNvSpPr txBox="1">
          <a:spLocks noChangeArrowheads="1"/>
        </xdr:cNvSpPr>
      </xdr:nvSpPr>
      <xdr:spPr bwMode="auto">
        <a:xfrm>
          <a:off x="1708785"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3573</xdr:rowOff>
    </xdr:to>
    <xdr:sp macro="" textlink="">
      <xdr:nvSpPr>
        <xdr:cNvPr id="76" name="Text Box 48">
          <a:extLst>
            <a:ext uri="{FF2B5EF4-FFF2-40B4-BE49-F238E27FC236}">
              <a16:creationId xmlns:a16="http://schemas.microsoft.com/office/drawing/2014/main" id="{0F6529B1-E061-4926-ABF7-4EE6EF3EA3FB}"/>
            </a:ext>
          </a:extLst>
        </xdr:cNvPr>
        <xdr:cNvSpPr txBox="1">
          <a:spLocks noChangeArrowheads="1"/>
        </xdr:cNvSpPr>
      </xdr:nvSpPr>
      <xdr:spPr bwMode="auto">
        <a:xfrm>
          <a:off x="1708785"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3573</xdr:rowOff>
    </xdr:to>
    <xdr:sp macro="" textlink="">
      <xdr:nvSpPr>
        <xdr:cNvPr id="77" name="Text Box 58">
          <a:extLst>
            <a:ext uri="{FF2B5EF4-FFF2-40B4-BE49-F238E27FC236}">
              <a16:creationId xmlns:a16="http://schemas.microsoft.com/office/drawing/2014/main" id="{62F35C08-9071-4691-A9B6-B8D4F5250300}"/>
            </a:ext>
          </a:extLst>
        </xdr:cNvPr>
        <xdr:cNvSpPr txBox="1">
          <a:spLocks noChangeArrowheads="1"/>
        </xdr:cNvSpPr>
      </xdr:nvSpPr>
      <xdr:spPr bwMode="auto">
        <a:xfrm>
          <a:off x="1708785"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851</xdr:rowOff>
    </xdr:to>
    <xdr:sp macro="" textlink="">
      <xdr:nvSpPr>
        <xdr:cNvPr id="78" name="Text Box 44">
          <a:extLst>
            <a:ext uri="{FF2B5EF4-FFF2-40B4-BE49-F238E27FC236}">
              <a16:creationId xmlns:a16="http://schemas.microsoft.com/office/drawing/2014/main" id="{BC0515BF-A497-42CD-85CD-D11267DB8928}"/>
            </a:ext>
          </a:extLst>
        </xdr:cNvPr>
        <xdr:cNvSpPr txBox="1">
          <a:spLocks noChangeArrowheads="1"/>
        </xdr:cNvSpPr>
      </xdr:nvSpPr>
      <xdr:spPr bwMode="auto">
        <a:xfrm>
          <a:off x="170878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851</xdr:rowOff>
    </xdr:to>
    <xdr:sp macro="" textlink="">
      <xdr:nvSpPr>
        <xdr:cNvPr id="79" name="Text Box 48">
          <a:extLst>
            <a:ext uri="{FF2B5EF4-FFF2-40B4-BE49-F238E27FC236}">
              <a16:creationId xmlns:a16="http://schemas.microsoft.com/office/drawing/2014/main" id="{9CBC686E-92BA-42D7-A384-31B99477E51E}"/>
            </a:ext>
          </a:extLst>
        </xdr:cNvPr>
        <xdr:cNvSpPr txBox="1">
          <a:spLocks noChangeArrowheads="1"/>
        </xdr:cNvSpPr>
      </xdr:nvSpPr>
      <xdr:spPr bwMode="auto">
        <a:xfrm>
          <a:off x="170878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171450</xdr:rowOff>
    </xdr:from>
    <xdr:to>
      <xdr:col>5</xdr:col>
      <xdr:colOff>243840</xdr:colOff>
      <xdr:row>11</xdr:row>
      <xdr:rowOff>851</xdr:rowOff>
    </xdr:to>
    <xdr:sp macro="" textlink="">
      <xdr:nvSpPr>
        <xdr:cNvPr id="80" name="Text Box 58">
          <a:extLst>
            <a:ext uri="{FF2B5EF4-FFF2-40B4-BE49-F238E27FC236}">
              <a16:creationId xmlns:a16="http://schemas.microsoft.com/office/drawing/2014/main" id="{BF44F276-0FA4-4479-997C-055AFF9B507D}"/>
            </a:ext>
          </a:extLst>
        </xdr:cNvPr>
        <xdr:cNvSpPr txBox="1">
          <a:spLocks noChangeArrowheads="1"/>
        </xdr:cNvSpPr>
      </xdr:nvSpPr>
      <xdr:spPr bwMode="auto">
        <a:xfrm>
          <a:off x="170878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81" name="Text Box 44">
          <a:extLst>
            <a:ext uri="{FF2B5EF4-FFF2-40B4-BE49-F238E27FC236}">
              <a16:creationId xmlns:a16="http://schemas.microsoft.com/office/drawing/2014/main" id="{E2238918-2121-4912-BB3B-297E4038B996}"/>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82" name="Text Box 48">
          <a:extLst>
            <a:ext uri="{FF2B5EF4-FFF2-40B4-BE49-F238E27FC236}">
              <a16:creationId xmlns:a16="http://schemas.microsoft.com/office/drawing/2014/main" id="{AADA8A61-5196-4EBA-ACA7-E87B756D5B8E}"/>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83" name="Text Box 58">
          <a:extLst>
            <a:ext uri="{FF2B5EF4-FFF2-40B4-BE49-F238E27FC236}">
              <a16:creationId xmlns:a16="http://schemas.microsoft.com/office/drawing/2014/main" id="{7ADA6F71-85FC-4B68-87D3-83C25E578860}"/>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190500</xdr:colOff>
      <xdr:row>14</xdr:row>
      <xdr:rowOff>40005</xdr:rowOff>
    </xdr:from>
    <xdr:to>
      <xdr:col>17</xdr:col>
      <xdr:colOff>430285</xdr:colOff>
      <xdr:row>15</xdr:row>
      <xdr:rowOff>215918</xdr:rowOff>
    </xdr:to>
    <xdr:sp macro="" textlink="">
      <xdr:nvSpPr>
        <xdr:cNvPr id="84" name="TextBox 83">
          <a:extLst>
            <a:ext uri="{FF2B5EF4-FFF2-40B4-BE49-F238E27FC236}">
              <a16:creationId xmlns:a16="http://schemas.microsoft.com/office/drawing/2014/main" id="{D29E2AAB-5DDD-44ED-837F-9E16D6A919D9}"/>
            </a:ext>
          </a:extLst>
        </xdr:cNvPr>
        <xdr:cNvSpPr txBox="1"/>
      </xdr:nvSpPr>
      <xdr:spPr>
        <a:xfrm>
          <a:off x="6486525" y="336232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5</xdr:col>
      <xdr:colOff>127635</xdr:colOff>
      <xdr:row>12</xdr:row>
      <xdr:rowOff>161925</xdr:rowOff>
    </xdr:from>
    <xdr:to>
      <xdr:col>5</xdr:col>
      <xdr:colOff>241935</xdr:colOff>
      <xdr:row>13</xdr:row>
      <xdr:rowOff>0</xdr:rowOff>
    </xdr:to>
    <xdr:sp macro="" textlink="">
      <xdr:nvSpPr>
        <xdr:cNvPr id="85" name="Text Box 44">
          <a:extLst>
            <a:ext uri="{FF2B5EF4-FFF2-40B4-BE49-F238E27FC236}">
              <a16:creationId xmlns:a16="http://schemas.microsoft.com/office/drawing/2014/main" id="{EF9FD750-0431-4485-A251-E278C5BAD10A}"/>
            </a:ext>
          </a:extLst>
        </xdr:cNvPr>
        <xdr:cNvSpPr txBox="1">
          <a:spLocks noChangeArrowheads="1"/>
        </xdr:cNvSpPr>
      </xdr:nvSpPr>
      <xdr:spPr bwMode="auto">
        <a:xfrm>
          <a:off x="191071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0</xdr:rowOff>
    </xdr:to>
    <xdr:sp macro="" textlink="">
      <xdr:nvSpPr>
        <xdr:cNvPr id="86" name="Text Box 48">
          <a:extLst>
            <a:ext uri="{FF2B5EF4-FFF2-40B4-BE49-F238E27FC236}">
              <a16:creationId xmlns:a16="http://schemas.microsoft.com/office/drawing/2014/main" id="{F5B9700D-ED59-4DA9-A6D1-175CE1F67170}"/>
            </a:ext>
          </a:extLst>
        </xdr:cNvPr>
        <xdr:cNvSpPr txBox="1">
          <a:spLocks noChangeArrowheads="1"/>
        </xdr:cNvSpPr>
      </xdr:nvSpPr>
      <xdr:spPr bwMode="auto">
        <a:xfrm>
          <a:off x="191071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0</xdr:rowOff>
    </xdr:to>
    <xdr:sp macro="" textlink="">
      <xdr:nvSpPr>
        <xdr:cNvPr id="87" name="Text Box 58">
          <a:extLst>
            <a:ext uri="{FF2B5EF4-FFF2-40B4-BE49-F238E27FC236}">
              <a16:creationId xmlns:a16="http://schemas.microsoft.com/office/drawing/2014/main" id="{87371D50-B62B-4492-832C-4AA82DEE50D9}"/>
            </a:ext>
          </a:extLst>
        </xdr:cNvPr>
        <xdr:cNvSpPr txBox="1">
          <a:spLocks noChangeArrowheads="1"/>
        </xdr:cNvSpPr>
      </xdr:nvSpPr>
      <xdr:spPr bwMode="auto">
        <a:xfrm>
          <a:off x="191071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88" name="Text Box 44">
          <a:extLst>
            <a:ext uri="{FF2B5EF4-FFF2-40B4-BE49-F238E27FC236}">
              <a16:creationId xmlns:a16="http://schemas.microsoft.com/office/drawing/2014/main" id="{762EFC92-FEA8-41BD-A1A3-B0A203919DF6}"/>
            </a:ext>
          </a:extLst>
        </xdr:cNvPr>
        <xdr:cNvSpPr txBox="1">
          <a:spLocks noChangeArrowheads="1"/>
        </xdr:cNvSpPr>
      </xdr:nvSpPr>
      <xdr:spPr bwMode="auto">
        <a:xfrm>
          <a:off x="1910715" y="27241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89" name="Text Box 48">
          <a:extLst>
            <a:ext uri="{FF2B5EF4-FFF2-40B4-BE49-F238E27FC236}">
              <a16:creationId xmlns:a16="http://schemas.microsoft.com/office/drawing/2014/main" id="{1E04C17B-D17B-4EF7-A3A2-56BFC0A6F775}"/>
            </a:ext>
          </a:extLst>
        </xdr:cNvPr>
        <xdr:cNvSpPr txBox="1">
          <a:spLocks noChangeArrowheads="1"/>
        </xdr:cNvSpPr>
      </xdr:nvSpPr>
      <xdr:spPr bwMode="auto">
        <a:xfrm>
          <a:off x="1910715" y="27241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90" name="Text Box 58">
          <a:extLst>
            <a:ext uri="{FF2B5EF4-FFF2-40B4-BE49-F238E27FC236}">
              <a16:creationId xmlns:a16="http://schemas.microsoft.com/office/drawing/2014/main" id="{739CA2F3-FE46-47F1-81AF-E55960B1411E}"/>
            </a:ext>
          </a:extLst>
        </xdr:cNvPr>
        <xdr:cNvSpPr txBox="1">
          <a:spLocks noChangeArrowheads="1"/>
        </xdr:cNvSpPr>
      </xdr:nvSpPr>
      <xdr:spPr bwMode="auto">
        <a:xfrm>
          <a:off x="1910715" y="27241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91" name="Text Box 44">
          <a:extLst>
            <a:ext uri="{FF2B5EF4-FFF2-40B4-BE49-F238E27FC236}">
              <a16:creationId xmlns:a16="http://schemas.microsoft.com/office/drawing/2014/main" id="{33203BC2-5D69-4307-9C19-7AE054FAA1FB}"/>
            </a:ext>
          </a:extLst>
        </xdr:cNvPr>
        <xdr:cNvSpPr txBox="1">
          <a:spLocks noChangeArrowheads="1"/>
        </xdr:cNvSpPr>
      </xdr:nvSpPr>
      <xdr:spPr bwMode="auto">
        <a:xfrm>
          <a:off x="191262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92" name="Text Box 48">
          <a:extLst>
            <a:ext uri="{FF2B5EF4-FFF2-40B4-BE49-F238E27FC236}">
              <a16:creationId xmlns:a16="http://schemas.microsoft.com/office/drawing/2014/main" id="{20FFE690-ED48-4CEB-AB21-78DB437D94EB}"/>
            </a:ext>
          </a:extLst>
        </xdr:cNvPr>
        <xdr:cNvSpPr txBox="1">
          <a:spLocks noChangeArrowheads="1"/>
        </xdr:cNvSpPr>
      </xdr:nvSpPr>
      <xdr:spPr bwMode="auto">
        <a:xfrm>
          <a:off x="191262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860</xdr:rowOff>
    </xdr:to>
    <xdr:sp macro="" textlink="">
      <xdr:nvSpPr>
        <xdr:cNvPr id="93" name="Text Box 48">
          <a:extLst>
            <a:ext uri="{FF2B5EF4-FFF2-40B4-BE49-F238E27FC236}">
              <a16:creationId xmlns:a16="http://schemas.microsoft.com/office/drawing/2014/main" id="{8E47E4E2-0C27-448F-854A-1AF60F02487B}"/>
            </a:ext>
          </a:extLst>
        </xdr:cNvPr>
        <xdr:cNvSpPr txBox="1">
          <a:spLocks noChangeArrowheads="1"/>
        </xdr:cNvSpPr>
      </xdr:nvSpPr>
      <xdr:spPr bwMode="auto">
        <a:xfrm>
          <a:off x="1912620"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860</xdr:rowOff>
    </xdr:to>
    <xdr:sp macro="" textlink="">
      <xdr:nvSpPr>
        <xdr:cNvPr id="94" name="Text Box 49">
          <a:extLst>
            <a:ext uri="{FF2B5EF4-FFF2-40B4-BE49-F238E27FC236}">
              <a16:creationId xmlns:a16="http://schemas.microsoft.com/office/drawing/2014/main" id="{23FFD061-DEAC-49B3-AE3E-6E835BD20A1F}"/>
            </a:ext>
          </a:extLst>
        </xdr:cNvPr>
        <xdr:cNvSpPr txBox="1">
          <a:spLocks noChangeArrowheads="1"/>
        </xdr:cNvSpPr>
      </xdr:nvSpPr>
      <xdr:spPr bwMode="auto">
        <a:xfrm>
          <a:off x="1912620"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860</xdr:rowOff>
    </xdr:to>
    <xdr:sp macro="" textlink="">
      <xdr:nvSpPr>
        <xdr:cNvPr id="95" name="Text Box 44">
          <a:extLst>
            <a:ext uri="{FF2B5EF4-FFF2-40B4-BE49-F238E27FC236}">
              <a16:creationId xmlns:a16="http://schemas.microsoft.com/office/drawing/2014/main" id="{6BA00C12-7868-49CA-8AA3-F6374CDD9A0C}"/>
            </a:ext>
          </a:extLst>
        </xdr:cNvPr>
        <xdr:cNvSpPr txBox="1">
          <a:spLocks noChangeArrowheads="1"/>
        </xdr:cNvSpPr>
      </xdr:nvSpPr>
      <xdr:spPr bwMode="auto">
        <a:xfrm>
          <a:off x="1912620"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860</xdr:rowOff>
    </xdr:to>
    <xdr:sp macro="" textlink="">
      <xdr:nvSpPr>
        <xdr:cNvPr id="96" name="Text Box 48">
          <a:extLst>
            <a:ext uri="{FF2B5EF4-FFF2-40B4-BE49-F238E27FC236}">
              <a16:creationId xmlns:a16="http://schemas.microsoft.com/office/drawing/2014/main" id="{5FC77F0B-BC47-434C-AEC6-E6C5F20956FB}"/>
            </a:ext>
          </a:extLst>
        </xdr:cNvPr>
        <xdr:cNvSpPr txBox="1">
          <a:spLocks noChangeArrowheads="1"/>
        </xdr:cNvSpPr>
      </xdr:nvSpPr>
      <xdr:spPr bwMode="auto">
        <a:xfrm>
          <a:off x="1912620"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860</xdr:rowOff>
    </xdr:to>
    <xdr:sp macro="" textlink="">
      <xdr:nvSpPr>
        <xdr:cNvPr id="97" name="Text Box 58">
          <a:extLst>
            <a:ext uri="{FF2B5EF4-FFF2-40B4-BE49-F238E27FC236}">
              <a16:creationId xmlns:a16="http://schemas.microsoft.com/office/drawing/2014/main" id="{D5758C3F-7C97-45E6-AF15-86ED8BB52617}"/>
            </a:ext>
          </a:extLst>
        </xdr:cNvPr>
        <xdr:cNvSpPr txBox="1">
          <a:spLocks noChangeArrowheads="1"/>
        </xdr:cNvSpPr>
      </xdr:nvSpPr>
      <xdr:spPr bwMode="auto">
        <a:xfrm>
          <a:off x="1912620" y="27241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98" name="Text Box 44">
          <a:extLst>
            <a:ext uri="{FF2B5EF4-FFF2-40B4-BE49-F238E27FC236}">
              <a16:creationId xmlns:a16="http://schemas.microsoft.com/office/drawing/2014/main" id="{1706CBA9-FCB7-4CE3-842D-46A8BB9B9C3D}"/>
            </a:ext>
          </a:extLst>
        </xdr:cNvPr>
        <xdr:cNvSpPr txBox="1">
          <a:spLocks noChangeArrowheads="1"/>
        </xdr:cNvSpPr>
      </xdr:nvSpPr>
      <xdr:spPr bwMode="auto">
        <a:xfrm>
          <a:off x="191262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99" name="Text Box 48">
          <a:extLst>
            <a:ext uri="{FF2B5EF4-FFF2-40B4-BE49-F238E27FC236}">
              <a16:creationId xmlns:a16="http://schemas.microsoft.com/office/drawing/2014/main" id="{9953F299-C906-4D27-9BC7-15A6B8CC40EC}"/>
            </a:ext>
          </a:extLst>
        </xdr:cNvPr>
        <xdr:cNvSpPr txBox="1">
          <a:spLocks noChangeArrowheads="1"/>
        </xdr:cNvSpPr>
      </xdr:nvSpPr>
      <xdr:spPr bwMode="auto">
        <a:xfrm>
          <a:off x="191262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12</xdr:row>
      <xdr:rowOff>161925</xdr:rowOff>
    </xdr:from>
    <xdr:to>
      <xdr:col>5</xdr:col>
      <xdr:colOff>243840</xdr:colOff>
      <xdr:row>13</xdr:row>
      <xdr:rowOff>0</xdr:rowOff>
    </xdr:to>
    <xdr:sp macro="" textlink="">
      <xdr:nvSpPr>
        <xdr:cNvPr id="100" name="Text Box 58">
          <a:extLst>
            <a:ext uri="{FF2B5EF4-FFF2-40B4-BE49-F238E27FC236}">
              <a16:creationId xmlns:a16="http://schemas.microsoft.com/office/drawing/2014/main" id="{6630D775-7CEB-4970-8E12-BF43EE826827}"/>
            </a:ext>
          </a:extLst>
        </xdr:cNvPr>
        <xdr:cNvSpPr txBox="1">
          <a:spLocks noChangeArrowheads="1"/>
        </xdr:cNvSpPr>
      </xdr:nvSpPr>
      <xdr:spPr bwMode="auto">
        <a:xfrm>
          <a:off x="191262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101" name="Text Box 44">
          <a:extLst>
            <a:ext uri="{FF2B5EF4-FFF2-40B4-BE49-F238E27FC236}">
              <a16:creationId xmlns:a16="http://schemas.microsoft.com/office/drawing/2014/main" id="{0BECB797-C9F5-4B34-BA19-D8D6DFA5A83A}"/>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102" name="Text Box 48">
          <a:extLst>
            <a:ext uri="{FF2B5EF4-FFF2-40B4-BE49-F238E27FC236}">
              <a16:creationId xmlns:a16="http://schemas.microsoft.com/office/drawing/2014/main" id="{1EAE9ACF-A215-4344-B398-ACAED2632D2B}"/>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10</xdr:row>
      <xdr:rowOff>171450</xdr:rowOff>
    </xdr:from>
    <xdr:to>
      <xdr:col>5</xdr:col>
      <xdr:colOff>241935</xdr:colOff>
      <xdr:row>11</xdr:row>
      <xdr:rowOff>340</xdr:rowOff>
    </xdr:to>
    <xdr:sp macro="" textlink="">
      <xdr:nvSpPr>
        <xdr:cNvPr id="103" name="Text Box 58">
          <a:extLst>
            <a:ext uri="{FF2B5EF4-FFF2-40B4-BE49-F238E27FC236}">
              <a16:creationId xmlns:a16="http://schemas.microsoft.com/office/drawing/2014/main" id="{9D89C1F0-1186-4BDF-A5AC-2EC244344A0F}"/>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104" name="Text Box 44">
          <a:extLst>
            <a:ext uri="{FF2B5EF4-FFF2-40B4-BE49-F238E27FC236}">
              <a16:creationId xmlns:a16="http://schemas.microsoft.com/office/drawing/2014/main" id="{A885FA73-6BE1-4F90-B32E-88F3AFDE60F8}"/>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105" name="Text Box 48">
          <a:extLst>
            <a:ext uri="{FF2B5EF4-FFF2-40B4-BE49-F238E27FC236}">
              <a16:creationId xmlns:a16="http://schemas.microsoft.com/office/drawing/2014/main" id="{89C2E2ED-F3CE-41F0-BC1A-155D9B92E7E8}"/>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127635</xdr:colOff>
      <xdr:row>12</xdr:row>
      <xdr:rowOff>161925</xdr:rowOff>
    </xdr:from>
    <xdr:to>
      <xdr:col>5</xdr:col>
      <xdr:colOff>241935</xdr:colOff>
      <xdr:row>13</xdr:row>
      <xdr:rowOff>2857</xdr:rowOff>
    </xdr:to>
    <xdr:sp macro="" textlink="">
      <xdr:nvSpPr>
        <xdr:cNvPr id="106" name="Text Box 58">
          <a:extLst>
            <a:ext uri="{FF2B5EF4-FFF2-40B4-BE49-F238E27FC236}">
              <a16:creationId xmlns:a16="http://schemas.microsoft.com/office/drawing/2014/main" id="{7448BDAC-0C96-4AEE-8A22-4CA73FB28CD8}"/>
            </a:ext>
          </a:extLst>
        </xdr:cNvPr>
        <xdr:cNvSpPr txBox="1">
          <a:spLocks noChangeArrowheads="1"/>
        </xdr:cNvSpPr>
      </xdr:nvSpPr>
      <xdr:spPr bwMode="auto">
        <a:xfrm>
          <a:off x="1910715" y="2038350"/>
          <a:ext cx="114300" cy="5749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16</xdr:col>
      <xdr:colOff>38100</xdr:colOff>
      <xdr:row>0</xdr:row>
      <xdr:rowOff>184150</xdr:rowOff>
    </xdr:from>
    <xdr:to>
      <xdr:col>18</xdr:col>
      <xdr:colOff>165100</xdr:colOff>
      <xdr:row>2</xdr:row>
      <xdr:rowOff>69850</xdr:rowOff>
    </xdr:to>
    <xdr:pic>
      <xdr:nvPicPr>
        <xdr:cNvPr id="116206" name="Picture 67" descr="C:\Users\mumtaz\Desktop\ATI Logo\Amana Product Names_General_NewOption_01.png">
          <a:extLst>
            <a:ext uri="{FF2B5EF4-FFF2-40B4-BE49-F238E27FC236}">
              <a16:creationId xmlns:a16="http://schemas.microsoft.com/office/drawing/2014/main" id="{A9FF9513-C4E6-464D-A403-0CAD9C18D4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11950" y="184150"/>
          <a:ext cx="2324100" cy="882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0</xdr:row>
      <xdr:rowOff>188098</xdr:rowOff>
    </xdr:from>
    <xdr:to>
      <xdr:col>8</xdr:col>
      <xdr:colOff>280225</xdr:colOff>
      <xdr:row>1</xdr:row>
      <xdr:rowOff>342453</xdr:rowOff>
    </xdr:to>
    <xdr:sp macro="" textlink="">
      <xdr:nvSpPr>
        <xdr:cNvPr id="108" name="Text Box 2">
          <a:extLst>
            <a:ext uri="{FF2B5EF4-FFF2-40B4-BE49-F238E27FC236}">
              <a16:creationId xmlns:a16="http://schemas.microsoft.com/office/drawing/2014/main" id="{5A25FBAD-3804-4810-ABDC-C755679FE011}"/>
            </a:ext>
          </a:extLst>
        </xdr:cNvPr>
        <xdr:cNvSpPr txBox="1"/>
      </xdr:nvSpPr>
      <xdr:spPr>
        <a:xfrm>
          <a:off x="340179" y="188098"/>
          <a:ext cx="2762727" cy="719455"/>
        </a:xfrm>
        <a:prstGeom prst="rect">
          <a:avLst/>
        </a:prstGeom>
        <a:solidFill>
          <a:schemeClr val="lt1"/>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l" rtl="0">
            <a:defRPr sz="1000"/>
          </a:pPr>
          <a:r>
            <a:rPr lang="en-US" sz="1000" b="1" i="0" u="none" strike="noStrike" baseline="0">
              <a:solidFill>
                <a:srgbClr val="000000"/>
              </a:solidFill>
              <a:latin typeface="ARIAL"/>
              <a:cs typeface="ARIAL"/>
            </a:rPr>
            <a:t>Amãna Takaful PLC</a:t>
          </a:r>
          <a:endParaRPr lang="en-US" sz="1200" b="0" i="0" u="none" strike="noStrike" baseline="0">
            <a:solidFill>
              <a:srgbClr val="000000"/>
            </a:solidFill>
            <a:latin typeface="Calibri"/>
            <a:cs typeface="Calibri"/>
          </a:endParaRPr>
        </a:p>
        <a:p>
          <a:pPr algn="l" rtl="0">
            <a:lnSpc>
              <a:spcPts val="1000"/>
            </a:lnSpc>
            <a:defRPr sz="1000"/>
          </a:pPr>
          <a:r>
            <a:rPr lang="en-US" sz="900" b="0" i="0" u="none" strike="noStrike" baseline="0">
              <a:solidFill>
                <a:srgbClr val="000000"/>
              </a:solidFill>
              <a:latin typeface="Arial"/>
              <a:cs typeface="Arial"/>
            </a:rPr>
            <a:t>660-1/1, Galle Road, Colombo 03, Sri Lanka.</a:t>
          </a:r>
          <a:endParaRPr lang="en-US" sz="1100" b="0" i="0" u="none" strike="noStrike" baseline="0">
            <a:solidFill>
              <a:srgbClr val="000000"/>
            </a:solidFill>
            <a:latin typeface="Calibri"/>
            <a:cs typeface="Calibri"/>
          </a:endParaRPr>
        </a:p>
        <a:p>
          <a:pPr algn="l" rtl="0">
            <a:defRPr sz="1000"/>
          </a:pPr>
          <a:r>
            <a:rPr lang="en-US" sz="900" b="0" i="0" u="none" strike="noStrike" baseline="0">
              <a:solidFill>
                <a:srgbClr val="000000"/>
              </a:solidFill>
              <a:latin typeface="Arial"/>
              <a:cs typeface="Arial"/>
            </a:rPr>
            <a:t>Tel: 94-11-7501000~3  Fax: 94-11-7501097</a:t>
          </a:r>
          <a:endParaRPr lang="en-US" sz="1100" b="0" i="0" u="none" strike="noStrike" baseline="0">
            <a:solidFill>
              <a:srgbClr val="000000"/>
            </a:solidFill>
            <a:latin typeface="Calibri"/>
            <a:cs typeface="Calibri"/>
          </a:endParaRPr>
        </a:p>
        <a:p>
          <a:pPr algn="l" rtl="0">
            <a:lnSpc>
              <a:spcPts val="1000"/>
            </a:lnSpc>
            <a:defRPr sz="1000"/>
          </a:pPr>
          <a:r>
            <a:rPr lang="en-US" sz="900" b="0" i="0" u="none" strike="noStrike" baseline="0">
              <a:solidFill>
                <a:srgbClr val="000000"/>
              </a:solidFill>
              <a:latin typeface="Arial"/>
              <a:cs typeface="Arial"/>
            </a:rPr>
            <a:t>E-mail: </a:t>
          </a:r>
          <a:r>
            <a:rPr lang="en-US" sz="900" b="0" i="0" u="sng" strike="noStrike" baseline="0">
              <a:solidFill>
                <a:srgbClr val="0000FF"/>
              </a:solidFill>
              <a:latin typeface="Arial"/>
              <a:cs typeface="Arial"/>
            </a:rPr>
            <a:t>info@takaful.lk</a:t>
          </a:r>
          <a:r>
            <a:rPr lang="en-US" sz="900" b="0" i="0" u="none" strike="noStrike" baseline="0">
              <a:solidFill>
                <a:srgbClr val="000000"/>
              </a:solidFill>
              <a:latin typeface="Arial"/>
              <a:cs typeface="Arial"/>
            </a:rPr>
            <a:t>  website: </a:t>
          </a:r>
          <a:r>
            <a:rPr lang="en-US" sz="900" b="0" i="0" u="sng" strike="noStrike" baseline="0">
              <a:solidFill>
                <a:srgbClr val="0000FF"/>
              </a:solidFill>
              <a:latin typeface="Arial"/>
              <a:cs typeface="Arial"/>
            </a:rPr>
            <a:t>www.takaful.lk</a:t>
          </a:r>
          <a:endParaRPr lang="en-US" sz="1100" b="0" i="0" u="none" strike="noStrike" baseline="0">
            <a:solidFill>
              <a:srgbClr val="000000"/>
            </a:solidFill>
            <a:latin typeface="Calibri"/>
            <a:cs typeface="Calibri"/>
          </a:endParaRPr>
        </a:p>
        <a:p>
          <a:pPr algn="l" rtl="0">
            <a:defRPr sz="1000"/>
          </a:pPr>
          <a:r>
            <a:rPr lang="en-US" sz="900" b="0" i="0" u="none" strike="noStrike" baseline="0">
              <a:solidFill>
                <a:srgbClr val="000000"/>
              </a:solidFill>
              <a:latin typeface="Arial"/>
              <a:cs typeface="Arial"/>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4.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3.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U40"/>
  <sheetViews>
    <sheetView showGridLines="0" topLeftCell="IG1" workbookViewId="0">
      <selection activeCell="IU3" sqref="IU3"/>
    </sheetView>
  </sheetViews>
  <sheetFormatPr defaultColWidth="9.1796875" defaultRowHeight="25" customHeight="1" x14ac:dyDescent="0.25"/>
  <cols>
    <col min="1" max="1" width="13.453125" style="259" customWidth="1"/>
    <col min="2" max="2" width="9.1796875" style="259"/>
    <col min="3" max="3" width="6.1796875" style="259" customWidth="1"/>
    <col min="4" max="4" width="11.453125" style="259" customWidth="1"/>
    <col min="5" max="5" width="5" style="259" customWidth="1"/>
    <col min="6" max="6" width="5.54296875" style="259" customWidth="1"/>
    <col min="7" max="7" width="23.1796875" style="259" customWidth="1"/>
    <col min="8" max="8" width="9.1796875" style="259"/>
    <col min="9" max="9" width="10.453125" style="259" customWidth="1"/>
    <col min="10" max="10" width="41.1796875" style="259" customWidth="1"/>
    <col min="11" max="12" width="9.1796875" style="259"/>
    <col min="13" max="13" width="1.81640625" style="259" customWidth="1"/>
    <col min="14" max="14" width="17.453125" style="259" customWidth="1"/>
    <col min="15" max="15" width="20.54296875" style="259" customWidth="1"/>
    <col min="16" max="16384" width="9.1796875" style="259"/>
  </cols>
  <sheetData>
    <row r="1" spans="1:255" ht="25" customHeight="1" thickBot="1" x14ac:dyDescent="0.35">
      <c r="A1" s="771" t="s">
        <v>218</v>
      </c>
      <c r="B1" s="772"/>
      <c r="C1" s="772"/>
      <c r="D1" s="773"/>
      <c r="E1" s="224"/>
    </row>
    <row r="2" spans="1:255" ht="14.25" customHeight="1" thickBot="1" x14ac:dyDescent="0.3">
      <c r="IS2" s="321" t="s">
        <v>204</v>
      </c>
      <c r="IT2" s="321" t="s">
        <v>205</v>
      </c>
      <c r="IU2" s="321" t="s">
        <v>206</v>
      </c>
    </row>
    <row r="3" spans="1:255" ht="20.25" customHeight="1" thickBot="1" x14ac:dyDescent="0.35">
      <c r="A3" s="226"/>
      <c r="G3" s="265">
        <f>IF(IT3="January",1,IF(IT3="February",2,IF(IT3="March",3,IF(IT3="April",4,IF(IT3="May",5,IF(IT3="June",6,IF(IT3="July",7,IF(IT3="August",8,H3))))))))</f>
        <v>5</v>
      </c>
      <c r="H3" s="265">
        <f>IF(IT3="September",9,IF(IT3="October",10,IF(IT3="November",11,12)))</f>
        <v>12</v>
      </c>
      <c r="I3" s="266">
        <f>DATE(IS3,G3,IU3)</f>
        <v>45413</v>
      </c>
      <c r="J3" s="265">
        <f>IF(M3=0,29,28)</f>
        <v>29</v>
      </c>
      <c r="K3" s="267">
        <f>YEAR(I3)/4</f>
        <v>506</v>
      </c>
      <c r="L3" s="267">
        <f>ROUND(K3,0)</f>
        <v>506</v>
      </c>
      <c r="M3" s="265">
        <f>K3-L3</f>
        <v>0</v>
      </c>
      <c r="N3" s="273" t="s">
        <v>235</v>
      </c>
      <c r="Q3" s="260" t="s">
        <v>206</v>
      </c>
      <c r="IS3" s="223">
        <v>2024</v>
      </c>
      <c r="IT3" s="223" t="s">
        <v>345</v>
      </c>
      <c r="IU3" s="223">
        <v>1</v>
      </c>
    </row>
    <row r="4" spans="1:255" ht="25" customHeight="1" thickBot="1" x14ac:dyDescent="0.35">
      <c r="A4" s="261"/>
      <c r="G4" s="388"/>
      <c r="H4" s="388"/>
      <c r="I4" s="389"/>
      <c r="J4" s="389"/>
      <c r="K4" s="389"/>
      <c r="L4" s="224"/>
      <c r="M4" s="224"/>
      <c r="N4" s="272" t="s">
        <v>236</v>
      </c>
      <c r="O4" s="225" t="s">
        <v>177</v>
      </c>
      <c r="Q4" s="259">
        <v>1</v>
      </c>
      <c r="IS4" s="774">
        <f>I3</f>
        <v>45413</v>
      </c>
      <c r="IT4" s="774"/>
      <c r="IU4" s="774"/>
    </row>
    <row r="5" spans="1:255" ht="25" customHeight="1" thickBot="1" x14ac:dyDescent="0.35">
      <c r="A5" s="226" t="s">
        <v>207</v>
      </c>
      <c r="C5" s="775" t="str">
        <f>H5</f>
        <v/>
      </c>
      <c r="D5" s="776"/>
      <c r="E5" s="777"/>
      <c r="G5" s="388"/>
      <c r="H5" s="388" t="str">
        <f>IF('Data Entry'!$H$65530=N4,O4,IF('Data Entry'!$H$65530=N5,O5,IF('Data Entry'!$H$65530=N6,O6,IF('Data Entry'!$H$65530=N7,O7,IF('Data Entry'!$H$65530=N8,O8,IF('Data Entry'!$H$65530=N9,O9,IF('Data Entry'!$H$65530=N10,O10,IF('Data Entry'!$H$65530=N11,O11,I5))))))))</f>
        <v/>
      </c>
      <c r="I5" s="388" t="str">
        <f>IF('Data Entry'!$H$65530=N12,O12,IF('Data Entry'!$H$65530=N13,O13,IF('Data Entry'!$H$65530=N14,O14,IF('Data Entry'!$H$65530=N15,O15,IF('Data Entry'!$H$65530=N16,O16,IF('Data Entry'!$H$65530=N17,O17,IF('Data Entry'!$H$65530=N18,O18,IF('Data Entry'!$H$65530=N19,O19,J5))))))))</f>
        <v/>
      </c>
      <c r="J5" s="388" t="str">
        <f>IF('Data Entry'!$H$65530=N20,O20,IF('Data Entry'!$H$65530=N21,O21,IF('Data Entry'!$H$65530=N22,O22,IF('Data Entry'!$H$65530=N23,O23,IF('Data Entry'!$H$65530=N24,O24,IF('Data Entry'!$H$65530=N25,O25,IF('Data Entry'!$H$65530=N26,O26,IF('Data Entry'!$H$65530=N27,O27,K5))))))))</f>
        <v/>
      </c>
      <c r="K5" s="388" t="str">
        <f>IF('Data Entry'!$H$65530=N28,O28,IF('Data Entry'!$H$65530=N29,O29,IF('Data Entry'!$H$65530=N30,O30,IF('Data Entry'!$H$65530=N31,O31,""))))</f>
        <v/>
      </c>
      <c r="N5" s="272" t="s">
        <v>237</v>
      </c>
      <c r="O5" s="225" t="s">
        <v>178</v>
      </c>
      <c r="Q5" s="259">
        <f>Q4+1</f>
        <v>2</v>
      </c>
    </row>
    <row r="6" spans="1:255" ht="25" customHeight="1" thickBot="1" x14ac:dyDescent="0.3">
      <c r="G6" s="388"/>
      <c r="H6" s="388"/>
      <c r="I6" s="388"/>
      <c r="J6" s="642" t="s">
        <v>415</v>
      </c>
      <c r="K6" s="388"/>
      <c r="N6" s="272" t="s">
        <v>241</v>
      </c>
      <c r="O6" s="225" t="s">
        <v>179</v>
      </c>
      <c r="Q6" s="259">
        <f t="shared" ref="Q6:Q18" si="0">Q5+1</f>
        <v>3</v>
      </c>
    </row>
    <row r="7" spans="1:255" ht="25" customHeight="1" thickBot="1" x14ac:dyDescent="0.35">
      <c r="A7" s="226" t="s">
        <v>208</v>
      </c>
      <c r="C7" s="259" t="s">
        <v>175</v>
      </c>
      <c r="F7" s="262" t="s">
        <v>79</v>
      </c>
      <c r="G7" s="388" t="str">
        <f t="shared" ref="G7:G17" si="1">IF(F7="Yes",C7,"")</f>
        <v>Motor Car</v>
      </c>
      <c r="H7" s="388">
        <f>IF(F7="Yes",1,0)</f>
        <v>1</v>
      </c>
      <c r="I7" s="388" t="str">
        <f>IF(H7=1,C7,IF(H8=1,C8,IF(H9=1,C9,IF(H10=1,C10,IF(H11=1,C16,IF(H12=1,C11,IF(I5=1,C12,IF(H14=1,C13,J15))))))))</f>
        <v>Motor Car</v>
      </c>
      <c r="J7" s="642" t="s">
        <v>379</v>
      </c>
      <c r="K7" s="388"/>
      <c r="N7" s="272" t="s">
        <v>239</v>
      </c>
      <c r="O7" s="225" t="s">
        <v>180</v>
      </c>
      <c r="Q7" s="259">
        <f t="shared" si="0"/>
        <v>4</v>
      </c>
    </row>
    <row r="8" spans="1:255" ht="17.149999999999999" customHeight="1" thickBot="1" x14ac:dyDescent="0.3">
      <c r="C8" s="259" t="s">
        <v>209</v>
      </c>
      <c r="F8" s="262" t="s">
        <v>79</v>
      </c>
      <c r="G8" s="388" t="str">
        <f t="shared" si="1"/>
        <v>Jeep</v>
      </c>
      <c r="H8" s="388">
        <f>IF(F8="Yes",1,0)</f>
        <v>1</v>
      </c>
      <c r="I8" s="388"/>
      <c r="J8" s="642" t="s">
        <v>380</v>
      </c>
      <c r="K8" s="388"/>
      <c r="N8" s="272" t="s">
        <v>240</v>
      </c>
      <c r="O8" s="225" t="s">
        <v>181</v>
      </c>
      <c r="Q8" s="259">
        <f t="shared" si="0"/>
        <v>5</v>
      </c>
    </row>
    <row r="9" spans="1:255" ht="17.149999999999999" customHeight="1" thickBot="1" x14ac:dyDescent="0.3">
      <c r="C9" s="259" t="s">
        <v>210</v>
      </c>
      <c r="F9" s="262" t="s">
        <v>79</v>
      </c>
      <c r="G9" s="388" t="str">
        <f t="shared" si="1"/>
        <v>Dual Purpose</v>
      </c>
      <c r="H9" s="388">
        <f>IF(F9="Yes",1,0)</f>
        <v>1</v>
      </c>
      <c r="I9" s="388"/>
      <c r="J9" s="642" t="s">
        <v>387</v>
      </c>
      <c r="K9" s="388"/>
      <c r="N9" s="272" t="s">
        <v>238</v>
      </c>
      <c r="O9" s="225" t="s">
        <v>182</v>
      </c>
      <c r="Q9" s="259">
        <f t="shared" si="0"/>
        <v>6</v>
      </c>
    </row>
    <row r="10" spans="1:255" ht="17.149999999999999" customHeight="1" thickBot="1" x14ac:dyDescent="0.3">
      <c r="C10" s="259" t="s">
        <v>211</v>
      </c>
      <c r="F10" s="262" t="s">
        <v>79</v>
      </c>
      <c r="G10" s="388" t="str">
        <f t="shared" si="1"/>
        <v>Motor Coach</v>
      </c>
      <c r="H10" s="388">
        <f>IF(F10="Yes",1,0)</f>
        <v>1</v>
      </c>
      <c r="I10" s="388"/>
      <c r="J10" s="642" t="s">
        <v>424</v>
      </c>
      <c r="K10" s="388"/>
      <c r="N10" s="272" t="s">
        <v>261</v>
      </c>
      <c r="O10" s="225" t="s">
        <v>183</v>
      </c>
      <c r="Q10" s="259">
        <f t="shared" si="0"/>
        <v>7</v>
      </c>
    </row>
    <row r="11" spans="1:255" ht="17.149999999999999" customHeight="1" thickBot="1" x14ac:dyDescent="0.3">
      <c r="C11" s="259" t="s">
        <v>356</v>
      </c>
      <c r="F11" s="262" t="s">
        <v>79</v>
      </c>
      <c r="G11" s="388" t="str">
        <f t="shared" si="1"/>
        <v>Motor Lorry</v>
      </c>
      <c r="H11" s="388">
        <f>IF(F16="Yes",1,0)</f>
        <v>1</v>
      </c>
      <c r="I11" s="388"/>
      <c r="J11" s="642" t="s">
        <v>428</v>
      </c>
      <c r="K11" s="388"/>
      <c r="N11" s="272" t="s">
        <v>242</v>
      </c>
      <c r="O11" s="225" t="s">
        <v>184</v>
      </c>
      <c r="Q11" s="259">
        <f t="shared" si="0"/>
        <v>8</v>
      </c>
    </row>
    <row r="12" spans="1:255" ht="17.149999999999999" customHeight="1" thickBot="1" x14ac:dyDescent="0.3">
      <c r="C12" s="259" t="s">
        <v>212</v>
      </c>
      <c r="F12" s="262" t="s">
        <v>79</v>
      </c>
      <c r="G12" s="388" t="str">
        <f t="shared" si="1"/>
        <v>Three Wheeler</v>
      </c>
      <c r="H12" s="388">
        <f>IF(F11="Yes",1,0)</f>
        <v>1</v>
      </c>
      <c r="I12" s="388"/>
      <c r="J12" s="642" t="s">
        <v>381</v>
      </c>
      <c r="K12" s="388"/>
      <c r="N12" s="272" t="s">
        <v>243</v>
      </c>
      <c r="O12" s="225" t="s">
        <v>185</v>
      </c>
      <c r="Q12" s="259">
        <f t="shared" si="0"/>
        <v>9</v>
      </c>
    </row>
    <row r="13" spans="1:255" ht="17.149999999999999" customHeight="1" thickBot="1" x14ac:dyDescent="0.3">
      <c r="C13" s="259" t="s">
        <v>214</v>
      </c>
      <c r="F13" s="262" t="s">
        <v>79</v>
      </c>
      <c r="G13" s="388" t="str">
        <f t="shared" si="1"/>
        <v>Motor Cycle (Chinese)</v>
      </c>
      <c r="H13" s="388">
        <f>IF(F12="Yes",1,0)</f>
        <v>1</v>
      </c>
      <c r="I13" s="388"/>
      <c r="J13" s="642" t="s">
        <v>414</v>
      </c>
      <c r="K13" s="388"/>
      <c r="N13" s="272" t="s">
        <v>262</v>
      </c>
      <c r="O13" s="225" t="s">
        <v>186</v>
      </c>
      <c r="Q13" s="259">
        <f t="shared" si="0"/>
        <v>10</v>
      </c>
    </row>
    <row r="14" spans="1:255" ht="17.149999999999999" customHeight="1" thickBot="1" x14ac:dyDescent="0.3">
      <c r="C14" s="259" t="s">
        <v>358</v>
      </c>
      <c r="F14" s="262" t="s">
        <v>79</v>
      </c>
      <c r="G14" s="388" t="str">
        <f t="shared" si="1"/>
        <v>Motor Cycle</v>
      </c>
      <c r="H14" s="388">
        <f>IF(F13="Yes",1,0)</f>
        <v>1</v>
      </c>
      <c r="I14" s="388"/>
      <c r="J14" s="642" t="s">
        <v>437</v>
      </c>
      <c r="K14" s="388"/>
      <c r="N14" s="272" t="s">
        <v>263</v>
      </c>
      <c r="O14" s="225" t="s">
        <v>187</v>
      </c>
      <c r="Q14" s="259">
        <f t="shared" si="0"/>
        <v>11</v>
      </c>
    </row>
    <row r="15" spans="1:255" ht="17.149999999999999" customHeight="1" thickBot="1" x14ac:dyDescent="0.3">
      <c r="C15" s="259" t="s">
        <v>215</v>
      </c>
      <c r="F15" s="262" t="s">
        <v>79</v>
      </c>
      <c r="G15" s="388" t="str">
        <f t="shared" si="1"/>
        <v>Tractor</v>
      </c>
      <c r="H15" s="388">
        <f>IF(F14="Yes",1,0)</f>
        <v>1</v>
      </c>
      <c r="I15" s="388"/>
      <c r="J15" s="642" t="s">
        <v>418</v>
      </c>
      <c r="K15" s="388"/>
      <c r="N15" s="272" t="s">
        <v>244</v>
      </c>
      <c r="O15" s="225" t="s">
        <v>188</v>
      </c>
      <c r="Q15" s="259">
        <f t="shared" si="0"/>
        <v>12</v>
      </c>
    </row>
    <row r="16" spans="1:255" ht="17.149999999999999" customHeight="1" thickBot="1" x14ac:dyDescent="0.3">
      <c r="C16" s="259" t="s">
        <v>213</v>
      </c>
      <c r="F16" s="262" t="s">
        <v>79</v>
      </c>
      <c r="G16" s="388" t="str">
        <f t="shared" si="1"/>
        <v>Motor Lorry (Chinese)</v>
      </c>
      <c r="H16" s="388">
        <f>IF(F15="Yes",1,0)</f>
        <v>1</v>
      </c>
      <c r="I16" s="388"/>
      <c r="J16" s="642" t="s">
        <v>422</v>
      </c>
      <c r="K16" s="388"/>
      <c r="N16" s="272" t="s">
        <v>245</v>
      </c>
      <c r="O16" s="225" t="s">
        <v>189</v>
      </c>
      <c r="Q16" s="259">
        <f t="shared" si="0"/>
        <v>13</v>
      </c>
    </row>
    <row r="17" spans="1:17" ht="17.149999999999999" customHeight="1" thickBot="1" x14ac:dyDescent="0.3">
      <c r="C17" s="259" t="s">
        <v>216</v>
      </c>
      <c r="F17" s="262" t="s">
        <v>79</v>
      </c>
      <c r="G17" s="388" t="str">
        <f t="shared" si="1"/>
        <v>Others</v>
      </c>
      <c r="H17" s="388">
        <f>IF(F17="Yes",1,0)</f>
        <v>1</v>
      </c>
      <c r="I17" s="390"/>
      <c r="J17" s="642" t="s">
        <v>388</v>
      </c>
      <c r="K17" s="388"/>
      <c r="N17" s="272" t="s">
        <v>246</v>
      </c>
      <c r="O17" s="225" t="s">
        <v>190</v>
      </c>
      <c r="Q17" s="259">
        <f t="shared" si="0"/>
        <v>14</v>
      </c>
    </row>
    <row r="18" spans="1:17" ht="17.149999999999999" customHeight="1" x14ac:dyDescent="0.25">
      <c r="H18" s="388"/>
      <c r="I18" s="390"/>
      <c r="J18" s="642" t="s">
        <v>383</v>
      </c>
      <c r="K18" s="388"/>
      <c r="N18" s="272" t="s">
        <v>247</v>
      </c>
      <c r="O18" s="225" t="s">
        <v>191</v>
      </c>
      <c r="Q18" s="259">
        <f t="shared" si="0"/>
        <v>15</v>
      </c>
    </row>
    <row r="19" spans="1:17" ht="17.149999999999999" customHeight="1" thickBot="1" x14ac:dyDescent="0.3">
      <c r="G19" s="388"/>
      <c r="H19" s="388"/>
      <c r="I19" s="388"/>
      <c r="J19" s="642" t="s">
        <v>384</v>
      </c>
      <c r="K19" s="388"/>
      <c r="N19" s="272" t="s">
        <v>248</v>
      </c>
      <c r="O19" s="225" t="s">
        <v>192</v>
      </c>
      <c r="Q19" s="259">
        <f t="shared" ref="Q19:Q31" si="2">Q18+1</f>
        <v>16</v>
      </c>
    </row>
    <row r="20" spans="1:17" ht="17.149999999999999" customHeight="1" thickBot="1" x14ac:dyDescent="0.3">
      <c r="A20" s="263" t="s">
        <v>38</v>
      </c>
      <c r="C20" s="259" t="s">
        <v>320</v>
      </c>
      <c r="F20" s="262" t="s">
        <v>79</v>
      </c>
      <c r="G20" s="388" t="str">
        <f>IF(F20="Yes",C20,"")</f>
        <v>Private Use Only</v>
      </c>
      <c r="H20" s="388"/>
      <c r="I20" s="388" t="str">
        <f>IF(G20&lt;&gt;"",G20,IF(G21&lt;&gt;"",G21,IF(G22&lt;&gt;"",G22,IF(G23&lt;&gt;"",G23,IF(G24&lt;&gt;"",G24,"")))))</f>
        <v>Private Use Only</v>
      </c>
      <c r="J20" s="642" t="s">
        <v>426</v>
      </c>
      <c r="K20" s="388"/>
      <c r="N20" s="272" t="s">
        <v>249</v>
      </c>
      <c r="O20" s="225" t="s">
        <v>176</v>
      </c>
      <c r="Q20" s="259">
        <f t="shared" si="2"/>
        <v>17</v>
      </c>
    </row>
    <row r="21" spans="1:17" ht="17.149999999999999" customHeight="1" thickBot="1" x14ac:dyDescent="0.3">
      <c r="C21" s="259" t="s">
        <v>44</v>
      </c>
      <c r="F21" s="262" t="s">
        <v>79</v>
      </c>
      <c r="G21" s="388" t="str">
        <f>IF(F21="Yes",C21,"")</f>
        <v>Hiring</v>
      </c>
      <c r="I21" s="388" t="str">
        <f>IF(AND(G21&lt;&gt;"",G21&lt;&gt;I20),G21,IF(AND(G22&lt;&gt;"",G22&lt;&gt;I20),G22,IF(AND(G23&lt;&gt;"",G23&lt;&gt;I20),G23,IF(AND(G24&lt;&gt;"",G24&lt;&gt;I20),G24,""))))</f>
        <v>Hiring</v>
      </c>
      <c r="J21" s="642" t="s">
        <v>385</v>
      </c>
      <c r="K21" s="388"/>
      <c r="N21" s="272" t="s">
        <v>250</v>
      </c>
      <c r="O21" s="225" t="s">
        <v>193</v>
      </c>
      <c r="Q21" s="259">
        <f t="shared" si="2"/>
        <v>18</v>
      </c>
    </row>
    <row r="22" spans="1:17" ht="18" customHeight="1" thickBot="1" x14ac:dyDescent="0.3">
      <c r="C22" s="259" t="s">
        <v>8</v>
      </c>
      <c r="F22" s="262" t="s">
        <v>79</v>
      </c>
      <c r="G22" s="388" t="str">
        <f>IF(F22="Yes",C22,"")</f>
        <v>Rent A Vehicle</v>
      </c>
      <c r="H22" s="388"/>
      <c r="I22" s="388" t="str">
        <f>IF(AND(G22&lt;&gt;"",G22&lt;&gt;I21,G22&lt;&gt;I20),G22,IF(AND(G23&lt;&gt;"",G23&lt;&gt;I21,G23&lt;&gt;I20),G23,IF(AND(G24&lt;&gt;"",G24&lt;&gt;I20,G24&lt;&gt;I21),G24,"")))</f>
        <v>Rent A Vehicle</v>
      </c>
      <c r="J22" s="642" t="s">
        <v>421</v>
      </c>
      <c r="K22" s="388"/>
      <c r="N22" s="272" t="s">
        <v>251</v>
      </c>
      <c r="O22" s="225" t="s">
        <v>194</v>
      </c>
      <c r="Q22" s="259">
        <f t="shared" si="2"/>
        <v>19</v>
      </c>
    </row>
    <row r="23" spans="1:17" ht="18" customHeight="1" thickBot="1" x14ac:dyDescent="0.3">
      <c r="C23" s="259" t="s">
        <v>219</v>
      </c>
      <c r="F23" s="262" t="s">
        <v>79</v>
      </c>
      <c r="G23" s="388" t="str">
        <f>IF(F23="Yes",C23,"")</f>
        <v xml:space="preserve">SLTB Route </v>
      </c>
      <c r="H23" s="388"/>
      <c r="I23" s="388" t="str">
        <f>IF(AND(G23&lt;&gt;"",I20&lt;&gt;G23,I21&lt;&gt;G23,I22&lt;&gt;G23),G23,IF(AND(G24&lt;&gt;"",G24&lt;&gt;I20,G24&lt;&gt;I21,G24&lt;&gt;I22),G24,""))</f>
        <v xml:space="preserve">SLTB Route </v>
      </c>
      <c r="J23" s="642" t="s">
        <v>420</v>
      </c>
      <c r="K23" s="388"/>
      <c r="N23" s="272" t="s">
        <v>252</v>
      </c>
      <c r="O23" s="225" t="s">
        <v>195</v>
      </c>
      <c r="Q23" s="259">
        <f t="shared" si="2"/>
        <v>20</v>
      </c>
    </row>
    <row r="24" spans="1:17" ht="18" customHeight="1" thickBot="1" x14ac:dyDescent="0.3">
      <c r="C24" s="259" t="s">
        <v>221</v>
      </c>
      <c r="F24" s="262" t="s">
        <v>114</v>
      </c>
      <c r="G24" s="388" t="str">
        <f>IF(F24="Yes",C24,"")</f>
        <v/>
      </c>
      <c r="H24" s="388"/>
      <c r="I24" s="388" t="str">
        <f>IF(AND(G24&lt;&gt;"",I21&lt;&gt;G24,I22&lt;&gt;G24,I23&lt;&gt;G24,G24&lt;&gt;I20),G24,"")</f>
        <v/>
      </c>
      <c r="J24" s="642" t="s">
        <v>429</v>
      </c>
      <c r="K24" s="388"/>
      <c r="N24" s="272" t="s">
        <v>253</v>
      </c>
      <c r="O24" s="225" t="s">
        <v>196</v>
      </c>
      <c r="Q24" s="259">
        <f t="shared" si="2"/>
        <v>21</v>
      </c>
    </row>
    <row r="25" spans="1:17" ht="18" customHeight="1" x14ac:dyDescent="0.25">
      <c r="G25" s="388"/>
      <c r="H25" s="388"/>
      <c r="I25" s="388"/>
      <c r="J25" s="642" t="s">
        <v>417</v>
      </c>
      <c r="K25" s="388"/>
      <c r="N25" s="272" t="s">
        <v>254</v>
      </c>
      <c r="O25" s="225" t="s">
        <v>197</v>
      </c>
      <c r="Q25" s="259">
        <f t="shared" si="2"/>
        <v>22</v>
      </c>
    </row>
    <row r="26" spans="1:17" ht="18" customHeight="1" thickBot="1" x14ac:dyDescent="0.3">
      <c r="G26" s="388"/>
      <c r="H26" s="388"/>
      <c r="I26" s="388"/>
      <c r="J26" s="642" t="s">
        <v>391</v>
      </c>
      <c r="K26" s="388"/>
      <c r="N26" s="272" t="s">
        <v>255</v>
      </c>
      <c r="O26" s="225" t="s">
        <v>198</v>
      </c>
      <c r="Q26" s="259">
        <f t="shared" si="2"/>
        <v>23</v>
      </c>
    </row>
    <row r="27" spans="1:17" ht="25" customHeight="1" thickBot="1" x14ac:dyDescent="0.35">
      <c r="A27" s="264" t="s">
        <v>217</v>
      </c>
      <c r="F27" s="262" t="s">
        <v>79</v>
      </c>
      <c r="G27" s="388"/>
      <c r="H27" s="388"/>
      <c r="I27" s="388"/>
      <c r="J27" s="642" t="s">
        <v>416</v>
      </c>
      <c r="K27" s="388"/>
      <c r="N27" s="272" t="s">
        <v>256</v>
      </c>
      <c r="O27" s="225" t="s">
        <v>199</v>
      </c>
      <c r="Q27" s="259">
        <f t="shared" si="2"/>
        <v>24</v>
      </c>
    </row>
    <row r="28" spans="1:17" ht="25" customHeight="1" thickBot="1" x14ac:dyDescent="0.3">
      <c r="G28" s="388"/>
      <c r="H28" s="388"/>
      <c r="I28" s="388"/>
      <c r="J28" s="642" t="s">
        <v>423</v>
      </c>
      <c r="K28" s="388"/>
      <c r="N28" s="272" t="s">
        <v>257</v>
      </c>
      <c r="O28" s="225" t="s">
        <v>200</v>
      </c>
      <c r="Q28" s="259">
        <f t="shared" si="2"/>
        <v>25</v>
      </c>
    </row>
    <row r="29" spans="1:17" ht="25" customHeight="1" thickBot="1" x14ac:dyDescent="0.35">
      <c r="A29" s="226" t="s">
        <v>279</v>
      </c>
      <c r="C29" s="1"/>
      <c r="F29" s="292">
        <v>19</v>
      </c>
      <c r="G29" s="388"/>
      <c r="I29" s="388"/>
      <c r="J29" s="642" t="s">
        <v>425</v>
      </c>
      <c r="K29" s="388"/>
      <c r="N29" s="272" t="s">
        <v>258</v>
      </c>
      <c r="O29" s="225" t="s">
        <v>201</v>
      </c>
      <c r="Q29" s="259">
        <f t="shared" si="2"/>
        <v>26</v>
      </c>
    </row>
    <row r="30" spans="1:17" ht="25" customHeight="1" thickBot="1" x14ac:dyDescent="0.3">
      <c r="G30" s="388"/>
      <c r="H30" s="388"/>
      <c r="I30" s="388"/>
      <c r="J30" s="642" t="s">
        <v>438</v>
      </c>
      <c r="K30" s="388"/>
      <c r="N30" s="272" t="s">
        <v>259</v>
      </c>
      <c r="O30" s="225" t="s">
        <v>202</v>
      </c>
      <c r="Q30" s="259">
        <f t="shared" si="2"/>
        <v>27</v>
      </c>
    </row>
    <row r="31" spans="1:17" ht="25" customHeight="1" thickBot="1" x14ac:dyDescent="0.35">
      <c r="A31" s="226" t="s">
        <v>290</v>
      </c>
      <c r="C31" s="1"/>
      <c r="F31" s="262" t="s">
        <v>79</v>
      </c>
      <c r="J31" s="642" t="s">
        <v>427</v>
      </c>
      <c r="N31" s="272" t="s">
        <v>260</v>
      </c>
      <c r="O31" s="225" t="s">
        <v>203</v>
      </c>
      <c r="Q31" s="259">
        <f t="shared" si="2"/>
        <v>28</v>
      </c>
    </row>
    <row r="32" spans="1:17" ht="8.25" customHeight="1" x14ac:dyDescent="0.25">
      <c r="A32" s="77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778"/>
      <c r="C32" s="778"/>
      <c r="D32" s="778"/>
      <c r="E32" s="778"/>
      <c r="F32" s="778"/>
      <c r="G32" s="778"/>
      <c r="J32" s="642" t="s">
        <v>419</v>
      </c>
      <c r="N32" s="272"/>
      <c r="Q32" s="259">
        <f>IF(AND(M3&lt;&gt;0,G3=2),"",29)</f>
        <v>29</v>
      </c>
    </row>
    <row r="33" spans="1:17" ht="25" customHeight="1" x14ac:dyDescent="0.25">
      <c r="A33" s="778"/>
      <c r="B33" s="778"/>
      <c r="C33" s="778"/>
      <c r="D33" s="778"/>
      <c r="E33" s="778"/>
      <c r="F33" s="778"/>
      <c r="G33" s="778"/>
      <c r="J33" s="642" t="s">
        <v>386</v>
      </c>
      <c r="N33" s="272"/>
      <c r="Q33" s="259">
        <f>IF(G3=2,"",30)</f>
        <v>30</v>
      </c>
    </row>
    <row r="34" spans="1:17" ht="25" customHeight="1" x14ac:dyDescent="0.25">
      <c r="I34" s="643" t="s">
        <v>441</v>
      </c>
      <c r="J34" s="642"/>
      <c r="N34" s="272"/>
      <c r="Q34" s="259">
        <f>IF(OR(G3=2,G3=4,G3=6,G3=9,G3=11),"",31)</f>
        <v>31</v>
      </c>
    </row>
    <row r="35" spans="1:17" ht="25" customHeight="1" x14ac:dyDescent="0.25">
      <c r="J35" s="642"/>
      <c r="N35" s="272"/>
    </row>
    <row r="36" spans="1:17" ht="25" customHeight="1" x14ac:dyDescent="0.25">
      <c r="J36" s="642"/>
    </row>
    <row r="37" spans="1:17" ht="25" customHeight="1" x14ac:dyDescent="0.25">
      <c r="J37" s="642"/>
    </row>
    <row r="38" spans="1:17" ht="25" customHeight="1" x14ac:dyDescent="0.25">
      <c r="J38" s="642"/>
    </row>
    <row r="39" spans="1:17" ht="25" customHeight="1" x14ac:dyDescent="0.25">
      <c r="J39" s="642"/>
    </row>
    <row r="40" spans="1:17" ht="25" customHeight="1" x14ac:dyDescent="0.25">
      <c r="J40" s="642"/>
    </row>
  </sheetData>
  <dataConsolidate/>
  <mergeCells count="4">
    <mergeCell ref="A1:D1"/>
    <mergeCell ref="IS4:IU4"/>
    <mergeCell ref="C5:E5"/>
    <mergeCell ref="A32:G33"/>
  </mergeCells>
  <phoneticPr fontId="28" type="noConversion"/>
  <conditionalFormatting sqref="F27 F20:F24 F7:F17 F31">
    <cfRule type="cellIs" dxfId="172"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S3" xr:uid="{00000000-0002-0000-0000-000003000000}">
      <formula1>"2023,2024"</formula1>
    </dataValidation>
    <dataValidation type="list" allowBlank="1" showInputMessage="1" showErrorMessage="1" sqref="IU3" xr:uid="{00000000-0002-0000-0000-000004000000}">
      <formula1>Date</formula1>
    </dataValidation>
    <dataValidation type="list" allowBlank="1" showInputMessage="1" showErrorMessage="1" sqref="IT3"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1"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530">
        <f ca="1">TODAY()</f>
        <v>45346</v>
      </c>
      <c r="F1" s="803" t="s">
        <v>156</v>
      </c>
      <c r="L1" s="366"/>
    </row>
    <row r="2" spans="1:19" ht="20.149999999999999" customHeight="1" thickTop="1" thickBot="1" x14ac:dyDescent="0.4">
      <c r="A2" s="90" t="s">
        <v>57</v>
      </c>
      <c r="B2" s="91"/>
      <c r="F2" s="803"/>
      <c r="G2" s="460" t="s">
        <v>355</v>
      </c>
      <c r="H2" s="460" t="s">
        <v>359</v>
      </c>
      <c r="I2" s="781" t="s">
        <v>59</v>
      </c>
      <c r="J2" s="782"/>
      <c r="L2" s="366"/>
    </row>
    <row r="3" spans="1:19" ht="20.149999999999999" customHeight="1" thickTop="1" thickBot="1" x14ac:dyDescent="0.4">
      <c r="A3" s="92">
        <v>1</v>
      </c>
      <c r="B3" s="93" t="s">
        <v>52</v>
      </c>
      <c r="C3" s="94" t="s">
        <v>53</v>
      </c>
      <c r="D3" s="151">
        <f>IF('Data Entry'!M12="Above 250cc",10,7)</f>
        <v>7</v>
      </c>
      <c r="E3" s="95" t="s">
        <v>58</v>
      </c>
      <c r="F3" s="152">
        <v>2</v>
      </c>
      <c r="I3" s="26">
        <v>1</v>
      </c>
      <c r="J3" s="139" t="s">
        <v>171</v>
      </c>
      <c r="K3" s="153">
        <v>0.2</v>
      </c>
      <c r="L3" s="27" t="s">
        <v>73</v>
      </c>
      <c r="M3" s="28"/>
      <c r="N3" s="787" t="s">
        <v>142</v>
      </c>
      <c r="O3" s="788"/>
      <c r="P3" s="789"/>
      <c r="Q3" s="88" t="s">
        <v>139</v>
      </c>
      <c r="R3" s="89" t="s">
        <v>60</v>
      </c>
    </row>
    <row r="4" spans="1:19" ht="20.149999999999999" customHeight="1" thickTop="1" x14ac:dyDescent="0.35">
      <c r="A4" s="96">
        <f>A3+1</f>
        <v>2</v>
      </c>
      <c r="B4" s="97" t="s">
        <v>54</v>
      </c>
      <c r="C4" s="98" t="s">
        <v>53</v>
      </c>
      <c r="D4" s="154">
        <v>5</v>
      </c>
      <c r="E4" s="99" t="s">
        <v>58</v>
      </c>
      <c r="F4" s="155">
        <v>2</v>
      </c>
      <c r="I4" s="33"/>
      <c r="J4" s="138" t="s">
        <v>170</v>
      </c>
      <c r="K4" s="35">
        <v>0.25</v>
      </c>
      <c r="L4" s="36" t="s">
        <v>73</v>
      </c>
      <c r="M4" s="37"/>
      <c r="N4" s="779" t="s">
        <v>140</v>
      </c>
      <c r="O4" s="780"/>
      <c r="P4" s="780"/>
      <c r="Q4" s="156">
        <v>7.0000000000000007E-2</v>
      </c>
      <c r="R4" s="157">
        <v>2.5000000000000001E-2</v>
      </c>
    </row>
    <row r="5" spans="1:19" ht="20.149999999999999" customHeight="1" x14ac:dyDescent="0.35">
      <c r="A5" s="100">
        <f t="shared" ref="A5:A14" si="0">A4+1</f>
        <v>3</v>
      </c>
      <c r="B5" s="101" t="s">
        <v>155</v>
      </c>
      <c r="C5" s="102" t="s">
        <v>53</v>
      </c>
      <c r="D5" s="158">
        <v>2</v>
      </c>
      <c r="E5" s="103" t="s">
        <v>58</v>
      </c>
      <c r="F5" s="159">
        <v>20</v>
      </c>
      <c r="I5" s="29">
        <f>I3+1</f>
        <v>2</v>
      </c>
      <c r="J5" s="30" t="s">
        <v>172</v>
      </c>
      <c r="K5" s="160">
        <v>0.05</v>
      </c>
      <c r="L5" s="31" t="s">
        <v>73</v>
      </c>
      <c r="M5" s="32"/>
      <c r="N5" s="785" t="s">
        <v>149</v>
      </c>
      <c r="O5" s="786"/>
      <c r="P5" s="786"/>
      <c r="Q5" s="161">
        <v>0.04</v>
      </c>
      <c r="R5" s="162">
        <v>1.2500000000000001E-2</v>
      </c>
    </row>
    <row r="6" spans="1:19" ht="20.149999999999999" customHeight="1" x14ac:dyDescent="0.35">
      <c r="A6" s="96">
        <f t="shared" si="0"/>
        <v>4</v>
      </c>
      <c r="B6" s="97" t="s">
        <v>160</v>
      </c>
      <c r="C6" s="98" t="s">
        <v>53</v>
      </c>
      <c r="D6" s="163">
        <v>2.25</v>
      </c>
      <c r="E6" s="99" t="s">
        <v>58</v>
      </c>
      <c r="F6" s="155">
        <v>5</v>
      </c>
      <c r="I6" s="29"/>
      <c r="J6" s="137" t="s">
        <v>170</v>
      </c>
      <c r="K6" s="160">
        <v>6.25E-2</v>
      </c>
      <c r="L6" s="31" t="s">
        <v>73</v>
      </c>
      <c r="M6" s="32"/>
      <c r="N6" s="785" t="s">
        <v>148</v>
      </c>
      <c r="O6" s="786"/>
      <c r="P6" s="786"/>
      <c r="Q6" s="161">
        <v>3.7499999999999999E-2</v>
      </c>
      <c r="R6" s="162">
        <v>1.2500000000000001E-2</v>
      </c>
    </row>
    <row r="7" spans="1:19" ht="20.149999999999999" customHeight="1" thickBot="1" x14ac:dyDescent="0.4">
      <c r="A7" s="100">
        <f t="shared" si="0"/>
        <v>5</v>
      </c>
      <c r="B7" s="101" t="s">
        <v>161</v>
      </c>
      <c r="C7" s="102" t="s">
        <v>53</v>
      </c>
      <c r="D7" s="158">
        <v>2</v>
      </c>
      <c r="E7" s="103" t="s">
        <v>58</v>
      </c>
      <c r="F7" s="159">
        <v>5</v>
      </c>
      <c r="I7" s="33">
        <f>I5+1</f>
        <v>3</v>
      </c>
      <c r="J7" s="34" t="s">
        <v>61</v>
      </c>
      <c r="K7" s="35"/>
      <c r="L7" s="36"/>
      <c r="M7" s="37"/>
      <c r="N7" s="790" t="s">
        <v>141</v>
      </c>
      <c r="O7" s="791"/>
      <c r="P7" s="791"/>
      <c r="Q7" s="164">
        <v>0.05</v>
      </c>
      <c r="R7" s="165">
        <v>1250</v>
      </c>
    </row>
    <row r="8" spans="1:19" ht="20.149999999999999" customHeight="1" thickTop="1" thickBot="1" x14ac:dyDescent="0.4">
      <c r="A8" s="96">
        <f t="shared" si="0"/>
        <v>6</v>
      </c>
      <c r="B8" s="97" t="s">
        <v>163</v>
      </c>
      <c r="C8" s="98" t="s">
        <v>53</v>
      </c>
      <c r="D8" s="163">
        <v>2.25</v>
      </c>
      <c r="E8" s="99" t="s">
        <v>58</v>
      </c>
      <c r="F8" s="155">
        <v>7</v>
      </c>
      <c r="I8" s="33"/>
      <c r="J8" s="36" t="s">
        <v>70</v>
      </c>
      <c r="K8" s="35">
        <v>50</v>
      </c>
      <c r="L8" s="36" t="s">
        <v>63</v>
      </c>
      <c r="M8" s="37"/>
      <c r="N8" s="787" t="s">
        <v>43</v>
      </c>
      <c r="O8" s="788"/>
      <c r="P8" s="789"/>
      <c r="Q8" s="164">
        <v>0.15</v>
      </c>
      <c r="R8" s="165">
        <v>0.25</v>
      </c>
      <c r="S8" s="1" t="s">
        <v>145</v>
      </c>
    </row>
    <row r="9" spans="1:19" ht="20.149999999999999" customHeight="1" thickTop="1" thickBot="1" x14ac:dyDescent="0.4">
      <c r="A9" s="100">
        <f t="shared" si="0"/>
        <v>7</v>
      </c>
      <c r="B9" s="101" t="s">
        <v>162</v>
      </c>
      <c r="C9" s="102" t="s">
        <v>53</v>
      </c>
      <c r="D9" s="158">
        <v>2</v>
      </c>
      <c r="E9" s="103" t="s">
        <v>58</v>
      </c>
      <c r="F9" s="159">
        <v>7</v>
      </c>
      <c r="I9" s="33"/>
      <c r="J9" s="36" t="s">
        <v>69</v>
      </c>
      <c r="K9" s="35">
        <v>110</v>
      </c>
      <c r="L9" s="36" t="s">
        <v>63</v>
      </c>
      <c r="M9" s="37"/>
      <c r="N9" s="792" t="s">
        <v>143</v>
      </c>
      <c r="O9" s="792"/>
      <c r="P9" s="792"/>
      <c r="Q9" s="164">
        <v>15</v>
      </c>
      <c r="R9" s="165">
        <v>3.7499999999999999E-2</v>
      </c>
      <c r="S9" s="1" t="s">
        <v>144</v>
      </c>
    </row>
    <row r="10" spans="1:19" ht="20.149999999999999" customHeight="1" thickTop="1" x14ac:dyDescent="0.35">
      <c r="A10" s="96">
        <f t="shared" si="0"/>
        <v>8</v>
      </c>
      <c r="B10" s="97" t="s">
        <v>315</v>
      </c>
      <c r="C10" s="98" t="s">
        <v>53</v>
      </c>
      <c r="D10" s="163">
        <f>'Data Entry'!K8*100</f>
        <v>1.25</v>
      </c>
      <c r="E10" s="99" t="s">
        <v>58</v>
      </c>
      <c r="F10" s="155">
        <v>5</v>
      </c>
      <c r="I10" s="33"/>
      <c r="J10" s="36" t="s">
        <v>68</v>
      </c>
      <c r="K10" s="35">
        <v>200</v>
      </c>
      <c r="L10" s="36" t="s">
        <v>63</v>
      </c>
      <c r="M10" s="37"/>
    </row>
    <row r="11" spans="1:19" ht="20.149999999999999" customHeight="1" x14ac:dyDescent="0.35">
      <c r="A11" s="100">
        <f t="shared" si="0"/>
        <v>9</v>
      </c>
      <c r="B11" s="101" t="s">
        <v>154</v>
      </c>
      <c r="C11" s="102" t="s">
        <v>53</v>
      </c>
      <c r="D11" s="158">
        <v>1</v>
      </c>
      <c r="E11" s="103" t="s">
        <v>58</v>
      </c>
      <c r="F11" s="159">
        <v>60</v>
      </c>
      <c r="I11" s="29">
        <v>4</v>
      </c>
      <c r="J11" s="30" t="s">
        <v>65</v>
      </c>
      <c r="K11" s="160">
        <v>10</v>
      </c>
      <c r="L11" s="31" t="s">
        <v>71</v>
      </c>
      <c r="M11" s="32"/>
    </row>
    <row r="12" spans="1:19" ht="20.149999999999999" customHeight="1" x14ac:dyDescent="0.35">
      <c r="A12" s="96">
        <f t="shared" si="0"/>
        <v>10</v>
      </c>
      <c r="B12" s="97" t="s">
        <v>55</v>
      </c>
      <c r="C12" s="98" t="s">
        <v>53</v>
      </c>
      <c r="D12" s="163">
        <v>1.75</v>
      </c>
      <c r="E12" s="99" t="s">
        <v>58</v>
      </c>
      <c r="F12" s="155">
        <v>4</v>
      </c>
      <c r="I12" s="33">
        <f>I11+1</f>
        <v>5</v>
      </c>
      <c r="J12" s="39" t="s">
        <v>66</v>
      </c>
      <c r="K12" s="35">
        <v>10</v>
      </c>
      <c r="L12" s="36" t="s">
        <v>72</v>
      </c>
      <c r="M12" s="37"/>
    </row>
    <row r="13" spans="1:19" ht="20.149999999999999" customHeight="1" thickBot="1" x14ac:dyDescent="0.4">
      <c r="A13" s="100">
        <f t="shared" si="0"/>
        <v>11</v>
      </c>
      <c r="B13" s="111" t="s">
        <v>56</v>
      </c>
      <c r="C13" s="112" t="s">
        <v>53</v>
      </c>
      <c r="D13" s="166">
        <v>0.8</v>
      </c>
      <c r="E13" s="113" t="s">
        <v>58</v>
      </c>
      <c r="F13" s="167">
        <v>4</v>
      </c>
      <c r="I13" s="29">
        <f>I12+1</f>
        <v>6</v>
      </c>
      <c r="J13" s="30" t="s">
        <v>13</v>
      </c>
      <c r="K13" s="160">
        <v>15</v>
      </c>
      <c r="L13" s="31" t="s">
        <v>71</v>
      </c>
      <c r="M13" s="32"/>
    </row>
    <row r="14" spans="1:19" ht="20.149999999999999" customHeight="1" thickTop="1" thickBot="1" x14ac:dyDescent="0.4">
      <c r="A14" s="96">
        <f t="shared" si="0"/>
        <v>12</v>
      </c>
      <c r="B14" s="114" t="s">
        <v>164</v>
      </c>
      <c r="C14" s="98" t="s">
        <v>53</v>
      </c>
      <c r="D14" s="168">
        <v>0.8</v>
      </c>
      <c r="E14" s="115" t="s">
        <v>58</v>
      </c>
      <c r="F14" s="169">
        <v>4</v>
      </c>
      <c r="I14" s="33">
        <f>I13+1</f>
        <v>7</v>
      </c>
      <c r="J14" s="39" t="s">
        <v>48</v>
      </c>
      <c r="K14" s="35">
        <v>30</v>
      </c>
      <c r="L14" s="36" t="s">
        <v>71</v>
      </c>
      <c r="M14" s="55" t="s">
        <v>126</v>
      </c>
    </row>
    <row r="15" spans="1:19" ht="20.149999999999999" customHeight="1" thickTop="1" thickBot="1" x14ac:dyDescent="0.4">
      <c r="A15" s="100">
        <f>A14+1</f>
        <v>13</v>
      </c>
      <c r="B15" s="111" t="s">
        <v>167</v>
      </c>
      <c r="C15" s="112" t="s">
        <v>53</v>
      </c>
      <c r="D15" s="166">
        <v>2</v>
      </c>
      <c r="E15" s="113" t="s">
        <v>58</v>
      </c>
      <c r="F15" s="167">
        <v>50</v>
      </c>
      <c r="I15" s="29">
        <f>I14+1</f>
        <v>8</v>
      </c>
      <c r="J15" s="30" t="s">
        <v>67</v>
      </c>
      <c r="K15" s="160">
        <v>33.33</v>
      </c>
      <c r="L15" s="31" t="s">
        <v>71</v>
      </c>
      <c r="M15" s="55" t="s">
        <v>126</v>
      </c>
    </row>
    <row r="16" spans="1:19" ht="20.149999999999999" customHeight="1" thickTop="1" x14ac:dyDescent="0.35">
      <c r="A16" s="96">
        <f>A15+1</f>
        <v>14</v>
      </c>
      <c r="B16" s="97" t="s">
        <v>316</v>
      </c>
      <c r="C16" s="98" t="s">
        <v>53</v>
      </c>
      <c r="D16" s="399">
        <v>2.25</v>
      </c>
      <c r="E16" s="400" t="s">
        <v>58</v>
      </c>
      <c r="F16" s="169">
        <v>4</v>
      </c>
      <c r="I16" s="33">
        <f>I15+1</f>
        <v>9</v>
      </c>
      <c r="J16" s="34" t="s">
        <v>39</v>
      </c>
      <c r="K16" s="36"/>
      <c r="L16" s="36"/>
      <c r="M16" s="37"/>
    </row>
    <row r="17" spans="1:15" ht="20.149999999999999" customHeight="1" thickBot="1" x14ac:dyDescent="0.4">
      <c r="A17" s="393">
        <v>15</v>
      </c>
      <c r="B17" s="394" t="s">
        <v>165</v>
      </c>
      <c r="C17" s="395" t="s">
        <v>53</v>
      </c>
      <c r="D17" s="401"/>
      <c r="E17" s="402" t="s">
        <v>58</v>
      </c>
      <c r="F17" s="396">
        <v>5</v>
      </c>
      <c r="I17" s="33"/>
      <c r="J17" s="138" t="s">
        <v>546</v>
      </c>
      <c r="K17" s="170">
        <f>IF('Data Entry'!H8="Quadricycle",250,700)</f>
        <v>250</v>
      </c>
      <c r="L17" s="49" t="s">
        <v>82</v>
      </c>
      <c r="M17" s="50">
        <f>IF('Data Entry'!H8="Quadricycle",350,1100)</f>
        <v>350</v>
      </c>
    </row>
    <row r="18" spans="1:15" ht="20.149999999999999" customHeight="1" thickTop="1" thickBot="1" x14ac:dyDescent="0.4">
      <c r="A18" s="52">
        <v>1</v>
      </c>
      <c r="B18" s="40"/>
      <c r="C18" s="40"/>
      <c r="D18" s="40"/>
      <c r="E18" s="40"/>
      <c r="F18" s="40"/>
      <c r="I18" s="33"/>
      <c r="J18" s="138" t="s">
        <v>546</v>
      </c>
      <c r="K18" s="170">
        <f>IF('Data Entry'!H8="Quadricycle",250,700)</f>
        <v>250</v>
      </c>
      <c r="L18" s="51" t="s">
        <v>83</v>
      </c>
      <c r="M18" s="50">
        <f>IF('Data Entry'!H8="Quadricycle",650,2200)</f>
        <v>650</v>
      </c>
      <c r="N18" s="72"/>
    </row>
    <row r="19" spans="1:15" ht="20.149999999999999" customHeight="1" thickTop="1" thickBot="1" x14ac:dyDescent="0.4">
      <c r="A19" s="41"/>
      <c r="B19" s="42" t="s">
        <v>80</v>
      </c>
      <c r="C19" s="43" t="s">
        <v>53</v>
      </c>
      <c r="D19" s="171">
        <v>2.5</v>
      </c>
      <c r="E19" s="44" t="s">
        <v>58</v>
      </c>
      <c r="F19" s="40"/>
      <c r="I19" s="29">
        <v>10</v>
      </c>
      <c r="J19" s="30" t="s">
        <v>127</v>
      </c>
      <c r="K19" s="160">
        <v>15</v>
      </c>
      <c r="L19" s="31" t="s">
        <v>71</v>
      </c>
      <c r="M19" s="783" t="s">
        <v>128</v>
      </c>
      <c r="N19" s="784"/>
      <c r="O19" s="55" t="s">
        <v>114</v>
      </c>
    </row>
    <row r="20" spans="1:15" ht="20.149999999999999" customHeight="1" thickTop="1" thickBot="1" x14ac:dyDescent="0.4">
      <c r="A20" s="148"/>
      <c r="B20" s="149" t="s">
        <v>173</v>
      </c>
      <c r="C20" s="150" t="s">
        <v>53</v>
      </c>
      <c r="D20" s="172">
        <v>0</v>
      </c>
      <c r="E20" s="376" t="s">
        <v>58</v>
      </c>
      <c r="F20" s="377" t="s">
        <v>114</v>
      </c>
      <c r="G20" s="378">
        <f>IF(F20="Yes",D20,0)</f>
        <v>0</v>
      </c>
      <c r="H20" s="378"/>
      <c r="I20" s="29"/>
      <c r="J20" s="30"/>
      <c r="K20" s="160"/>
      <c r="L20" s="31"/>
      <c r="M20" s="228"/>
      <c r="N20" s="73"/>
    </row>
    <row r="21" spans="1:15" ht="20.149999999999999" customHeight="1" thickTop="1" thickBot="1" x14ac:dyDescent="0.4">
      <c r="A21" s="45"/>
      <c r="B21" s="46" t="s">
        <v>81</v>
      </c>
      <c r="C21" s="47" t="s">
        <v>53</v>
      </c>
      <c r="D21" s="173">
        <v>18</v>
      </c>
      <c r="E21" s="48" t="s">
        <v>58</v>
      </c>
      <c r="F21" s="40"/>
      <c r="I21" s="33">
        <f>I19+1</f>
        <v>11</v>
      </c>
      <c r="J21" s="39" t="s">
        <v>74</v>
      </c>
      <c r="K21" s="35">
        <v>10</v>
      </c>
      <c r="L21" s="36" t="s">
        <v>76</v>
      </c>
      <c r="M21" s="55" t="s">
        <v>126</v>
      </c>
    </row>
    <row r="22" spans="1:15" ht="30.75" customHeight="1" thickTop="1" thickBot="1" x14ac:dyDescent="0.35">
      <c r="I22" s="29">
        <f>I21+1</f>
        <v>12</v>
      </c>
      <c r="J22" s="56" t="s">
        <v>75</v>
      </c>
      <c r="K22" s="31"/>
      <c r="L22" s="31"/>
      <c r="M22" s="32"/>
    </row>
    <row r="23" spans="1:15" ht="20.149999999999999" customHeight="1" thickTop="1" thickBot="1" x14ac:dyDescent="0.4">
      <c r="A23" s="52">
        <v>2</v>
      </c>
      <c r="B23" s="53" t="s">
        <v>120</v>
      </c>
      <c r="I23" s="29"/>
      <c r="J23" s="31" t="s">
        <v>64</v>
      </c>
      <c r="K23" s="160">
        <v>150</v>
      </c>
      <c r="L23" s="57" t="s">
        <v>78</v>
      </c>
      <c r="M23" s="32"/>
    </row>
    <row r="24" spans="1:15" ht="20.149999999999999" customHeight="1" thickTop="1" thickBot="1" x14ac:dyDescent="0.4">
      <c r="A24" s="54"/>
      <c r="B24" s="174">
        <v>28000000</v>
      </c>
      <c r="I24" s="29"/>
      <c r="J24" s="58" t="s">
        <v>124</v>
      </c>
      <c r="K24" s="175">
        <v>600</v>
      </c>
      <c r="L24" s="59" t="s">
        <v>78</v>
      </c>
      <c r="M24" s="32"/>
    </row>
    <row r="25" spans="1:15" ht="20.149999999999999" customHeight="1" thickBot="1" x14ac:dyDescent="0.4">
      <c r="B25" s="174">
        <v>1000000</v>
      </c>
      <c r="C25" s="87" t="s">
        <v>137</v>
      </c>
      <c r="I25" s="29"/>
      <c r="J25" s="31" t="s">
        <v>77</v>
      </c>
      <c r="K25" s="160">
        <v>150</v>
      </c>
      <c r="L25" s="57" t="s">
        <v>78</v>
      </c>
      <c r="M25" s="32"/>
    </row>
    <row r="26" spans="1:15" ht="20.149999999999999" customHeight="1" thickTop="1" thickBot="1" x14ac:dyDescent="0.4">
      <c r="A26" s="52">
        <v>3</v>
      </c>
      <c r="B26" s="53" t="s">
        <v>113</v>
      </c>
      <c r="F26" s="53" t="s">
        <v>393</v>
      </c>
      <c r="I26" s="33">
        <v>13</v>
      </c>
      <c r="J26" s="34" t="s">
        <v>84</v>
      </c>
      <c r="K26" s="36"/>
      <c r="L26" s="36"/>
      <c r="M26" s="50"/>
    </row>
    <row r="27" spans="1:15" ht="20.149999999999999" customHeight="1" thickTop="1" thickBot="1" x14ac:dyDescent="0.4">
      <c r="A27" s="54"/>
      <c r="B27" s="174">
        <v>28000000</v>
      </c>
      <c r="F27" s="793">
        <v>10</v>
      </c>
      <c r="G27" s="794"/>
      <c r="I27" s="61"/>
      <c r="J27" s="62" t="s">
        <v>85</v>
      </c>
      <c r="K27" s="170">
        <v>6</v>
      </c>
      <c r="L27" s="71" t="s">
        <v>89</v>
      </c>
      <c r="M27" s="50">
        <v>12</v>
      </c>
    </row>
    <row r="28" spans="1:15" ht="20.149999999999999" customHeight="1" thickTop="1" thickBot="1" x14ac:dyDescent="0.4">
      <c r="A28" s="52">
        <v>4</v>
      </c>
      <c r="B28" s="53" t="s">
        <v>115</v>
      </c>
      <c r="C28" s="808" t="s">
        <v>79</v>
      </c>
      <c r="D28" s="809"/>
      <c r="I28" s="61"/>
      <c r="J28" s="62" t="s">
        <v>88</v>
      </c>
      <c r="K28" s="170">
        <v>20</v>
      </c>
      <c r="L28" s="71" t="s">
        <v>90</v>
      </c>
      <c r="M28" s="50">
        <v>30</v>
      </c>
    </row>
    <row r="29" spans="1:15" ht="20.149999999999999" customHeight="1" thickTop="1" thickBot="1" x14ac:dyDescent="0.4">
      <c r="A29" s="52">
        <v>5</v>
      </c>
      <c r="B29" s="60" t="s">
        <v>116</v>
      </c>
      <c r="C29" s="793">
        <v>75</v>
      </c>
      <c r="D29" s="794"/>
      <c r="E29" s="810">
        <f>IF(OR('Data Entry'!H8=Administration!C7,'Data Entry'!H8=Administration!C8),G29,0)</f>
        <v>0</v>
      </c>
      <c r="F29" s="811"/>
      <c r="G29" s="795">
        <v>1200000</v>
      </c>
      <c r="H29" s="796"/>
      <c r="I29" s="61"/>
      <c r="J29" s="62" t="s">
        <v>87</v>
      </c>
      <c r="K29" s="170">
        <v>55</v>
      </c>
      <c r="L29" s="71" t="s">
        <v>91</v>
      </c>
      <c r="M29" s="50">
        <v>105</v>
      </c>
    </row>
    <row r="30" spans="1:15" ht="20.149999999999999" customHeight="1" thickTop="1" thickBot="1" x14ac:dyDescent="0.4">
      <c r="A30" s="52">
        <v>6</v>
      </c>
      <c r="B30" s="53" t="s">
        <v>117</v>
      </c>
      <c r="I30" s="61"/>
      <c r="J30" s="62" t="s">
        <v>86</v>
      </c>
      <c r="K30" s="170">
        <v>290</v>
      </c>
      <c r="L30" s="62"/>
      <c r="M30" s="50"/>
    </row>
    <row r="31" spans="1:15" ht="20.149999999999999" customHeight="1" thickTop="1" thickBot="1" x14ac:dyDescent="0.4">
      <c r="A31" s="54"/>
      <c r="B31" s="174">
        <v>1000000</v>
      </c>
      <c r="I31" s="29">
        <v>14</v>
      </c>
      <c r="J31" s="30" t="s">
        <v>92</v>
      </c>
      <c r="K31" s="160">
        <v>2000</v>
      </c>
      <c r="L31" s="57" t="s">
        <v>78</v>
      </c>
      <c r="M31" s="32"/>
    </row>
    <row r="32" spans="1:15" ht="20.149999999999999" customHeight="1" thickTop="1" thickBot="1" x14ac:dyDescent="0.4">
      <c r="A32" s="52">
        <v>7</v>
      </c>
      <c r="B32" s="53" t="s">
        <v>129</v>
      </c>
      <c r="I32" s="33">
        <v>15</v>
      </c>
      <c r="J32" s="39" t="s">
        <v>93</v>
      </c>
      <c r="K32" s="35">
        <v>10</v>
      </c>
      <c r="L32" s="36" t="s">
        <v>94</v>
      </c>
      <c r="M32" s="37"/>
    </row>
    <row r="33" spans="1:13" ht="20.149999999999999" customHeight="1" thickTop="1" thickBot="1" x14ac:dyDescent="0.4">
      <c r="B33" s="174">
        <v>5000</v>
      </c>
      <c r="I33" s="29">
        <v>16</v>
      </c>
      <c r="J33" s="56" t="s">
        <v>9</v>
      </c>
      <c r="K33" s="31"/>
      <c r="L33" s="31"/>
      <c r="M33" s="32"/>
    </row>
    <row r="34" spans="1:13" ht="20.149999999999999" customHeight="1" thickBot="1" x14ac:dyDescent="0.35">
      <c r="I34" s="65"/>
      <c r="J34" s="31" t="s">
        <v>96</v>
      </c>
      <c r="K34" s="160">
        <v>150</v>
      </c>
      <c r="L34" s="57" t="s">
        <v>78</v>
      </c>
      <c r="M34" s="32"/>
    </row>
    <row r="35" spans="1:13" ht="20.149999999999999" customHeight="1" thickTop="1" thickBot="1" x14ac:dyDescent="0.4">
      <c r="A35" s="52">
        <v>8</v>
      </c>
      <c r="B35" s="84" t="s">
        <v>136</v>
      </c>
      <c r="I35" s="65"/>
      <c r="J35" s="31" t="s">
        <v>62</v>
      </c>
      <c r="K35" s="160">
        <v>200</v>
      </c>
      <c r="L35" s="57" t="s">
        <v>78</v>
      </c>
      <c r="M35" s="32"/>
    </row>
    <row r="36" spans="1:13" ht="20.149999999999999" customHeight="1" thickTop="1" thickBot="1" x14ac:dyDescent="0.4">
      <c r="A36" s="54"/>
      <c r="B36" s="174">
        <f>IF('Data Entry'!H8="Three Wheeler",1000,7500)</f>
        <v>7500</v>
      </c>
      <c r="I36" s="65"/>
      <c r="J36" s="31" t="s">
        <v>95</v>
      </c>
      <c r="K36" s="160">
        <v>200</v>
      </c>
      <c r="L36" s="57" t="s">
        <v>78</v>
      </c>
      <c r="M36" s="32"/>
    </row>
    <row r="37" spans="1:13" ht="20.149999999999999" customHeight="1" thickTop="1" thickBot="1" x14ac:dyDescent="0.4">
      <c r="A37" s="52">
        <v>9</v>
      </c>
      <c r="B37" s="86" t="s">
        <v>134</v>
      </c>
      <c r="I37" s="33">
        <v>17</v>
      </c>
      <c r="J37" s="34" t="s">
        <v>3</v>
      </c>
      <c r="K37" s="35"/>
      <c r="L37" s="36"/>
      <c r="M37" s="37"/>
    </row>
    <row r="38" spans="1:13" ht="20.149999999999999" customHeight="1" thickTop="1" thickBot="1" x14ac:dyDescent="0.35">
      <c r="B38" s="85" t="s">
        <v>135</v>
      </c>
      <c r="C38" s="805">
        <v>0</v>
      </c>
      <c r="D38" s="806"/>
      <c r="E38" s="807"/>
      <c r="I38" s="66" t="s">
        <v>97</v>
      </c>
      <c r="J38" s="35">
        <v>1000</v>
      </c>
      <c r="K38" s="176">
        <v>10</v>
      </c>
      <c r="L38" s="67"/>
      <c r="M38" s="37"/>
    </row>
    <row r="39" spans="1:13" ht="20.149999999999999" customHeight="1" thickTop="1" thickBot="1" x14ac:dyDescent="0.4">
      <c r="A39" s="52">
        <v>10</v>
      </c>
      <c r="B39" s="63" t="s">
        <v>119</v>
      </c>
      <c r="D39" s="69" t="s">
        <v>79</v>
      </c>
      <c r="I39" s="66" t="s">
        <v>97</v>
      </c>
      <c r="J39" s="35">
        <v>2500</v>
      </c>
      <c r="K39" s="176">
        <v>15</v>
      </c>
      <c r="L39" s="67"/>
      <c r="M39" s="37"/>
    </row>
    <row r="40" spans="1:13" ht="17.149999999999999" customHeight="1" thickTop="1" thickBot="1" x14ac:dyDescent="0.4">
      <c r="A40" s="54"/>
      <c r="B40" s="64" t="s">
        <v>118</v>
      </c>
      <c r="C40" s="805">
        <v>50000</v>
      </c>
      <c r="D40" s="806"/>
      <c r="E40" s="807"/>
      <c r="I40" s="66" t="s">
        <v>97</v>
      </c>
      <c r="J40" s="35">
        <v>5000</v>
      </c>
      <c r="K40" s="176">
        <v>20</v>
      </c>
      <c r="L40" s="67"/>
      <c r="M40" s="37"/>
    </row>
    <row r="41" spans="1:13" ht="17.149999999999999" customHeight="1" thickTop="1" thickBot="1" x14ac:dyDescent="0.35">
      <c r="B41" s="64" t="s">
        <v>130</v>
      </c>
      <c r="D41" s="69" t="s">
        <v>114</v>
      </c>
      <c r="I41" s="29">
        <v>18</v>
      </c>
      <c r="J41" s="56" t="s">
        <v>98</v>
      </c>
      <c r="K41" s="31"/>
      <c r="L41" s="31"/>
      <c r="M41" s="32"/>
    </row>
    <row r="42" spans="1:13" ht="17.149999999999999" customHeight="1" thickTop="1" thickBot="1" x14ac:dyDescent="0.35">
      <c r="B42" s="64" t="s">
        <v>159</v>
      </c>
      <c r="D42" s="69">
        <v>10</v>
      </c>
      <c r="I42" s="65"/>
      <c r="J42" s="68" t="s">
        <v>99</v>
      </c>
      <c r="K42" s="160">
        <v>4.5</v>
      </c>
      <c r="L42" s="31" t="s">
        <v>71</v>
      </c>
      <c r="M42" s="32"/>
    </row>
    <row r="43" spans="1:13" ht="17.149999999999999" customHeight="1" thickTop="1" thickBot="1" x14ac:dyDescent="0.4">
      <c r="A43" s="52">
        <v>11</v>
      </c>
      <c r="B43" s="812" t="s">
        <v>131</v>
      </c>
      <c r="D43" s="69" t="s">
        <v>114</v>
      </c>
      <c r="I43" s="65"/>
      <c r="J43" s="68" t="s">
        <v>100</v>
      </c>
      <c r="K43" s="160">
        <v>5.25</v>
      </c>
      <c r="L43" s="31" t="s">
        <v>71</v>
      </c>
      <c r="M43" s="32"/>
    </row>
    <row r="44" spans="1:13" ht="17.149999999999999" customHeight="1" thickTop="1" thickBot="1" x14ac:dyDescent="0.35">
      <c r="B44" s="812"/>
      <c r="I44" s="65"/>
      <c r="J44" s="68" t="s">
        <v>101</v>
      </c>
      <c r="K44" s="160">
        <v>6</v>
      </c>
      <c r="L44" s="31" t="s">
        <v>71</v>
      </c>
      <c r="M44" s="32"/>
    </row>
    <row r="45" spans="1:13" ht="17.149999999999999" customHeight="1" thickTop="1" thickBot="1" x14ac:dyDescent="0.4">
      <c r="A45" s="52">
        <v>12</v>
      </c>
      <c r="B45" s="64" t="s">
        <v>295</v>
      </c>
      <c r="D45" s="69" t="s">
        <v>114</v>
      </c>
      <c r="I45" s="65"/>
      <c r="J45" s="68" t="s">
        <v>102</v>
      </c>
      <c r="K45" s="160">
        <v>6.25</v>
      </c>
      <c r="L45" s="31" t="s">
        <v>71</v>
      </c>
      <c r="M45" s="32"/>
    </row>
    <row r="46" spans="1:13" ht="17.149999999999999" customHeight="1" thickTop="1" thickBot="1" x14ac:dyDescent="0.35">
      <c r="I46" s="65"/>
      <c r="J46" s="68" t="s">
        <v>103</v>
      </c>
      <c r="K46" s="160">
        <v>6.5</v>
      </c>
      <c r="L46" s="31" t="s">
        <v>71</v>
      </c>
      <c r="M46" s="32"/>
    </row>
    <row r="47" spans="1:13" ht="17.149999999999999" customHeight="1" thickTop="1" thickBot="1" x14ac:dyDescent="0.4">
      <c r="A47" s="52">
        <v>13</v>
      </c>
      <c r="B47" s="804" t="s">
        <v>398</v>
      </c>
      <c r="D47" s="69" t="s">
        <v>114</v>
      </c>
      <c r="I47" s="65"/>
      <c r="J47" s="68" t="s">
        <v>104</v>
      </c>
      <c r="K47" s="160">
        <v>6.75</v>
      </c>
      <c r="L47" s="31" t="s">
        <v>71</v>
      </c>
      <c r="M47" s="32"/>
    </row>
    <row r="48" spans="1:13" ht="17.149999999999999" customHeight="1" thickTop="1" x14ac:dyDescent="0.3">
      <c r="B48" s="804"/>
      <c r="I48" s="65"/>
      <c r="J48" s="68" t="s">
        <v>105</v>
      </c>
      <c r="K48" s="160">
        <v>7</v>
      </c>
      <c r="L48" s="31" t="s">
        <v>71</v>
      </c>
      <c r="M48" s="32"/>
    </row>
    <row r="49" spans="1:13" ht="17.149999999999999" customHeight="1" thickBot="1" x14ac:dyDescent="0.35">
      <c r="I49" s="65"/>
      <c r="J49" s="68" t="s">
        <v>106</v>
      </c>
      <c r="K49" s="160">
        <v>7</v>
      </c>
      <c r="L49" s="31" t="s">
        <v>71</v>
      </c>
      <c r="M49" s="32"/>
    </row>
    <row r="50" spans="1:13" ht="20.149999999999999" customHeight="1" thickTop="1" thickBot="1" x14ac:dyDescent="0.4">
      <c r="A50" s="52">
        <v>14</v>
      </c>
      <c r="B50" s="64" t="s">
        <v>264</v>
      </c>
      <c r="D50" s="69" t="s">
        <v>114</v>
      </c>
      <c r="I50" s="65"/>
      <c r="J50" s="68" t="s">
        <v>107</v>
      </c>
      <c r="K50" s="160">
        <v>7</v>
      </c>
      <c r="L50" s="31" t="s">
        <v>71</v>
      </c>
      <c r="M50" s="32"/>
    </row>
    <row r="51" spans="1:13" ht="17.149999999999999" customHeight="1" thickTop="1" thickBot="1" x14ac:dyDescent="0.35">
      <c r="I51" s="65"/>
      <c r="J51" s="68" t="s">
        <v>108</v>
      </c>
      <c r="K51" s="160">
        <v>7</v>
      </c>
      <c r="L51" s="31" t="s">
        <v>71</v>
      </c>
      <c r="M51" s="32"/>
    </row>
    <row r="52" spans="1:13" ht="17.149999999999999" customHeight="1" thickTop="1" thickBot="1" x14ac:dyDescent="0.4">
      <c r="A52" s="52">
        <v>15</v>
      </c>
      <c r="B52" s="286" t="str">
        <f>CONCATENATE("Allow Vehicle Above ",Administration!F29," Years")</f>
        <v>Allow Vehicle Above 19 Years</v>
      </c>
      <c r="D52" s="69" t="s">
        <v>79</v>
      </c>
      <c r="I52" s="33">
        <v>19</v>
      </c>
      <c r="J52" s="34" t="s">
        <v>43</v>
      </c>
      <c r="K52" s="36"/>
      <c r="L52" s="36"/>
      <c r="M52" s="37"/>
    </row>
    <row r="53" spans="1:13" ht="17.149999999999999" customHeight="1" thickTop="1" thickBot="1" x14ac:dyDescent="0.35">
      <c r="I53" s="61"/>
      <c r="J53" s="36" t="s">
        <v>5</v>
      </c>
      <c r="K53" s="177">
        <v>0.7</v>
      </c>
      <c r="L53" s="36" t="s">
        <v>122</v>
      </c>
      <c r="M53" s="37"/>
    </row>
    <row r="54" spans="1:13" ht="17.149999999999999" customHeight="1" thickTop="1" thickBot="1" x14ac:dyDescent="0.4">
      <c r="A54" s="52">
        <v>16</v>
      </c>
      <c r="B54" s="286" t="s">
        <v>294</v>
      </c>
      <c r="I54" s="61"/>
      <c r="J54" s="38" t="s">
        <v>6</v>
      </c>
      <c r="K54" s="178">
        <v>1.5</v>
      </c>
      <c r="L54" s="38" t="s">
        <v>122</v>
      </c>
      <c r="M54" s="37"/>
    </row>
    <row r="55" spans="1:13" ht="20.149999999999999" customHeight="1" thickTop="1" thickBot="1" x14ac:dyDescent="0.35">
      <c r="B55" s="805">
        <v>15000</v>
      </c>
      <c r="C55" s="806"/>
      <c r="D55" s="807"/>
      <c r="I55" s="61"/>
      <c r="J55" s="38" t="s">
        <v>42</v>
      </c>
      <c r="K55" s="178">
        <v>3.5</v>
      </c>
      <c r="L55" s="38" t="s">
        <v>122</v>
      </c>
      <c r="M55" s="37"/>
    </row>
    <row r="56" spans="1:13" ht="20.149999999999999" customHeight="1" thickTop="1" thickBot="1" x14ac:dyDescent="0.35">
      <c r="I56" s="61"/>
      <c r="J56" s="38" t="s">
        <v>121</v>
      </c>
      <c r="K56" s="178">
        <v>1.5</v>
      </c>
      <c r="L56" s="38" t="s">
        <v>122</v>
      </c>
      <c r="M56" s="37"/>
    </row>
    <row r="57" spans="1:13" ht="20.149999999999999" customHeight="1" thickTop="1" thickBot="1" x14ac:dyDescent="0.45">
      <c r="A57" s="52">
        <v>17</v>
      </c>
      <c r="B57" s="467" t="s">
        <v>360</v>
      </c>
      <c r="I57" s="29">
        <v>20</v>
      </c>
      <c r="J57" s="56" t="s">
        <v>123</v>
      </c>
      <c r="K57" s="160">
        <v>33.33</v>
      </c>
      <c r="L57" s="31" t="s">
        <v>71</v>
      </c>
      <c r="M57" s="32"/>
    </row>
    <row r="58" spans="1:13" ht="20.149999999999999" customHeight="1" thickTop="1" thickBot="1" x14ac:dyDescent="0.35">
      <c r="B58" s="461" t="s">
        <v>364</v>
      </c>
      <c r="D58" s="69" t="s">
        <v>79</v>
      </c>
      <c r="I58" s="33">
        <v>21</v>
      </c>
      <c r="J58" s="34" t="s">
        <v>229</v>
      </c>
      <c r="K58" s="36"/>
      <c r="L58" s="36"/>
      <c r="M58" s="37"/>
    </row>
    <row r="59" spans="1:13" ht="20.149999999999999" customHeight="1" thickTop="1" thickBot="1" x14ac:dyDescent="0.35">
      <c r="B59" s="461" t="s">
        <v>361</v>
      </c>
      <c r="D59" s="262">
        <v>15</v>
      </c>
      <c r="E59" s="1" t="s">
        <v>365</v>
      </c>
      <c r="I59" s="61"/>
      <c r="J59" s="36" t="s">
        <v>230</v>
      </c>
      <c r="K59" s="177">
        <v>0</v>
      </c>
      <c r="L59" s="236" t="s">
        <v>78</v>
      </c>
      <c r="M59" s="37"/>
    </row>
    <row r="60" spans="1:13" ht="20.149999999999999" customHeight="1" thickBot="1" x14ac:dyDescent="0.35">
      <c r="B60" s="461" t="s">
        <v>362</v>
      </c>
      <c r="D60" s="262">
        <v>15</v>
      </c>
      <c r="E60" s="1" t="s">
        <v>365</v>
      </c>
      <c r="I60" s="61"/>
      <c r="J60" s="36" t="s">
        <v>231</v>
      </c>
      <c r="K60" s="178">
        <v>0</v>
      </c>
      <c r="L60" s="236" t="s">
        <v>78</v>
      </c>
      <c r="M60" s="37"/>
    </row>
    <row r="61" spans="1:13" ht="20.149999999999999" customHeight="1" thickTop="1" thickBot="1" x14ac:dyDescent="0.35">
      <c r="A61" s="498"/>
      <c r="B61" s="499" t="s">
        <v>366</v>
      </c>
      <c r="D61" s="69" t="s">
        <v>79</v>
      </c>
      <c r="I61" s="61"/>
      <c r="J61" s="38" t="s">
        <v>44</v>
      </c>
      <c r="K61" s="178">
        <v>0</v>
      </c>
      <c r="L61" s="236" t="s">
        <v>78</v>
      </c>
      <c r="M61" s="37"/>
    </row>
    <row r="62" spans="1:13" ht="20.149999999999999" customHeight="1" thickTop="1" thickBot="1" x14ac:dyDescent="0.35">
      <c r="I62" s="61"/>
      <c r="J62" s="38" t="s">
        <v>45</v>
      </c>
      <c r="K62" s="178">
        <v>6000</v>
      </c>
      <c r="L62" s="236" t="s">
        <v>78</v>
      </c>
      <c r="M62" s="37"/>
    </row>
    <row r="63" spans="1:13" ht="20.149999999999999" customHeight="1" thickTop="1" thickBot="1" x14ac:dyDescent="0.4">
      <c r="A63" s="52">
        <v>18</v>
      </c>
      <c r="B63" s="466" t="s">
        <v>363</v>
      </c>
      <c r="D63" s="69" t="s">
        <v>114</v>
      </c>
      <c r="I63" s="61"/>
      <c r="J63" s="38" t="s">
        <v>225</v>
      </c>
      <c r="K63" s="178">
        <v>0</v>
      </c>
      <c r="L63" s="236" t="s">
        <v>78</v>
      </c>
      <c r="M63" s="37"/>
    </row>
    <row r="64" spans="1:13" ht="20.149999999999999" customHeight="1" thickTop="1" thickBot="1" x14ac:dyDescent="0.35">
      <c r="B64" s="461" t="s">
        <v>364</v>
      </c>
      <c r="D64" s="69" t="s">
        <v>114</v>
      </c>
      <c r="I64" s="61"/>
      <c r="J64" s="38" t="s">
        <v>232</v>
      </c>
      <c r="K64" s="178">
        <v>2500</v>
      </c>
      <c r="L64" s="236" t="s">
        <v>78</v>
      </c>
      <c r="M64" s="37"/>
    </row>
    <row r="65" spans="1:13" ht="20.149999999999999" customHeight="1" thickTop="1" thickBot="1" x14ac:dyDescent="0.35">
      <c r="I65" s="61"/>
      <c r="J65" s="38" t="s">
        <v>228</v>
      </c>
      <c r="K65" s="178">
        <v>2000</v>
      </c>
      <c r="L65" s="236" t="s">
        <v>78</v>
      </c>
      <c r="M65" s="37"/>
    </row>
    <row r="66" spans="1:13" ht="20.149999999999999" customHeight="1" thickTop="1" thickBot="1" x14ac:dyDescent="0.45">
      <c r="A66" s="52">
        <v>19</v>
      </c>
      <c r="B66" s="467" t="s">
        <v>367</v>
      </c>
      <c r="I66" s="61"/>
      <c r="J66" s="38" t="s">
        <v>233</v>
      </c>
      <c r="K66" s="178">
        <v>5000</v>
      </c>
      <c r="L66" s="236" t="s">
        <v>78</v>
      </c>
      <c r="M66" s="37"/>
    </row>
    <row r="67" spans="1:13" ht="20.149999999999999" customHeight="1" thickTop="1" thickBot="1" x14ac:dyDescent="0.35">
      <c r="B67" s="465" t="s">
        <v>368</v>
      </c>
      <c r="D67" s="69" t="s">
        <v>79</v>
      </c>
      <c r="I67" s="61"/>
      <c r="J67" s="38" t="s">
        <v>220</v>
      </c>
      <c r="K67" s="178">
        <v>2500</v>
      </c>
      <c r="L67" s="236" t="s">
        <v>78</v>
      </c>
      <c r="M67" s="37"/>
    </row>
    <row r="68" spans="1:13" ht="20.149999999999999" customHeight="1" thickTop="1" x14ac:dyDescent="0.3">
      <c r="A68" s="797" t="s">
        <v>432</v>
      </c>
      <c r="B68" s="798"/>
      <c r="C68" s="798"/>
      <c r="D68" s="798"/>
      <c r="E68" s="798"/>
      <c r="F68" s="798"/>
      <c r="G68" s="799"/>
      <c r="I68" s="61"/>
      <c r="J68" s="38" t="s">
        <v>271</v>
      </c>
      <c r="K68" s="178">
        <v>10</v>
      </c>
      <c r="L68" s="346">
        <v>5000</v>
      </c>
      <c r="M68" s="347" t="s">
        <v>284</v>
      </c>
    </row>
    <row r="69" spans="1:13" ht="20.149999999999999" customHeight="1" x14ac:dyDescent="0.3">
      <c r="A69" s="800"/>
      <c r="B69" s="801"/>
      <c r="C69" s="801"/>
      <c r="D69" s="801"/>
      <c r="E69" s="801"/>
      <c r="F69" s="801"/>
      <c r="G69" s="802"/>
      <c r="I69" s="61"/>
      <c r="J69" s="38" t="s">
        <v>210</v>
      </c>
      <c r="K69" s="178">
        <v>0</v>
      </c>
      <c r="L69" s="236" t="s">
        <v>78</v>
      </c>
      <c r="M69" s="37"/>
    </row>
    <row r="70" spans="1:13" ht="20.149999999999999" customHeight="1" thickBot="1" x14ac:dyDescent="0.35">
      <c r="I70" s="61"/>
      <c r="J70" s="38" t="s">
        <v>272</v>
      </c>
      <c r="K70" s="178">
        <v>0</v>
      </c>
      <c r="L70" s="236" t="s">
        <v>78</v>
      </c>
      <c r="M70" s="37"/>
    </row>
    <row r="71" spans="1:13" ht="20.149999999999999" customHeight="1" thickTop="1" thickBot="1" x14ac:dyDescent="0.35">
      <c r="B71" s="465" t="s">
        <v>369</v>
      </c>
      <c r="D71" s="69" t="s">
        <v>114</v>
      </c>
      <c r="I71" s="61"/>
      <c r="J71" s="38" t="s">
        <v>209</v>
      </c>
      <c r="K71" s="178">
        <v>0</v>
      </c>
      <c r="L71" s="236" t="s">
        <v>78</v>
      </c>
      <c r="M71" s="37"/>
    </row>
    <row r="72" spans="1:13" ht="20.149999999999999" customHeight="1" thickTop="1" x14ac:dyDescent="0.3">
      <c r="A72" s="797"/>
      <c r="B72" s="798"/>
      <c r="C72" s="798"/>
      <c r="D72" s="798"/>
      <c r="E72" s="798"/>
      <c r="F72" s="798"/>
      <c r="G72" s="799"/>
      <c r="I72" s="61"/>
      <c r="J72" s="38" t="s">
        <v>276</v>
      </c>
      <c r="K72" s="178">
        <v>0</v>
      </c>
      <c r="L72" s="236" t="s">
        <v>78</v>
      </c>
      <c r="M72" s="37"/>
    </row>
    <row r="73" spans="1:13" ht="20.149999999999999" customHeight="1" x14ac:dyDescent="0.3">
      <c r="A73" s="800"/>
      <c r="B73" s="801"/>
      <c r="C73" s="801"/>
      <c r="D73" s="801"/>
      <c r="E73" s="801"/>
      <c r="F73" s="801"/>
      <c r="G73" s="802"/>
      <c r="I73" s="61"/>
      <c r="J73" s="38" t="s">
        <v>277</v>
      </c>
      <c r="K73" s="178">
        <v>0</v>
      </c>
      <c r="L73" s="236" t="s">
        <v>78</v>
      </c>
      <c r="M73" s="37"/>
    </row>
    <row r="74" spans="1:13" ht="20.149999999999999" customHeight="1" thickBot="1" x14ac:dyDescent="0.35">
      <c r="I74" s="61"/>
      <c r="J74" s="38" t="s">
        <v>211</v>
      </c>
      <c r="K74" s="178">
        <v>0</v>
      </c>
      <c r="L74" s="236" t="s">
        <v>78</v>
      </c>
      <c r="M74" s="37"/>
    </row>
    <row r="75" spans="1:13" ht="20.149999999999999" customHeight="1" thickTop="1" thickBot="1" x14ac:dyDescent="0.35">
      <c r="B75" s="465" t="s">
        <v>370</v>
      </c>
      <c r="D75" s="69" t="s">
        <v>114</v>
      </c>
      <c r="F75" s="463">
        <v>0.25</v>
      </c>
      <c r="I75" s="61"/>
      <c r="J75" s="38" t="s">
        <v>215</v>
      </c>
      <c r="K75" s="178">
        <v>0</v>
      </c>
      <c r="L75" s="236" t="s">
        <v>78</v>
      </c>
      <c r="M75" s="37"/>
    </row>
    <row r="76" spans="1:13" ht="20.149999999999999" customHeight="1" thickTop="1" thickBot="1" x14ac:dyDescent="0.35">
      <c r="B76" s="461" t="s">
        <v>364</v>
      </c>
      <c r="D76" s="69" t="str">
        <f>IF(OR('Data Entry'!H14="Yes",'Data Entry'!M12="Corporate"),"Yes","No")</f>
        <v>Yes</v>
      </c>
      <c r="I76" s="61"/>
      <c r="J76" s="611" t="s">
        <v>212</v>
      </c>
      <c r="K76" s="178">
        <v>3000</v>
      </c>
      <c r="L76" s="236" t="s">
        <v>78</v>
      </c>
      <c r="M76" s="37"/>
    </row>
    <row r="77" spans="1:13" ht="20.149999999999999" customHeight="1" thickTop="1" x14ac:dyDescent="0.3">
      <c r="I77" s="29">
        <v>22</v>
      </c>
      <c r="J77" s="56" t="s">
        <v>304</v>
      </c>
      <c r="K77" s="31"/>
      <c r="L77" s="31"/>
      <c r="M77" s="32"/>
    </row>
    <row r="78" spans="1:13" ht="20.149999999999999" customHeight="1" thickBot="1" x14ac:dyDescent="0.35">
      <c r="I78" s="65"/>
      <c r="J78" s="68" t="s">
        <v>314</v>
      </c>
      <c r="K78" s="386">
        <v>0.125</v>
      </c>
      <c r="L78" s="31" t="s">
        <v>305</v>
      </c>
      <c r="M78" s="32"/>
    </row>
    <row r="79" spans="1:13" ht="20.149999999999999" customHeight="1" thickTop="1" thickBot="1" x14ac:dyDescent="0.45">
      <c r="A79" s="52">
        <v>20</v>
      </c>
      <c r="B79" s="467" t="s">
        <v>394</v>
      </c>
      <c r="D79" s="69" t="s">
        <v>79</v>
      </c>
      <c r="I79" s="65"/>
      <c r="J79" s="68" t="s">
        <v>306</v>
      </c>
      <c r="K79" s="386">
        <v>0.25</v>
      </c>
      <c r="L79" s="31" t="s">
        <v>305</v>
      </c>
      <c r="M79" s="32"/>
    </row>
    <row r="80" spans="1:13" ht="20.149999999999999" customHeight="1" thickTop="1" thickBot="1" x14ac:dyDescent="0.35">
      <c r="I80" s="65"/>
      <c r="J80" s="68" t="s">
        <v>307</v>
      </c>
      <c r="K80" s="386">
        <v>0.375</v>
      </c>
      <c r="L80" s="31" t="s">
        <v>305</v>
      </c>
      <c r="M80" s="32"/>
    </row>
    <row r="81" spans="1:13" ht="20.149999999999999" customHeight="1" thickTop="1" thickBot="1" x14ac:dyDescent="0.4">
      <c r="A81" s="52">
        <v>24</v>
      </c>
      <c r="B81" s="600" t="s">
        <v>403</v>
      </c>
      <c r="D81" s="69" t="s">
        <v>114</v>
      </c>
      <c r="F81" s="69">
        <v>1000</v>
      </c>
      <c r="I81" s="65"/>
      <c r="J81" s="68" t="s">
        <v>300</v>
      </c>
      <c r="K81" s="386">
        <v>0.5</v>
      </c>
      <c r="L81" s="31" t="s">
        <v>71</v>
      </c>
      <c r="M81" s="32"/>
    </row>
    <row r="82" spans="1:13" ht="20.149999999999999" customHeight="1" thickTop="1" thickBot="1" x14ac:dyDescent="0.35">
      <c r="B82" s="609" t="s">
        <v>405</v>
      </c>
      <c r="I82" s="65"/>
      <c r="J82" s="68" t="s">
        <v>308</v>
      </c>
      <c r="K82" s="386">
        <v>0.625</v>
      </c>
      <c r="L82" s="31" t="s">
        <v>71</v>
      </c>
      <c r="M82" s="32"/>
    </row>
    <row r="83" spans="1:13" ht="20.149999999999999" customHeight="1" thickTop="1" thickBot="1" x14ac:dyDescent="0.35">
      <c r="B83" s="610" t="s">
        <v>223</v>
      </c>
      <c r="D83" s="69">
        <v>2500</v>
      </c>
      <c r="I83" s="65"/>
      <c r="J83" s="68" t="s">
        <v>303</v>
      </c>
      <c r="K83" s="386">
        <v>0.75</v>
      </c>
      <c r="L83" s="31" t="s">
        <v>71</v>
      </c>
      <c r="M83" s="32"/>
    </row>
    <row r="84" spans="1:13" ht="20.149999999999999" customHeight="1" thickTop="1" x14ac:dyDescent="0.3">
      <c r="I84" s="65"/>
      <c r="J84" s="68" t="s">
        <v>309</v>
      </c>
      <c r="K84" s="386">
        <v>0.75</v>
      </c>
      <c r="L84" s="31" t="s">
        <v>71</v>
      </c>
      <c r="M84" s="32"/>
    </row>
    <row r="85" spans="1:13" ht="20.149999999999999" customHeight="1" thickBot="1" x14ac:dyDescent="0.35">
      <c r="I85" s="65"/>
      <c r="J85" s="68" t="s">
        <v>310</v>
      </c>
      <c r="K85" s="386">
        <v>0.875</v>
      </c>
      <c r="L85" s="31" t="s">
        <v>305</v>
      </c>
      <c r="M85" s="32"/>
    </row>
    <row r="86" spans="1:13" ht="20.149999999999999" customHeight="1" thickTop="1" thickBot="1" x14ac:dyDescent="0.4">
      <c r="A86" s="52">
        <v>25</v>
      </c>
      <c r="B86" s="600" t="s">
        <v>409</v>
      </c>
      <c r="D86" s="621" t="s">
        <v>411</v>
      </c>
      <c r="E86" s="621"/>
      <c r="F86" s="621" t="s">
        <v>1</v>
      </c>
      <c r="I86" s="65"/>
      <c r="J86" s="68" t="s">
        <v>302</v>
      </c>
      <c r="K86" s="386">
        <v>0.875</v>
      </c>
      <c r="L86" s="31" t="s">
        <v>305</v>
      </c>
      <c r="M86" s="32"/>
    </row>
    <row r="87" spans="1:13" ht="20.149999999999999" customHeight="1" thickTop="1" x14ac:dyDescent="0.3">
      <c r="B87" s="619" t="s">
        <v>62</v>
      </c>
      <c r="D87" s="622">
        <f>IF(OR('Data Entry'!K14='Data Entry'!F108,'Data Entry'!K14='Data Entry'!F115),1,IF('Data Entry'!K14='Data Entry'!F100,0,IF('Data Entry'!K14='Data Entry'!F113,0,IF('Data Entry'!K14='Data Entry'!F98,Rates!D98,23))))</f>
        <v>23</v>
      </c>
      <c r="E87" s="623"/>
      <c r="F87" s="622">
        <f>IF('Data Entry'!K14='Data Entry'!F100,10,IF('Data Entry'!K14='Data Entry'!F113,10,IF('Data Entry'!K14='Data Entry'!F98,Rates!F98,35)))</f>
        <v>35</v>
      </c>
      <c r="I87" s="65"/>
      <c r="J87" s="68" t="s">
        <v>311</v>
      </c>
      <c r="K87" s="384">
        <v>1</v>
      </c>
      <c r="L87" s="31" t="s">
        <v>305</v>
      </c>
      <c r="M87" s="32"/>
    </row>
    <row r="88" spans="1:13" ht="20.149999999999999" customHeight="1" x14ac:dyDescent="0.3">
      <c r="B88" s="619" t="s">
        <v>410</v>
      </c>
      <c r="D88" s="622">
        <f>IF(OR('Data Entry'!K14='Data Entry'!F108,'Data Entry'!K14='Data Entry'!F115),0,IF('Data Entry'!K14='Data Entry'!F113,D92,IF(OR('Data Entry'!K14='Data Entry'!F103,'Data Entry'!K14='Data Entry'!F119),D104,0)))</f>
        <v>0</v>
      </c>
      <c r="E88" s="623"/>
      <c r="F88" s="622">
        <f>IF(OR('Data Entry'!K14='Data Entry'!F108,'Data Entry'!K14='Data Entry'!F115),15,IF('Data Entry'!K14='Data Entry'!F113,F92,IF(OR('Data Entry'!K14='Data Entry'!F103,'Data Entry'!K14='Data Entry'!F119),F104,15)))</f>
        <v>15</v>
      </c>
      <c r="I88" s="65"/>
      <c r="J88" s="68" t="s">
        <v>312</v>
      </c>
      <c r="K88" s="384">
        <v>1</v>
      </c>
      <c r="L88" s="31" t="s">
        <v>305</v>
      </c>
      <c r="M88" s="32"/>
    </row>
    <row r="89" spans="1:13" ht="20.149999999999999" customHeight="1" x14ac:dyDescent="0.3">
      <c r="I89" s="65"/>
      <c r="J89" s="68" t="s">
        <v>313</v>
      </c>
      <c r="K89" s="384">
        <v>1</v>
      </c>
      <c r="L89" s="31" t="s">
        <v>305</v>
      </c>
      <c r="M89" s="32"/>
    </row>
    <row r="90" spans="1:13" ht="20.149999999999999" customHeight="1" x14ac:dyDescent="0.3">
      <c r="B90" s="620"/>
      <c r="I90" s="65"/>
      <c r="J90" s="68" t="s">
        <v>301</v>
      </c>
      <c r="K90" s="384">
        <v>1</v>
      </c>
      <c r="L90" s="31" t="s">
        <v>305</v>
      </c>
      <c r="M90" s="32"/>
    </row>
    <row r="91" spans="1:13" ht="20.149999999999999" customHeight="1" x14ac:dyDescent="0.3">
      <c r="B91" s="634" t="s">
        <v>430</v>
      </c>
      <c r="C91" s="634"/>
      <c r="D91" s="635" t="s">
        <v>411</v>
      </c>
      <c r="E91" s="635"/>
      <c r="F91" s="635" t="s">
        <v>1</v>
      </c>
      <c r="I91" s="65"/>
      <c r="J91" s="68"/>
      <c r="K91" s="160"/>
      <c r="L91" s="31"/>
      <c r="M91" s="32"/>
    </row>
    <row r="92" spans="1:13" ht="20.149999999999999" customHeight="1" x14ac:dyDescent="0.3">
      <c r="B92" s="638" t="s">
        <v>431</v>
      </c>
      <c r="D92" s="622">
        <f>IF('Data Entry'!H9="Hiring",Rates!D95,Rates!F95)</f>
        <v>33.799999999999997</v>
      </c>
      <c r="E92" s="623"/>
      <c r="F92" s="622">
        <f>IF('Data Entry'!H9="Hiring",Rates!D96,Rates!F96)</f>
        <v>65</v>
      </c>
      <c r="I92" s="65"/>
      <c r="J92" s="68"/>
      <c r="K92" s="160"/>
      <c r="L92" s="31"/>
      <c r="M92" s="32"/>
    </row>
    <row r="93" spans="1:13" ht="20.149999999999999" customHeight="1" x14ac:dyDescent="0.3">
      <c r="I93" s="65"/>
      <c r="J93" s="68"/>
      <c r="K93" s="160"/>
      <c r="L93" s="31"/>
      <c r="M93" s="32"/>
    </row>
    <row r="94" spans="1:13" ht="20.149999999999999" customHeight="1" x14ac:dyDescent="0.3">
      <c r="D94" s="1" t="s">
        <v>44</v>
      </c>
      <c r="F94" s="1" t="s">
        <v>47</v>
      </c>
      <c r="I94" s="65"/>
      <c r="J94" s="68"/>
      <c r="K94" s="160"/>
      <c r="L94" s="31"/>
      <c r="M94" s="32"/>
    </row>
    <row r="95" spans="1:13" ht="20.149999999999999" customHeight="1" x14ac:dyDescent="0.25">
      <c r="B95" s="629" t="s">
        <v>411</v>
      </c>
      <c r="D95" s="1">
        <v>33.799999999999997</v>
      </c>
      <c r="F95" s="1">
        <v>10</v>
      </c>
    </row>
    <row r="96" spans="1:13" ht="20.149999999999999" customHeight="1" x14ac:dyDescent="0.25">
      <c r="B96" s="636" t="s">
        <v>1</v>
      </c>
      <c r="C96" s="20"/>
      <c r="D96" s="20">
        <v>65</v>
      </c>
      <c r="E96" s="20"/>
      <c r="F96" s="20">
        <v>38.32</v>
      </c>
    </row>
    <row r="97" spans="2:6" ht="20.149999999999999" customHeight="1" x14ac:dyDescent="0.3">
      <c r="B97" s="637" t="s">
        <v>434</v>
      </c>
      <c r="C97" s="634"/>
      <c r="D97" s="635" t="s">
        <v>411</v>
      </c>
      <c r="E97" s="635"/>
      <c r="F97" s="635" t="s">
        <v>1</v>
      </c>
    </row>
    <row r="98" spans="2:6" ht="20.149999999999999" customHeight="1" x14ac:dyDescent="0.3">
      <c r="B98" s="638" t="s">
        <v>433</v>
      </c>
      <c r="D98" s="622">
        <f>IF('Data Entry'!H15&gt;300000,40,30)</f>
        <v>40</v>
      </c>
      <c r="E98" s="623"/>
      <c r="F98" s="622">
        <v>45</v>
      </c>
    </row>
    <row r="99" spans="2:6" ht="20.149999999999999" customHeight="1" x14ac:dyDescent="0.25">
      <c r="D99" s="640" t="s">
        <v>435</v>
      </c>
      <c r="F99" s="639" t="s">
        <v>436</v>
      </c>
    </row>
    <row r="100" spans="2:6" ht="20.149999999999999" customHeight="1" x14ac:dyDescent="0.25">
      <c r="B100" s="629" t="s">
        <v>443</v>
      </c>
      <c r="D100" s="1">
        <v>50</v>
      </c>
      <c r="F100" s="1">
        <v>40</v>
      </c>
    </row>
    <row r="101" spans="2:6" ht="20.149999999999999" customHeight="1" x14ac:dyDescent="0.25">
      <c r="B101" s="636" t="s">
        <v>444</v>
      </c>
      <c r="C101" s="20"/>
      <c r="D101" s="20">
        <v>45</v>
      </c>
      <c r="E101" s="20"/>
      <c r="F101" s="20">
        <v>45</v>
      </c>
    </row>
    <row r="102" spans="2:6" ht="20.149999999999999" customHeight="1" x14ac:dyDescent="0.25">
      <c r="B102" s="636"/>
      <c r="C102" s="20"/>
      <c r="D102" s="20"/>
      <c r="E102" s="20"/>
      <c r="F102" s="20"/>
    </row>
    <row r="103" spans="2:6" ht="23.25" customHeight="1" x14ac:dyDescent="0.3">
      <c r="B103" s="641" t="s">
        <v>439</v>
      </c>
      <c r="C103" s="634"/>
      <c r="D103" s="635" t="s">
        <v>411</v>
      </c>
      <c r="E103" s="635"/>
      <c r="F103" s="635" t="s">
        <v>1</v>
      </c>
    </row>
    <row r="104" spans="2:6" ht="20.149999999999999" customHeight="1" x14ac:dyDescent="0.3">
      <c r="B104" s="638" t="s">
        <v>431</v>
      </c>
      <c r="D104" s="622">
        <v>33</v>
      </c>
      <c r="E104" s="623"/>
      <c r="F104" s="622">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171"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R14" sqref="R14"/>
    </sheetView>
  </sheetViews>
  <sheetFormatPr defaultColWidth="9.1796875" defaultRowHeight="20.149999999999999" customHeight="1" x14ac:dyDescent="0.25"/>
  <cols>
    <col min="1" max="1" width="5.1796875" style="415" customWidth="1"/>
    <col min="2" max="3" width="10.453125" style="415" customWidth="1"/>
    <col min="4" max="4" width="1.54296875" style="415" customWidth="1"/>
    <col min="5" max="5" width="3.54296875" style="415" customWidth="1"/>
    <col min="6" max="6" width="10.1796875" style="415" customWidth="1"/>
    <col min="7" max="7" width="5.453125" style="415" customWidth="1"/>
    <col min="8" max="8" width="4.1796875" style="415" customWidth="1"/>
    <col min="9" max="9" width="3.54296875" style="415" customWidth="1"/>
    <col min="10" max="10" width="10.1796875" style="415" customWidth="1"/>
    <col min="11" max="11" width="6.54296875" style="415" customWidth="1"/>
    <col min="12" max="12" width="9.54296875" style="415" customWidth="1"/>
    <col min="13" max="13" width="2.453125" style="415" customWidth="1"/>
    <col min="14" max="14" width="10.54296875" style="415" customWidth="1"/>
    <col min="15" max="15" width="13.54296875" style="415" customWidth="1"/>
    <col min="16" max="16" width="9.453125" style="415" bestFit="1" customWidth="1"/>
    <col min="17" max="19" width="9.1796875" style="415"/>
    <col min="20" max="20" width="11.453125" style="415" customWidth="1"/>
    <col min="21" max="21" width="10.453125" style="415" bestFit="1" customWidth="1"/>
    <col min="22" max="16384" width="9.1796875" style="415"/>
  </cols>
  <sheetData>
    <row r="1" spans="1:24" ht="20.149999999999999" customHeight="1" x14ac:dyDescent="0.3">
      <c r="A1" s="822"/>
      <c r="B1" s="823"/>
      <c r="C1" s="823"/>
      <c r="D1" s="823"/>
      <c r="E1" s="823"/>
      <c r="F1" s="823"/>
      <c r="G1" s="823"/>
      <c r="H1" s="823"/>
      <c r="I1" s="823"/>
      <c r="J1" s="453"/>
      <c r="K1" s="453"/>
      <c r="L1" s="453"/>
      <c r="M1" s="454"/>
      <c r="R1" s="438" t="s">
        <v>324</v>
      </c>
      <c r="S1" s="438">
        <f>IF(O3&gt;DATE('Data Entry'!I4,2,28),K3,'Data Entry'!I4)</f>
        <v>2014</v>
      </c>
      <c r="T1" s="415">
        <f>IF(OR(S1=2008,S1=2012,S1=2016,S1=2020),366,365)</f>
        <v>365</v>
      </c>
      <c r="U1" s="455" t="s">
        <v>222</v>
      </c>
      <c r="V1" s="455" t="s">
        <v>325</v>
      </c>
      <c r="W1" s="428" t="s">
        <v>326</v>
      </c>
    </row>
    <row r="2" spans="1:24" ht="20.149999999999999" customHeight="1" thickBot="1" x14ac:dyDescent="0.3">
      <c r="A2" s="436"/>
      <c r="B2" s="437"/>
      <c r="C2" s="437"/>
      <c r="D2" s="437"/>
      <c r="E2" s="437"/>
      <c r="F2" s="437"/>
      <c r="G2" s="437"/>
      <c r="H2" s="438"/>
      <c r="I2" s="438"/>
      <c r="J2" s="438"/>
      <c r="K2" s="438"/>
      <c r="L2" s="438"/>
      <c r="M2" s="439"/>
      <c r="O2" s="428" t="s">
        <v>206</v>
      </c>
      <c r="P2" s="428" t="s">
        <v>205</v>
      </c>
      <c r="Q2" s="428"/>
      <c r="R2" s="415" t="s">
        <v>327</v>
      </c>
      <c r="S2" s="415">
        <f>IF(OR('Data Entry'!I4=2008,'Data Entry'!I4=2012,'Data Entry'!I4=2016,'Data Entry'!I4=2020),29,28)</f>
        <v>28</v>
      </c>
      <c r="T2" s="415">
        <f>IF(OR(K3=2008,K3=2012,K3=2016,K3=2020),29,28)</f>
        <v>28</v>
      </c>
      <c r="U2" s="428">
        <f>IF(AND('Data Entry'!G4=1,'Data Entry'!H4="January"),'Data Entry'!I4,'Data Entry'!I4+1)</f>
        <v>2014</v>
      </c>
      <c r="V2" s="415" t="str">
        <f>IF('Data Entry'!G4-1=0,V4,'Data Entry'!H4)</f>
        <v>August</v>
      </c>
      <c r="W2" s="415">
        <f>IF('Data Entry'!G4-1=0,W4,'Data Entry'!G4-1)</f>
        <v>23</v>
      </c>
    </row>
    <row r="3" spans="1:24" ht="15.75" customHeight="1" thickBot="1" x14ac:dyDescent="0.3">
      <c r="A3" s="436"/>
      <c r="B3" s="437"/>
      <c r="C3" s="437"/>
      <c r="D3" s="437"/>
      <c r="E3" s="437"/>
      <c r="F3" s="437"/>
      <c r="G3" s="437"/>
      <c r="H3" s="440" t="s">
        <v>328</v>
      </c>
      <c r="I3" s="441">
        <f>W2</f>
        <v>23</v>
      </c>
      <c r="J3" s="441" t="str">
        <f>V2</f>
        <v>August</v>
      </c>
      <c r="K3" s="441">
        <f>U2</f>
        <v>2014</v>
      </c>
      <c r="L3" s="438"/>
      <c r="M3" s="439"/>
      <c r="O3" s="429">
        <f>DATE('Data Entry'!I4,P3,'Data Entry'!G4)</f>
        <v>41510</v>
      </c>
      <c r="P3" s="415">
        <f>IF('Data Entry'!H4="January",1,IF('Data Entry'!H4="February",2,IF('Data Entry'!H4="March",3,IF('Data Entry'!H4="April",4,IF('Data Entry'!H4="May",5,IF('Data Entry'!H4="June",6,IF('Data Entry'!H4="July",7,IF('Data Entry'!H4="August",8,Q3))))))))</f>
        <v>8</v>
      </c>
      <c r="Q3" s="415">
        <f>IF('Data Entry'!H4="September",9,IF('Data Entry'!H4="October",10,IF('Data Entry'!H4="November",11,12)))</f>
        <v>12</v>
      </c>
      <c r="R3" s="415" t="s">
        <v>329</v>
      </c>
      <c r="S3" s="415">
        <f>IF(AND(P3=2,'Data Entry'!G4&gt;S2),0,IF(AND(P3=4,'Data Entry'!G4&gt;30),0,IF(AND(P3=6,'Data Entry'!G4&gt;30),0,IF(AND(P3=9,'Data Entry'!G4&gt;30),0,IF(AND(P3=11,'Data Entry'!G4&gt;30),0,1)))))</f>
        <v>1</v>
      </c>
    </row>
    <row r="4" spans="1:24" ht="15.75" customHeight="1" x14ac:dyDescent="0.25">
      <c r="A4" s="436"/>
      <c r="B4" s="437"/>
      <c r="C4" s="437"/>
      <c r="D4" s="437"/>
      <c r="E4" s="437"/>
      <c r="F4" s="437"/>
      <c r="G4" s="437"/>
      <c r="H4" s="438"/>
      <c r="I4" s="442"/>
      <c r="J4" s="442"/>
      <c r="K4" s="442"/>
      <c r="L4" s="442"/>
      <c r="M4" s="443"/>
      <c r="N4" s="430"/>
      <c r="O4" s="429">
        <f>DATE(K3,P4,I3)</f>
        <v>41874</v>
      </c>
      <c r="P4" s="415">
        <f>IF(J3="January",1,IF(J3="February",2,IF(J3="March",3,IF(J3="April",4,IF(J3="May",5,IF(J3="June",6,IF(J3="July",7,IF(J3="August",8,Q4))))))))</f>
        <v>8</v>
      </c>
      <c r="Q4" s="415">
        <f>IF(J3="September",9,IF(J3="October",10,IF(J3="November",11,12)))</f>
        <v>12</v>
      </c>
      <c r="R4" s="415" t="s">
        <v>329</v>
      </c>
      <c r="S4" s="415">
        <f>IF(AND(P4=2,I3&gt;S2),0,IF(AND(P4=4,I3&gt;30),0,IF(AND(P4=6,I3&gt;30),0,IF(AND(P4=9,I3&gt;30),0,IF(AND(P4=11,I3&gt;30),0,1)))))</f>
        <v>1</v>
      </c>
      <c r="T4" s="431" t="s">
        <v>330</v>
      </c>
      <c r="U4" s="415">
        <f>IF('Data Entry'!$H$4="January",31,IF('Data Entry'!$H$4="February",S2,IF('Data Entry'!$H$4="March",31,IF('Data Entry'!$H$4="April",30,IF('Data Entry'!$H$4="May",31,IF('Data Entry'!$H$4="June",30,IF('Data Entry'!$H$4="July",31,IF('Data Entry'!$H$4="August",31,U5))))))))</f>
        <v>31</v>
      </c>
      <c r="V4" s="415" t="str">
        <f>IF('Data Entry'!$H$4="January","December",IF('Data Entry'!$H$4="February","January",IF('Data Entry'!$H$4="March","February",IF('Data Entry'!$H$4="April","March",IF('Data Entry'!$H$4="May","April",IF('Data Entry'!$H$4="June","May",IF('Data Entry'!$H$4="July","June",IF('Data Entry'!$H$4="August","July",V5))))))))</f>
        <v>July</v>
      </c>
      <c r="W4" s="415">
        <f>IF(V4="January",31,IF(V4="February",T2,IF(V4="March",31,IF(V4="April",30,IF(V4="May",31,IF(V4="June",30,IF(V4="July",31,IF(V4="August",31,W5))))))))</f>
        <v>31</v>
      </c>
    </row>
    <row r="5" spans="1:24" ht="12.75" customHeight="1" thickBot="1" x14ac:dyDescent="0.3">
      <c r="A5" s="436"/>
      <c r="B5" s="437"/>
      <c r="C5" s="437"/>
      <c r="D5" s="437"/>
      <c r="E5" s="437"/>
      <c r="F5" s="437"/>
      <c r="G5" s="437"/>
      <c r="H5" s="444"/>
      <c r="I5" s="826" t="str">
        <f>IF('Data Entry'!H3="Short period","Period Used (only for Short Period)","")</f>
        <v/>
      </c>
      <c r="J5" s="826"/>
      <c r="K5" s="826"/>
      <c r="L5" s="826"/>
      <c r="M5" s="443"/>
      <c r="N5" s="432"/>
      <c r="O5" s="429"/>
      <c r="U5" s="415">
        <f>IF('Data Entry'!$H$4="September",30,IF('Data Entry'!$H$4="October",31,IF('Data Entry'!$H$4="November",30,31)))</f>
        <v>31</v>
      </c>
      <c r="V5" s="415" t="str">
        <f>IF('Data Entry'!$H$4="September","August",IF('Data Entry'!$H$4="October","September",IF('Data Entry'!$H$4="November","October","November")))</f>
        <v>November</v>
      </c>
      <c r="W5" s="415">
        <f>IF(V4="September",30,IF(V4="October",31,IF(V4="November",30,31)))</f>
        <v>31</v>
      </c>
    </row>
    <row r="6" spans="1:24" ht="13.5" customHeight="1" thickBot="1" x14ac:dyDescent="0.3">
      <c r="A6" s="436"/>
      <c r="B6" s="437"/>
      <c r="C6" s="437"/>
      <c r="D6" s="437"/>
      <c r="E6" s="437"/>
      <c r="F6" s="437"/>
      <c r="G6" s="437"/>
      <c r="H6" s="445"/>
      <c r="I6" s="82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828"/>
      <c r="K6" s="828"/>
      <c r="L6" s="829"/>
      <c r="M6" s="439"/>
      <c r="O6" s="429">
        <f>DATE('Data Entry'!I5,P6,'Data Entry'!G5)</f>
        <v>41606</v>
      </c>
      <c r="P6" s="415">
        <f>IF('Data Entry'!H5="January",1,IF('Data Entry'!H5="February",2,IF('Data Entry'!H5="March",3,IF('Data Entry'!H5="April",4,IF('Data Entry'!H5="May",5,IF('Data Entry'!H5="June",6,IF('Data Entry'!H5="July",7,IF('Data Entry'!H5="August",8,Q6))))))))</f>
        <v>11</v>
      </c>
      <c r="Q6" s="415">
        <f>IF('Data Entry'!H5="September",9,IF('Data Entry'!H5="October",10,IF('Data Entry'!H5="November",11,12)))</f>
        <v>11</v>
      </c>
      <c r="R6" s="415" t="s">
        <v>329</v>
      </c>
      <c r="S6" s="415">
        <f>IF(AND(P6=2,'Data Entry'!G5&gt;S2),0,IF(AND(P6=4,'Data Entry'!G5&gt;30),0,IF(AND(P6=6,'Data Entry'!G5&gt;30),0,IF(AND(P6=9,'Data Entry'!G5&gt;30),0,IF(AND(P6=11,'Data Entry'!G5&gt;30),0,1)))))</f>
        <v>1</v>
      </c>
    </row>
    <row r="7" spans="1:24" ht="15" customHeight="1" thickBot="1" x14ac:dyDescent="0.3">
      <c r="A7" s="436"/>
      <c r="B7" s="437"/>
      <c r="C7" s="437"/>
      <c r="D7" s="437"/>
      <c r="E7" s="437"/>
      <c r="F7" s="437"/>
      <c r="G7" s="437"/>
      <c r="H7" s="445"/>
      <c r="I7" s="438"/>
      <c r="J7" s="445"/>
      <c r="K7" s="438"/>
      <c r="L7" s="438"/>
      <c r="M7" s="439"/>
      <c r="O7" s="428" t="s">
        <v>332</v>
      </c>
    </row>
    <row r="8" spans="1:24" ht="16.5" customHeight="1" thickBot="1" x14ac:dyDescent="0.3">
      <c r="A8" s="436"/>
      <c r="B8" s="437"/>
      <c r="C8" s="437"/>
      <c r="D8" s="446"/>
      <c r="E8" s="446" t="s">
        <v>333</v>
      </c>
      <c r="F8" s="438"/>
      <c r="G8" s="445"/>
      <c r="H8" s="447">
        <f>T1-P8</f>
        <v>268</v>
      </c>
      <c r="I8" s="446" t="s">
        <v>334</v>
      </c>
      <c r="J8" s="445"/>
      <c r="K8" s="438"/>
      <c r="L8" s="438"/>
      <c r="M8" s="439"/>
      <c r="O8" s="433">
        <f>((O4-O3))*S3*S4</f>
        <v>364</v>
      </c>
      <c r="P8" s="433">
        <f>(O6-O3)+1</f>
        <v>97</v>
      </c>
    </row>
    <row r="9" spans="1:24" ht="14.25" customHeight="1" thickBot="1" x14ac:dyDescent="0.3">
      <c r="A9" s="436"/>
      <c r="B9" s="437"/>
      <c r="C9" s="437"/>
      <c r="D9" s="438"/>
      <c r="E9" s="446" t="s">
        <v>353</v>
      </c>
      <c r="F9" s="445"/>
      <c r="G9" s="445"/>
      <c r="H9" s="448">
        <f>P8</f>
        <v>97</v>
      </c>
      <c r="I9" s="446"/>
      <c r="J9" s="449">
        <f>IF('Data Entry'!H3="Short Period",Calculation!O12,Calculation!O14)*Calculation!S3*Calculation!S4*Calculation!S6*Calculation!N11</f>
        <v>0.26575342465753427</v>
      </c>
      <c r="K9" s="438"/>
      <c r="L9" s="438"/>
      <c r="M9" s="439"/>
      <c r="N9" s="434" t="s">
        <v>329</v>
      </c>
      <c r="O9" s="415">
        <f>IF(OR(O8&lt;1,O8&gt;90),0,1)</f>
        <v>0</v>
      </c>
      <c r="V9" s="428" t="s">
        <v>204</v>
      </c>
      <c r="W9" s="415" t="s">
        <v>205</v>
      </c>
      <c r="X9" s="415" t="s">
        <v>206</v>
      </c>
    </row>
    <row r="10" spans="1:24" ht="20.149999999999999" customHeight="1" x14ac:dyDescent="0.25">
      <c r="A10" s="436"/>
      <c r="B10" s="450"/>
      <c r="C10" s="450"/>
      <c r="D10" s="437"/>
      <c r="E10" s="437"/>
      <c r="F10" s="437"/>
      <c r="G10" s="437"/>
      <c r="H10" s="437"/>
      <c r="I10" s="437"/>
      <c r="J10" s="437"/>
      <c r="K10" s="438"/>
      <c r="L10" s="438"/>
      <c r="M10" s="439"/>
      <c r="T10" s="415" t="s">
        <v>335</v>
      </c>
      <c r="U10" s="429">
        <f>O3+6</f>
        <v>41516</v>
      </c>
    </row>
    <row r="11" spans="1:24" ht="15" customHeight="1" x14ac:dyDescent="0.25">
      <c r="A11" s="436"/>
      <c r="B11" s="437"/>
      <c r="C11" s="437"/>
      <c r="D11" s="437"/>
      <c r="E11" s="437"/>
      <c r="F11" s="437"/>
      <c r="G11" s="437"/>
      <c r="H11" s="437"/>
      <c r="I11" s="437"/>
      <c r="J11" s="437"/>
      <c r="K11" s="437"/>
      <c r="L11" s="437"/>
      <c r="M11" s="437"/>
      <c r="N11" s="415">
        <f>IF(OR(S6=0,OR(O6&lt;O3,O6&gt;=O4)),0,1)</f>
        <v>1</v>
      </c>
      <c r="O11" s="435"/>
      <c r="T11" s="415" t="s">
        <v>336</v>
      </c>
      <c r="U11" s="429">
        <f>DATE(YEAR($O$3),MONTH($O$3)+1,DAY($O$3))</f>
        <v>41541</v>
      </c>
      <c r="V11" s="415">
        <v>2008</v>
      </c>
      <c r="W11" s="428">
        <f>MONTH(O3)</f>
        <v>8</v>
      </c>
      <c r="X11" s="416">
        <f>IF('Data Entry'!G4-1=0,W2,'Data Entry'!G4-1)</f>
        <v>23</v>
      </c>
    </row>
    <row r="12" spans="1:24" ht="15" customHeight="1" x14ac:dyDescent="0.25">
      <c r="A12" s="436"/>
      <c r="B12" s="437"/>
      <c r="C12" s="437"/>
      <c r="D12" s="437"/>
      <c r="E12" s="437"/>
      <c r="F12" s="437"/>
      <c r="G12" s="437"/>
      <c r="H12" s="437"/>
      <c r="I12" s="437"/>
      <c r="J12" s="437"/>
      <c r="K12" s="437"/>
      <c r="L12" s="437"/>
      <c r="M12" s="437"/>
      <c r="N12" s="832" t="s">
        <v>337</v>
      </c>
      <c r="O12" s="830">
        <f>IF(I6="Not Exceeding 1 week",1/8,IF(I6="Not Exceeding 1 Month",1/4,IF(I6="Not Exceeding 2 Months",3/8,IF(I6="Not Exceeding 3 Months",1/2,IF(I6="Not Exceeding 4 Months",5/8,IF(I6="Not Exceeding 6 Months",3/4,IF(I6="Not Exceeding 8 Months",7/8,1)))))))</f>
        <v>0.625</v>
      </c>
      <c r="P12" s="415" t="s">
        <v>338</v>
      </c>
      <c r="Q12" s="416">
        <v>31</v>
      </c>
      <c r="T12" s="415" t="s">
        <v>339</v>
      </c>
      <c r="U12" s="429">
        <f>DATE(YEAR($O$3),MONTH($O$3)+2,DAY($O$3))</f>
        <v>41571</v>
      </c>
    </row>
    <row r="13" spans="1:24" ht="15" customHeight="1" x14ac:dyDescent="0.25">
      <c r="A13" s="436"/>
      <c r="B13" s="437"/>
      <c r="C13" s="437"/>
      <c r="D13" s="437"/>
      <c r="E13" s="437"/>
      <c r="F13" s="437"/>
      <c r="G13" s="437"/>
      <c r="H13" s="437"/>
      <c r="I13" s="437"/>
      <c r="J13" s="437"/>
      <c r="K13" s="437"/>
      <c r="L13" s="437"/>
      <c r="M13" s="437"/>
      <c r="N13" s="832"/>
      <c r="O13" s="830"/>
      <c r="P13" s="415" t="s">
        <v>327</v>
      </c>
      <c r="Q13" s="416">
        <f>S2</f>
        <v>28</v>
      </c>
      <c r="T13" s="415" t="s">
        <v>340</v>
      </c>
      <c r="U13" s="429">
        <f>DATE(YEAR($O$3),MONTH($O$3)+3,DAY($O$3))</f>
        <v>41602</v>
      </c>
    </row>
    <row r="14" spans="1:24" ht="15" customHeight="1" x14ac:dyDescent="0.25">
      <c r="A14" s="436"/>
      <c r="B14" s="437"/>
      <c r="C14" s="437"/>
      <c r="D14" s="437"/>
      <c r="E14" s="437"/>
      <c r="F14" s="437"/>
      <c r="G14" s="437"/>
      <c r="H14" s="437"/>
      <c r="I14" s="437"/>
      <c r="J14" s="437"/>
      <c r="K14" s="437"/>
      <c r="L14" s="437"/>
      <c r="M14" s="437"/>
      <c r="N14" s="832" t="s">
        <v>341</v>
      </c>
      <c r="O14" s="831">
        <f>P8/365</f>
        <v>0.26575342465753427</v>
      </c>
      <c r="P14" s="415" t="s">
        <v>319</v>
      </c>
      <c r="Q14" s="416">
        <v>31</v>
      </c>
      <c r="T14" s="415" t="s">
        <v>342</v>
      </c>
      <c r="U14" s="429">
        <f>DATE(YEAR($O$3),MONTH($O$3)+4,DAY($O$3))</f>
        <v>41632</v>
      </c>
    </row>
    <row r="15" spans="1:24" ht="15" customHeight="1" x14ac:dyDescent="0.25">
      <c r="A15" s="436"/>
      <c r="B15" s="437"/>
      <c r="C15" s="437"/>
      <c r="D15" s="437"/>
      <c r="E15" s="437"/>
      <c r="F15" s="437"/>
      <c r="G15" s="437"/>
      <c r="H15" s="437"/>
      <c r="I15" s="437"/>
      <c r="J15" s="437"/>
      <c r="K15" s="437"/>
      <c r="L15" s="437"/>
      <c r="M15" s="437"/>
      <c r="N15" s="832"/>
      <c r="O15" s="831"/>
      <c r="P15" s="415" t="s">
        <v>343</v>
      </c>
      <c r="Q15" s="416">
        <v>30</v>
      </c>
      <c r="T15" s="415" t="s">
        <v>344</v>
      </c>
      <c r="U15" s="429">
        <f>DATE(YEAR($O$3),MONTH($O$3)+6,DAY($O$3))</f>
        <v>41694</v>
      </c>
    </row>
    <row r="16" spans="1:24" ht="15" customHeight="1" x14ac:dyDescent="0.25">
      <c r="A16" s="436"/>
      <c r="B16" s="437"/>
      <c r="C16" s="437"/>
      <c r="D16" s="437"/>
      <c r="E16" s="437"/>
      <c r="F16" s="437"/>
      <c r="G16" s="437"/>
      <c r="H16" s="437"/>
      <c r="I16" s="437"/>
      <c r="J16" s="437"/>
      <c r="K16" s="437"/>
      <c r="L16" s="437"/>
      <c r="M16" s="437"/>
      <c r="O16" s="435"/>
      <c r="P16" s="415" t="s">
        <v>345</v>
      </c>
      <c r="Q16" s="416">
        <v>31</v>
      </c>
      <c r="T16" s="415" t="s">
        <v>346</v>
      </c>
      <c r="U16" s="429">
        <f>DATE(YEAR($O$3),MONTH($O$3)+8,DAY($O$3))</f>
        <v>41753</v>
      </c>
    </row>
    <row r="17" spans="1:21" ht="15" customHeight="1" x14ac:dyDescent="0.25">
      <c r="A17" s="436"/>
      <c r="B17" s="437"/>
      <c r="C17" s="437"/>
      <c r="D17" s="437"/>
      <c r="E17" s="437"/>
      <c r="F17" s="437"/>
      <c r="G17" s="437"/>
      <c r="H17" s="437"/>
      <c r="I17" s="437"/>
      <c r="J17" s="437"/>
      <c r="K17" s="437"/>
      <c r="L17" s="437"/>
      <c r="M17" s="437"/>
      <c r="O17" s="435"/>
      <c r="P17" s="415" t="s">
        <v>347</v>
      </c>
      <c r="Q17" s="416">
        <v>30</v>
      </c>
    </row>
    <row r="18" spans="1:21" ht="15" customHeight="1" x14ac:dyDescent="0.25">
      <c r="A18" s="436"/>
      <c r="B18" s="437"/>
      <c r="C18" s="437"/>
      <c r="D18" s="437"/>
      <c r="E18" s="437"/>
      <c r="F18" s="437"/>
      <c r="G18" s="437"/>
      <c r="H18" s="437"/>
      <c r="I18" s="437"/>
      <c r="J18" s="437"/>
      <c r="K18" s="437"/>
      <c r="L18" s="437"/>
      <c r="M18" s="437"/>
      <c r="N18" s="434"/>
      <c r="O18" s="435"/>
      <c r="P18" s="415" t="s">
        <v>331</v>
      </c>
      <c r="Q18" s="416">
        <v>31</v>
      </c>
      <c r="U18" s="415" t="str">
        <f>IF(AND(O6&gt;U16,O6&lt;=O4),"Exceeding 8 Months","Out of Period")</f>
        <v>Out of Period</v>
      </c>
    </row>
    <row r="19" spans="1:21" ht="15" customHeight="1" x14ac:dyDescent="0.25">
      <c r="A19" s="436"/>
      <c r="B19" s="437"/>
      <c r="C19" s="437"/>
      <c r="D19" s="437"/>
      <c r="E19" s="437"/>
      <c r="F19" s="437"/>
      <c r="G19" s="437"/>
      <c r="H19" s="437"/>
      <c r="I19" s="437"/>
      <c r="J19" s="437"/>
      <c r="K19" s="438"/>
      <c r="L19" s="438">
        <f>100-L18</f>
        <v>100</v>
      </c>
      <c r="M19" s="439"/>
      <c r="N19" s="434"/>
      <c r="O19" s="435"/>
      <c r="P19" s="415" t="s">
        <v>348</v>
      </c>
      <c r="Q19" s="416">
        <v>31</v>
      </c>
    </row>
    <row r="20" spans="1:21" ht="15" customHeight="1" x14ac:dyDescent="0.25">
      <c r="A20" s="436"/>
      <c r="B20" s="437"/>
      <c r="C20" s="437"/>
      <c r="D20" s="437"/>
      <c r="E20" s="437"/>
      <c r="F20" s="437"/>
      <c r="G20" s="437"/>
      <c r="H20" s="437"/>
      <c r="I20" s="437"/>
      <c r="J20" s="437"/>
      <c r="K20" s="438"/>
      <c r="L20" s="438"/>
      <c r="M20" s="439"/>
      <c r="O20" s="435"/>
      <c r="P20" s="415" t="s">
        <v>349</v>
      </c>
      <c r="Q20" s="416">
        <v>30</v>
      </c>
    </row>
    <row r="21" spans="1:21" ht="15" customHeight="1" x14ac:dyDescent="0.25">
      <c r="A21" s="436"/>
      <c r="B21" s="437"/>
      <c r="C21" s="437"/>
      <c r="D21" s="437"/>
      <c r="E21" s="437"/>
      <c r="F21" s="437"/>
      <c r="G21" s="437"/>
      <c r="H21" s="437"/>
      <c r="I21" s="437"/>
      <c r="J21" s="437"/>
      <c r="K21" s="438"/>
      <c r="L21" s="438"/>
      <c r="M21" s="439"/>
      <c r="O21" s="435"/>
      <c r="P21" s="415" t="s">
        <v>350</v>
      </c>
      <c r="Q21" s="416">
        <v>31</v>
      </c>
    </row>
    <row r="22" spans="1:21" ht="15" customHeight="1" x14ac:dyDescent="0.25">
      <c r="A22" s="436"/>
      <c r="B22" s="437"/>
      <c r="C22" s="437"/>
      <c r="D22" s="437"/>
      <c r="E22" s="437"/>
      <c r="F22" s="437"/>
      <c r="G22" s="437"/>
      <c r="H22" s="437"/>
      <c r="I22" s="437"/>
      <c r="J22" s="437"/>
      <c r="K22" s="438"/>
      <c r="L22" s="438"/>
      <c r="M22" s="439"/>
      <c r="P22" s="415" t="s">
        <v>351</v>
      </c>
      <c r="Q22" s="416">
        <v>30</v>
      </c>
    </row>
    <row r="23" spans="1:21" ht="15" customHeight="1" x14ac:dyDescent="0.25">
      <c r="A23" s="436"/>
      <c r="B23" s="437"/>
      <c r="C23" s="437"/>
      <c r="D23" s="437"/>
      <c r="E23" s="437"/>
      <c r="F23" s="437"/>
      <c r="G23" s="437"/>
      <c r="H23" s="437"/>
      <c r="I23" s="437"/>
      <c r="J23" s="437"/>
      <c r="K23" s="438"/>
      <c r="L23" s="438"/>
      <c r="M23" s="439"/>
      <c r="P23" s="415" t="s">
        <v>352</v>
      </c>
      <c r="Q23" s="416">
        <v>31</v>
      </c>
    </row>
    <row r="24" spans="1:21" ht="15" customHeight="1" x14ac:dyDescent="0.25">
      <c r="A24" s="436"/>
      <c r="B24" s="437"/>
      <c r="C24" s="437"/>
      <c r="D24" s="437"/>
      <c r="E24" s="437"/>
      <c r="F24" s="437"/>
      <c r="G24" s="437"/>
      <c r="H24" s="437"/>
      <c r="I24" s="437"/>
      <c r="J24" s="437"/>
      <c r="K24" s="444"/>
      <c r="L24" s="438"/>
      <c r="M24" s="439"/>
    </row>
    <row r="25" spans="1:21" ht="15" customHeight="1" x14ac:dyDescent="0.25">
      <c r="A25" s="436"/>
      <c r="B25" s="437"/>
      <c r="C25" s="437"/>
      <c r="D25" s="437"/>
      <c r="E25" s="437"/>
      <c r="F25" s="437"/>
      <c r="G25" s="437"/>
      <c r="H25" s="437"/>
      <c r="I25" s="437"/>
      <c r="J25" s="437"/>
      <c r="K25" s="444"/>
      <c r="L25" s="438"/>
      <c r="M25" s="439"/>
    </row>
    <row r="26" spans="1:21" ht="15" customHeight="1" x14ac:dyDescent="0.25">
      <c r="A26" s="436"/>
      <c r="B26" s="437"/>
      <c r="C26" s="437"/>
      <c r="D26" s="437"/>
      <c r="E26" s="437"/>
      <c r="F26" s="437"/>
      <c r="G26" s="437"/>
      <c r="H26" s="437"/>
      <c r="I26" s="437"/>
      <c r="J26" s="437"/>
      <c r="K26" s="438"/>
      <c r="L26" s="438"/>
      <c r="M26" s="439"/>
    </row>
    <row r="27" spans="1:21" ht="15" customHeight="1" x14ac:dyDescent="0.25">
      <c r="A27" s="436"/>
      <c r="B27" s="437"/>
      <c r="C27" s="437"/>
      <c r="D27" s="437"/>
      <c r="E27" s="437"/>
      <c r="F27" s="437"/>
      <c r="G27" s="437"/>
      <c r="H27" s="437"/>
      <c r="I27" s="437"/>
      <c r="J27" s="437"/>
      <c r="K27" s="438"/>
      <c r="L27" s="438"/>
      <c r="M27" s="439"/>
    </row>
    <row r="28" spans="1:21" ht="15" customHeight="1" x14ac:dyDescent="0.25">
      <c r="A28" s="436"/>
      <c r="B28" s="437"/>
      <c r="C28" s="437"/>
      <c r="D28" s="437"/>
      <c r="E28" s="437"/>
      <c r="F28" s="437"/>
      <c r="G28" s="437"/>
      <c r="H28" s="437"/>
      <c r="I28" s="437"/>
      <c r="J28" s="437"/>
      <c r="K28" s="438"/>
      <c r="L28" s="438"/>
      <c r="M28" s="439"/>
    </row>
    <row r="29" spans="1:21" ht="15" customHeight="1" x14ac:dyDescent="0.25">
      <c r="A29" s="436"/>
      <c r="B29" s="437"/>
      <c r="C29" s="437"/>
      <c r="D29" s="437"/>
      <c r="E29" s="437"/>
      <c r="F29" s="437"/>
      <c r="G29" s="437"/>
      <c r="H29" s="437"/>
      <c r="I29" s="437"/>
      <c r="J29" s="437"/>
      <c r="K29" s="438"/>
      <c r="L29" s="438"/>
      <c r="M29" s="439"/>
    </row>
    <row r="30" spans="1:21" ht="15" customHeight="1" x14ac:dyDescent="0.25">
      <c r="A30" s="436"/>
      <c r="B30" s="437"/>
      <c r="C30" s="437"/>
      <c r="D30" s="437"/>
      <c r="E30" s="437"/>
      <c r="F30" s="437"/>
      <c r="G30" s="437"/>
      <c r="H30" s="437"/>
      <c r="I30" s="437"/>
      <c r="J30" s="437"/>
      <c r="K30" s="438"/>
      <c r="L30" s="438"/>
      <c r="M30" s="439"/>
    </row>
    <row r="31" spans="1:21" ht="15" customHeight="1" x14ac:dyDescent="0.25">
      <c r="A31" s="436"/>
      <c r="B31" s="437"/>
      <c r="C31" s="437"/>
      <c r="D31" s="437"/>
      <c r="E31" s="437"/>
      <c r="F31" s="437"/>
      <c r="G31" s="437"/>
      <c r="H31" s="437"/>
      <c r="I31" s="437"/>
      <c r="J31" s="437"/>
      <c r="K31" s="438"/>
      <c r="L31" s="438"/>
      <c r="M31" s="439"/>
    </row>
    <row r="32" spans="1:21" ht="15" customHeight="1" x14ac:dyDescent="0.25">
      <c r="A32" s="436"/>
      <c r="B32" s="437"/>
      <c r="C32" s="437"/>
      <c r="D32" s="437"/>
      <c r="E32" s="437"/>
      <c r="F32" s="437"/>
      <c r="G32" s="437"/>
      <c r="H32" s="437"/>
      <c r="I32" s="437"/>
      <c r="J32" s="437"/>
      <c r="K32" s="438"/>
      <c r="L32" s="438"/>
      <c r="M32" s="439"/>
    </row>
    <row r="33" spans="1:13" ht="15" customHeight="1" x14ac:dyDescent="0.25">
      <c r="A33" s="436"/>
      <c r="B33" s="437"/>
      <c r="C33" s="437"/>
      <c r="D33" s="437"/>
      <c r="E33" s="437"/>
      <c r="F33" s="437"/>
      <c r="G33" s="437"/>
      <c r="H33" s="437"/>
      <c r="I33" s="437"/>
      <c r="J33" s="437"/>
      <c r="K33" s="438"/>
      <c r="L33" s="438"/>
      <c r="M33" s="439"/>
    </row>
    <row r="34" spans="1:13" ht="15" customHeight="1" x14ac:dyDescent="0.25">
      <c r="A34" s="436"/>
      <c r="B34" s="437"/>
      <c r="C34" s="437"/>
      <c r="D34" s="437"/>
      <c r="E34" s="437"/>
      <c r="F34" s="437"/>
      <c r="G34" s="437"/>
      <c r="H34" s="437"/>
      <c r="I34" s="437"/>
      <c r="J34" s="437"/>
      <c r="K34" s="438"/>
      <c r="L34" s="438"/>
      <c r="M34" s="439"/>
    </row>
    <row r="35" spans="1:13" ht="15" customHeight="1" x14ac:dyDescent="0.25">
      <c r="A35" s="436"/>
      <c r="B35" s="437"/>
      <c r="C35" s="437"/>
      <c r="D35" s="437"/>
      <c r="E35" s="437"/>
      <c r="F35" s="437"/>
      <c r="G35" s="437"/>
      <c r="H35" s="437"/>
      <c r="I35" s="437"/>
      <c r="J35" s="437"/>
      <c r="K35" s="438"/>
      <c r="L35" s="438"/>
      <c r="M35" s="439"/>
    </row>
    <row r="36" spans="1:13" ht="15" customHeight="1" x14ac:dyDescent="0.25">
      <c r="A36" s="436"/>
      <c r="B36" s="437"/>
      <c r="C36" s="437"/>
      <c r="D36" s="437"/>
      <c r="E36" s="437"/>
      <c r="F36" s="437"/>
      <c r="G36" s="437"/>
      <c r="H36" s="437"/>
      <c r="I36" s="437"/>
      <c r="J36" s="437"/>
      <c r="K36" s="438"/>
      <c r="L36" s="438"/>
      <c r="M36" s="439"/>
    </row>
    <row r="37" spans="1:13" ht="15" customHeight="1" x14ac:dyDescent="0.25">
      <c r="A37" s="436"/>
      <c r="B37" s="437"/>
      <c r="C37" s="437"/>
      <c r="D37" s="437"/>
      <c r="E37" s="437"/>
      <c r="F37" s="437"/>
      <c r="G37" s="437"/>
      <c r="H37" s="437"/>
      <c r="I37" s="437"/>
      <c r="J37" s="437"/>
      <c r="K37" s="438"/>
      <c r="L37" s="438"/>
      <c r="M37" s="439"/>
    </row>
    <row r="38" spans="1:13" ht="15" customHeight="1" x14ac:dyDescent="0.25">
      <c r="A38" s="436"/>
      <c r="B38" s="437"/>
      <c r="C38" s="437"/>
      <c r="D38" s="437"/>
      <c r="E38" s="437"/>
      <c r="F38" s="437"/>
      <c r="G38" s="437"/>
      <c r="H38" s="437"/>
      <c r="I38" s="437"/>
      <c r="J38" s="437"/>
      <c r="K38" s="438"/>
      <c r="L38" s="438"/>
      <c r="M38" s="439"/>
    </row>
    <row r="39" spans="1:13" ht="15" customHeight="1" x14ac:dyDescent="0.25">
      <c r="A39" s="436"/>
      <c r="B39" s="437"/>
      <c r="C39" s="437"/>
      <c r="D39" s="437"/>
      <c r="E39" s="437"/>
      <c r="F39" s="437"/>
      <c r="G39" s="437"/>
      <c r="H39" s="437"/>
      <c r="I39" s="437"/>
      <c r="J39" s="437"/>
      <c r="K39" s="446"/>
      <c r="L39" s="824"/>
      <c r="M39" s="825"/>
    </row>
    <row r="40" spans="1:13" ht="20.25" customHeight="1" x14ac:dyDescent="0.25">
      <c r="A40" s="436"/>
      <c r="B40" s="437"/>
      <c r="C40" s="437"/>
      <c r="D40" s="437"/>
      <c r="E40" s="437"/>
      <c r="F40" s="437"/>
      <c r="G40" s="437"/>
      <c r="H40" s="437"/>
      <c r="I40" s="437"/>
      <c r="J40" s="437"/>
      <c r="K40" s="816"/>
      <c r="L40" s="816"/>
      <c r="M40" s="817"/>
    </row>
    <row r="41" spans="1:13" ht="15" customHeight="1" x14ac:dyDescent="0.25">
      <c r="A41" s="436"/>
      <c r="B41" s="437"/>
      <c r="C41" s="437"/>
      <c r="D41" s="437"/>
      <c r="E41" s="437"/>
      <c r="F41" s="437"/>
      <c r="G41" s="437"/>
      <c r="H41" s="437"/>
      <c r="I41" s="437"/>
      <c r="J41" s="437"/>
      <c r="K41" s="818"/>
      <c r="L41" s="818"/>
      <c r="M41" s="819"/>
    </row>
    <row r="42" spans="1:13" ht="15" customHeight="1" x14ac:dyDescent="0.25">
      <c r="A42" s="436"/>
      <c r="B42" s="437"/>
      <c r="C42" s="437"/>
      <c r="D42" s="437"/>
      <c r="E42" s="437"/>
      <c r="F42" s="437"/>
      <c r="G42" s="437"/>
      <c r="H42" s="437"/>
      <c r="I42" s="437"/>
      <c r="J42" s="437"/>
      <c r="K42" s="820"/>
      <c r="L42" s="820"/>
      <c r="M42" s="821"/>
    </row>
    <row r="43" spans="1:13" ht="20.149999999999999" customHeight="1" x14ac:dyDescent="0.25">
      <c r="A43" s="451"/>
      <c r="B43" s="452"/>
      <c r="C43" s="452"/>
      <c r="D43" s="452"/>
      <c r="E43" s="452"/>
      <c r="F43" s="452"/>
      <c r="G43" s="452"/>
      <c r="H43" s="452"/>
      <c r="I43" s="452"/>
      <c r="J43" s="452"/>
      <c r="K43" s="813"/>
      <c r="L43" s="814"/>
      <c r="M43" s="815"/>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indexed="40"/>
    <pageSetUpPr fitToPage="1"/>
  </sheetPr>
  <dimension ref="A1:BH153"/>
  <sheetViews>
    <sheetView showGridLines="0" tabSelected="1" zoomScale="75" zoomScaleNormal="82" workbookViewId="0">
      <selection activeCell="I65" sqref="I65"/>
    </sheetView>
  </sheetViews>
  <sheetFormatPr defaultRowHeight="14" x14ac:dyDescent="0.3"/>
  <cols>
    <col min="1" max="1" width="0.81640625" customWidth="1"/>
    <col min="2" max="2" width="0.54296875" customWidth="1"/>
    <col min="3" max="3" width="5.453125" customWidth="1"/>
    <col min="4" max="4" width="3.453125" customWidth="1"/>
    <col min="5" max="5" width="4.453125" customWidth="1"/>
    <col min="6" max="6" width="33.453125" customWidth="1"/>
    <col min="7" max="7" width="4.54296875" customWidth="1"/>
    <col min="8" max="8" width="18.54296875" customWidth="1"/>
    <col min="9" max="9" width="16.453125" customWidth="1"/>
    <col min="10" max="10" width="3.81640625" customWidth="1"/>
    <col min="11" max="11" width="14.54296875" customWidth="1"/>
    <col min="12" max="12" width="4" customWidth="1"/>
    <col min="13" max="13" width="25.453125" customWidth="1"/>
    <col min="14" max="14" width="11.81640625" customWidth="1"/>
    <col min="15" max="15" width="9.81640625" customWidth="1"/>
    <col min="16" max="16" width="13.54296875" customWidth="1"/>
    <col min="17" max="17" width="5.453125" style="464" customWidth="1"/>
    <col min="18" max="18" width="6.453125" customWidth="1"/>
    <col min="19" max="19" width="5" customWidth="1"/>
    <col min="20" max="20" width="9.54296875" customWidth="1"/>
    <col min="21" max="21" width="5.453125" customWidth="1"/>
    <col min="22" max="22" width="4.54296875" customWidth="1"/>
    <col min="23" max="23" width="2.81640625" customWidth="1"/>
    <col min="25" max="25" width="5.81640625" customWidth="1"/>
    <col min="26" max="26" width="7.1796875" customWidth="1"/>
    <col min="27" max="27" width="26.54296875" bestFit="1" customWidth="1"/>
    <col min="30" max="30" width="27.1796875" bestFit="1" customWidth="1"/>
    <col min="36" max="36" width="9.1796875" style="519" customWidth="1"/>
    <col min="39" max="39" width="9.1796875" style="464" customWidth="1"/>
    <col min="47" max="47" width="9.1796875" style="519" customWidth="1"/>
    <col min="50" max="50" width="47.453125" style="536" customWidth="1"/>
  </cols>
  <sheetData>
    <row r="1" spans="1:60" s="146" customFormat="1" ht="45" customHeight="1" thickTop="1" thickBot="1" x14ac:dyDescent="0.35">
      <c r="B1" s="318"/>
      <c r="C1" s="141">
        <f ca="1">IF(OR(C70=0,R15=0),0,1)</f>
        <v>1</v>
      </c>
      <c r="D1" s="179"/>
      <c r="E1" s="180"/>
      <c r="F1" s="180"/>
      <c r="G1" s="180"/>
      <c r="H1" s="180"/>
      <c r="I1" s="180"/>
      <c r="J1" s="180"/>
      <c r="K1" s="180"/>
      <c r="L1" s="180"/>
      <c r="M1" s="181"/>
      <c r="N1" s="835"/>
      <c r="O1" s="836"/>
      <c r="P1" s="143"/>
      <c r="Q1" s="143"/>
      <c r="R1" s="143"/>
      <c r="S1" s="143"/>
      <c r="T1" s="143"/>
      <c r="U1" s="146">
        <f>IF(G36="Yes",H23+H36,H23)</f>
        <v>0</v>
      </c>
      <c r="V1" s="143"/>
      <c r="W1" s="143"/>
      <c r="X1" s="143"/>
      <c r="Y1" s="143"/>
      <c r="Z1" s="143"/>
      <c r="AA1" s="592" t="s">
        <v>401</v>
      </c>
      <c r="AB1" s="143"/>
      <c r="AM1" s="227"/>
    </row>
    <row r="2" spans="1:60" s="145" customFormat="1" ht="18.5" thickBot="1" x14ac:dyDescent="0.45">
      <c r="A2" s="146"/>
      <c r="B2" s="319"/>
      <c r="C2" s="521" t="str">
        <f>IF(N1="takaful2013","Yes","No")</f>
        <v>No</v>
      </c>
      <c r="D2" s="6"/>
      <c r="E2" s="473" t="s">
        <v>174</v>
      </c>
      <c r="F2" s="182"/>
      <c r="G2" s="344" t="s">
        <v>283</v>
      </c>
      <c r="H2" s="844" t="s">
        <v>445</v>
      </c>
      <c r="I2" s="845"/>
      <c r="J2" s="480"/>
      <c r="K2" s="833" t="s">
        <v>413</v>
      </c>
      <c r="L2" s="833"/>
      <c r="M2" s="834"/>
      <c r="N2" s="144">
        <f>IF(N1="takafulshariahamana",1,0)</f>
        <v>0</v>
      </c>
      <c r="O2" s="145">
        <f>IF(AND(M8=Administration!C10,H9=Administration!C23),0,1)</f>
        <v>1</v>
      </c>
      <c r="Q2" s="146">
        <f>IF(M8=Administration!C10,0,1)</f>
        <v>1</v>
      </c>
      <c r="R2" s="146">
        <f>IF(H9=Administration!C23,1,0)</f>
        <v>0</v>
      </c>
      <c r="S2" s="146">
        <f>IF(AND(Rates!D63="Yes",H11="Chinese"),1,IF(AND('Data Entry'!H11="Chinese",'Data Entry'!H8&lt;&gt;Administration!C14),0,1))</f>
        <v>1</v>
      </c>
      <c r="T2" s="146">
        <f>O2+Q2+R2</f>
        <v>2</v>
      </c>
      <c r="U2" s="502">
        <f>IF(OR(Z15=0,T2=3,Z2=0),0,1)*Q15*V2*S2</f>
        <v>1</v>
      </c>
      <c r="V2" s="502">
        <f>IF(H13="",0,1)</f>
        <v>1</v>
      </c>
      <c r="W2" s="146">
        <f>IF(M8="Trade Plate",X2,1)</f>
        <v>1</v>
      </c>
      <c r="X2" s="146">
        <f>IF(H9=Administration!C20,1,0)</f>
        <v>0</v>
      </c>
      <c r="Y2" s="146">
        <f>IF(M8="Trade Plate",0,1)</f>
        <v>1</v>
      </c>
      <c r="Z2" s="503">
        <f>IF(Rates!D50="Yes",1,IF(AND(H9=Administration!C22,OR(M8=Administration!C13,M8=Administration!C14)),0,1))</f>
        <v>1</v>
      </c>
      <c r="AA2" s="146">
        <f>IF(OR(H9=Administration!C22,H9=Administration!C23),0,1)</f>
        <v>1</v>
      </c>
      <c r="AB2" s="146"/>
      <c r="AC2" s="146"/>
      <c r="AD2" s="146"/>
      <c r="AE2" s="146"/>
      <c r="AF2" s="146"/>
      <c r="AG2" s="146"/>
      <c r="AH2" s="146"/>
      <c r="AI2" s="146"/>
      <c r="AJ2" s="146"/>
      <c r="AK2" s="146"/>
      <c r="AL2" s="146"/>
      <c r="AM2" s="146"/>
      <c r="AN2" s="146"/>
      <c r="AO2" s="146"/>
      <c r="AP2" s="146"/>
      <c r="AQ2" s="146"/>
      <c r="AR2" s="146"/>
      <c r="AS2" s="146"/>
      <c r="AT2" s="146"/>
      <c r="AU2" s="146"/>
      <c r="AV2" s="146"/>
      <c r="AW2" s="146"/>
      <c r="AY2" s="146"/>
      <c r="AZ2" s="146"/>
      <c r="BA2" s="146"/>
      <c r="BB2" s="146"/>
      <c r="BC2" s="146"/>
      <c r="BD2" s="146"/>
      <c r="BE2" s="146"/>
      <c r="BF2" s="146"/>
      <c r="BG2" s="146"/>
      <c r="BH2" s="146"/>
    </row>
    <row r="3" spans="1:60" s="145" customFormat="1" ht="18" customHeight="1" thickBot="1" x14ac:dyDescent="0.45">
      <c r="A3" s="146"/>
      <c r="B3" s="319"/>
      <c r="C3" s="255"/>
      <c r="D3" s="423">
        <f>IF(H3="One Year",1,0)</f>
        <v>1</v>
      </c>
      <c r="E3" s="473" t="s">
        <v>299</v>
      </c>
      <c r="F3" s="182"/>
      <c r="G3" s="344" t="s">
        <v>283</v>
      </c>
      <c r="H3" s="616" t="s">
        <v>301</v>
      </c>
      <c r="I3" s="422" t="str">
        <f>IF(Calculation!S6=0,CONCATENATE("     ",Calculation!H9," Days"),IF(OR(Calculation!O6&lt;Calculation!O3,Calculation!O6&gt;=Calculation!O4),"Invalid Cover  Period",CONCATENATE("     ",Calculation!H9," Days")))</f>
        <v xml:space="preserve">     97 Days</v>
      </c>
      <c r="J3" s="422"/>
      <c r="K3" s="417"/>
      <c r="L3" s="846" t="str">
        <f>IF(D3=0,"Charge SRCC/TC Full?","")</f>
        <v/>
      </c>
      <c r="M3" s="847"/>
      <c r="N3" s="624">
        <f>IF(H3="One Year",1,IF('Data Entry'!H3="Short Period",Calculation!O12,Calculation!O14)*Calculation!S3*Calculation!S4*Calculation!S6*Calculation!N11)</f>
        <v>1</v>
      </c>
      <c r="O3" s="580" t="e">
        <f>IF(#REF!=Rates!J86,Rates!K86,IF(#REF!=Rates!J87,Rates!K87,IF(#REF!=Rates!J88,Rates!K88,IF(#REF!=Rates!J89,Rates!K89,IF(#REF!=Rates!J90,Rates!K90,0)))))</f>
        <v>#REF!</v>
      </c>
      <c r="P3" s="580"/>
      <c r="Q3" s="580"/>
      <c r="R3" s="580"/>
      <c r="S3" s="614"/>
      <c r="T3" s="146"/>
      <c r="U3" s="502"/>
      <c r="V3" s="502"/>
      <c r="W3" s="146"/>
      <c r="X3" s="146"/>
      <c r="Y3" s="146"/>
      <c r="Z3" s="503"/>
      <c r="AA3" s="146"/>
      <c r="AB3" s="146"/>
      <c r="AC3" s="146"/>
      <c r="AD3" s="146"/>
      <c r="AE3" s="146"/>
      <c r="AF3" s="146"/>
      <c r="AG3" s="146"/>
      <c r="AH3" s="146"/>
      <c r="AI3" s="146"/>
      <c r="AJ3" s="146"/>
      <c r="AK3" s="146"/>
      <c r="AL3" s="146"/>
      <c r="AM3" s="146"/>
      <c r="AN3" s="146"/>
      <c r="AO3" s="146"/>
      <c r="AP3" s="146"/>
      <c r="AQ3" s="146"/>
      <c r="AR3" s="146"/>
      <c r="AS3" s="146"/>
      <c r="AT3" s="146"/>
      <c r="AU3" s="146"/>
      <c r="AV3" s="146"/>
      <c r="AW3" s="146"/>
      <c r="AY3" s="146"/>
      <c r="AZ3" s="146"/>
      <c r="BA3" s="146"/>
      <c r="BB3" s="146"/>
      <c r="BC3" s="146"/>
      <c r="BD3" s="146"/>
      <c r="BE3" s="146"/>
      <c r="BF3" s="146"/>
      <c r="BG3" s="146"/>
      <c r="BH3" s="146"/>
    </row>
    <row r="4" spans="1:60" s="145" customFormat="1" ht="0.75" hidden="1" customHeight="1" thickBot="1" x14ac:dyDescent="0.35">
      <c r="A4" s="146"/>
      <c r="B4" s="319"/>
      <c r="C4" s="255"/>
      <c r="D4" s="6"/>
      <c r="E4" s="419"/>
      <c r="F4" s="420" t="str">
        <f>IF(D3=0,"PERIOD                                       FROM","")</f>
        <v/>
      </c>
      <c r="G4" s="456">
        <v>24</v>
      </c>
      <c r="H4" s="457" t="s">
        <v>348</v>
      </c>
      <c r="I4" s="457">
        <v>2013</v>
      </c>
      <c r="J4" s="483"/>
      <c r="K4" s="422" t="str">
        <f>IF(Calculation!S3=0,"Date Error","")</f>
        <v/>
      </c>
      <c r="L4" s="846"/>
      <c r="M4" s="847"/>
      <c r="N4" s="625">
        <f>IF(M5="No",N3,1)</f>
        <v>1</v>
      </c>
      <c r="O4" s="580" t="s">
        <v>407</v>
      </c>
      <c r="P4" s="580" t="s">
        <v>408</v>
      </c>
      <c r="Q4" s="580"/>
      <c r="R4" s="580"/>
      <c r="S4" s="614"/>
      <c r="T4" s="614"/>
      <c r="U4" s="615"/>
      <c r="V4" s="615"/>
      <c r="W4" s="146"/>
      <c r="X4" s="146"/>
      <c r="Y4" s="146"/>
      <c r="Z4" s="503"/>
      <c r="AA4" s="146"/>
      <c r="AB4" s="146"/>
      <c r="AC4" s="146"/>
      <c r="AD4" s="146"/>
      <c r="AE4" s="146"/>
      <c r="AF4" s="146"/>
      <c r="AG4" s="146"/>
      <c r="AH4" s="146"/>
      <c r="AI4" s="146"/>
      <c r="AJ4" s="146"/>
      <c r="AK4" s="146"/>
      <c r="AL4" s="146"/>
      <c r="AM4" s="146"/>
      <c r="AN4" s="146"/>
      <c r="AO4" s="146"/>
      <c r="AP4" s="146"/>
      <c r="AQ4" s="146"/>
      <c r="AR4" s="146"/>
      <c r="AS4" s="146"/>
      <c r="AT4" s="146"/>
      <c r="AU4" s="146"/>
      <c r="AV4" s="146"/>
      <c r="AW4" s="146"/>
      <c r="AY4" s="146"/>
      <c r="AZ4" s="146"/>
      <c r="BA4" s="146"/>
      <c r="BB4" s="146"/>
      <c r="BC4" s="146"/>
      <c r="BD4" s="146"/>
      <c r="BE4" s="146"/>
      <c r="BF4" s="146"/>
      <c r="BG4" s="146"/>
      <c r="BH4" s="146"/>
    </row>
    <row r="5" spans="1:60" s="145" customFormat="1" ht="24" hidden="1" customHeight="1" thickBot="1" x14ac:dyDescent="0.4">
      <c r="A5" s="146"/>
      <c r="B5" s="319"/>
      <c r="C5" s="255"/>
      <c r="D5" s="6"/>
      <c r="E5" s="418"/>
      <c r="F5" s="421" t="str">
        <f>IF(D3=0,"To","")</f>
        <v/>
      </c>
      <c r="G5" s="456">
        <v>28</v>
      </c>
      <c r="H5" s="457" t="s">
        <v>351</v>
      </c>
      <c r="I5" s="477">
        <v>2013</v>
      </c>
      <c r="J5" s="483"/>
      <c r="K5" s="422" t="str">
        <f>IF(Calculation!S6=0,"Date Error","")</f>
        <v/>
      </c>
      <c r="L5" s="474"/>
      <c r="M5" s="552" t="s">
        <v>79</v>
      </c>
      <c r="N5" s="625" t="str">
        <f>Rates!D81</f>
        <v>No</v>
      </c>
      <c r="O5" s="617">
        <f>H15*N7%</f>
        <v>19425.000000000004</v>
      </c>
      <c r="P5" s="617">
        <f>(O5-M40-M42)/P6*100</f>
        <v>11531.250000000004</v>
      </c>
      <c r="Q5" s="580"/>
      <c r="R5" s="580"/>
      <c r="S5" s="614"/>
      <c r="T5" s="614"/>
      <c r="U5" s="615"/>
      <c r="V5" s="615"/>
      <c r="W5" s="146"/>
      <c r="X5" s="146"/>
      <c r="Y5" s="146"/>
      <c r="Z5" s="503"/>
      <c r="AA5" s="146"/>
      <c r="AB5" s="146"/>
      <c r="AC5" s="146"/>
      <c r="AD5" s="146"/>
      <c r="AE5" s="146"/>
      <c r="AF5" s="146"/>
      <c r="AG5" s="146"/>
      <c r="AH5" s="146"/>
      <c r="AI5" s="146"/>
      <c r="AJ5" s="146"/>
      <c r="AK5" s="146"/>
      <c r="AL5" s="146"/>
      <c r="AM5" s="146"/>
      <c r="AN5" s="146"/>
      <c r="AO5" s="146"/>
      <c r="AP5" s="146"/>
      <c r="AQ5" s="146"/>
      <c r="AR5" s="146"/>
      <c r="AS5" s="146"/>
      <c r="AT5" s="146"/>
      <c r="AU5" s="146"/>
      <c r="AV5" s="146"/>
      <c r="AW5" s="146"/>
      <c r="AY5" s="146"/>
      <c r="AZ5" s="146"/>
      <c r="BA5" s="146"/>
      <c r="BB5" s="146"/>
      <c r="BC5" s="146"/>
      <c r="BD5" s="146"/>
      <c r="BE5" s="146"/>
      <c r="BF5" s="146"/>
      <c r="BG5" s="146"/>
      <c r="BH5" s="146"/>
    </row>
    <row r="6" spans="1:60" s="146" customFormat="1" ht="21.75" customHeight="1" thickTop="1" thickBot="1" x14ac:dyDescent="0.45">
      <c r="B6" s="319"/>
      <c r="C6" s="216"/>
      <c r="D6" s="6"/>
      <c r="E6" s="586" t="s">
        <v>372</v>
      </c>
      <c r="F6" s="587"/>
      <c r="G6" s="344" t="s">
        <v>396</v>
      </c>
      <c r="H6" s="488" t="s">
        <v>459</v>
      </c>
      <c r="I6" s="852"/>
      <c r="J6" s="854"/>
      <c r="K6" s="855"/>
      <c r="L6" s="852" t="s">
        <v>455</v>
      </c>
      <c r="M6" s="853"/>
      <c r="N6" s="398" t="s">
        <v>51</v>
      </c>
      <c r="O6" s="146">
        <f>IF(AND(Rates!D79="Yes",(O57+Q57=1)),0,1)</f>
        <v>1</v>
      </c>
      <c r="P6" s="618">
        <f>IF(H9="Hiring",140,110)</f>
        <v>140</v>
      </c>
      <c r="Q6" s="546">
        <f>IF(AND(M8=Administration!C7,H9=Administration!C20),Rates!D6,R6)</f>
        <v>0</v>
      </c>
      <c r="R6" s="146">
        <f>IF(AND(M8=Administration!C12,H9=Administration!C20),Rates!D12,T6)</f>
        <v>0</v>
      </c>
      <c r="T6" s="146">
        <f>IF(AND(M8=Administration!C8,H9=Administration!C20),Rates!D8,U6)</f>
        <v>0</v>
      </c>
      <c r="U6" s="424">
        <f>IF(M8=Administration!C9,Rates!D5,W6)</f>
        <v>0</v>
      </c>
      <c r="V6" s="424"/>
      <c r="W6" s="424">
        <f>IF(M8=Administration!C10,Rates!D11,X6)</f>
        <v>0</v>
      </c>
      <c r="X6" s="424">
        <f>IF(M8=Administration!C11,Rates!D10,Y6)</f>
        <v>0</v>
      </c>
      <c r="Y6" s="146">
        <f>IF(AND(M8=Administration!C12,H9=Administration!C21),Rates!D13,Z6)</f>
        <v>0</v>
      </c>
      <c r="Z6" s="424">
        <f>IF(M8=Administration!C13,Rates!D3,AA6)</f>
        <v>0</v>
      </c>
      <c r="AA6" s="424">
        <f>IF(M8=Administration!C14,Rates!D4,AB6)</f>
        <v>0</v>
      </c>
      <c r="AB6" s="146">
        <f>IF(AND(M8=Administration!C7,H9=Administration!C21),Rates!D7,AC6)</f>
        <v>0</v>
      </c>
      <c r="AC6" s="146">
        <f>IF(AND(M8=Administration!C7,H9=Administration!C22),Rates!D7,AD6)</f>
        <v>0</v>
      </c>
      <c r="AD6" s="146">
        <f>IF(AND(M8=Administration!C8,H9=Administration!C21),Rates!D9,AE6)</f>
        <v>0</v>
      </c>
      <c r="AE6" s="146">
        <f>IF(AND(M8=Administration!C8,H9=Administration!C22),Rates!D7,AF6)</f>
        <v>0</v>
      </c>
      <c r="AF6" s="146">
        <f>IF(AND(M8=Administration!C12,H9=Administration!C22),Rates!D13,AG6)</f>
        <v>0</v>
      </c>
      <c r="AG6" s="146">
        <f>IF(M8=Administration!C15,Rates!D14,AH6)</f>
        <v>0</v>
      </c>
      <c r="AH6" s="146">
        <f>IF(M8=Administration!C17,Rates!D16,AI6)</f>
        <v>0</v>
      </c>
      <c r="AI6" s="146">
        <f>IF(M8=Administration!C16,Rates!D16,0)</f>
        <v>0</v>
      </c>
      <c r="AM6" s="146" t="str">
        <f>Administration!G7</f>
        <v>Motor Car</v>
      </c>
      <c r="AP6" s="146" t="str">
        <f>Administration!I20</f>
        <v>Private Use Only</v>
      </c>
    </row>
    <row r="7" spans="1:60" s="146" customFormat="1" ht="21" thickBot="1" x14ac:dyDescent="0.5">
      <c r="B7" s="319"/>
      <c r="C7" s="216"/>
      <c r="D7" s="6"/>
      <c r="E7" s="586" t="s">
        <v>281</v>
      </c>
      <c r="F7" s="587"/>
      <c r="G7" s="344" t="s">
        <v>397</v>
      </c>
      <c r="H7" s="856"/>
      <c r="I7" s="857"/>
      <c r="J7" s="857"/>
      <c r="K7" s="858"/>
      <c r="L7" s="859" t="str">
        <f>IF(AND(H15&gt;0,L6=""),"Enter Name","")</f>
        <v/>
      </c>
      <c r="M7" s="860"/>
      <c r="N7" s="497">
        <f>IF(H8="THREE WHEELER",0.8,1.85)</f>
        <v>1.85</v>
      </c>
      <c r="P7" s="547"/>
      <c r="Q7" s="145">
        <f>Q6*U2</f>
        <v>0</v>
      </c>
      <c r="R7" s="145"/>
      <c r="S7" s="145"/>
      <c r="T7" s="145" t="str">
        <f>Administration!C20</f>
        <v>Private Use Only</v>
      </c>
      <c r="U7" s="505" t="str">
        <f>Administration!C21</f>
        <v>Hiring</v>
      </c>
      <c r="V7" s="505"/>
      <c r="W7" s="145" t="str">
        <f>Administration!C22</f>
        <v>Rent A Vehicle</v>
      </c>
      <c r="X7" s="145">
        <f>IF(M8=Administration!C10,Administration!C23,0)</f>
        <v>0</v>
      </c>
      <c r="Y7" s="145"/>
      <c r="Z7" s="506"/>
      <c r="AA7" s="145"/>
      <c r="AM7" s="146" t="str">
        <f>Administration!G8</f>
        <v>Jeep</v>
      </c>
      <c r="AP7" s="146" t="str">
        <f>Administration!I21</f>
        <v>Hiring</v>
      </c>
    </row>
    <row r="8" spans="1:60" s="146" customFormat="1" ht="21.75" customHeight="1" thickBot="1" x14ac:dyDescent="0.45">
      <c r="B8" s="319"/>
      <c r="C8" s="140"/>
      <c r="D8" s="6"/>
      <c r="E8" s="586" t="s">
        <v>373</v>
      </c>
      <c r="F8" s="588"/>
      <c r="G8" s="344" t="s">
        <v>396</v>
      </c>
      <c r="H8" s="848" t="str">
        <f>' Quote'!P7</f>
        <v>QUADRICYCLE</v>
      </c>
      <c r="I8" s="849"/>
      <c r="J8" s="523"/>
      <c r="K8" s="411">
        <v>1.2500000000000001E-2</v>
      </c>
      <c r="L8" s="24" t="str">
        <f>Administration!C11</f>
        <v>Motor Lorry</v>
      </c>
      <c r="M8" s="554" t="str">
        <f>IF(AND(H8=Administration!C14,'Data Entry'!H11="Chinese"),Administration!C13,IF(AND(H8=Administration!C11,'Data Entry'!H11="Chinese"),Administration!C16,'Data Entry'!H8))</f>
        <v>QUADRICYCLE</v>
      </c>
      <c r="N8" s="392">
        <f>IF(AND(H12="hybrid",H14="No",Rates!D75="Yes",B12="individual"),Rates!F75,0)</f>
        <v>0</v>
      </c>
      <c r="O8" s="238">
        <f>IF(OR(H9="",H10="",H10=0),0,1)</f>
        <v>1</v>
      </c>
      <c r="P8" s="238"/>
      <c r="Q8" s="238"/>
      <c r="R8" s="238"/>
      <c r="S8" s="238"/>
      <c r="T8" s="238"/>
      <c r="U8" s="507"/>
      <c r="V8" s="507"/>
      <c r="W8" s="146">
        <f>IF(O11=1,U11,U8)</f>
        <v>0</v>
      </c>
      <c r="Z8" s="239"/>
      <c r="AM8" s="146" t="str">
        <f>Administration!G9</f>
        <v>Dual Purpose</v>
      </c>
      <c r="AP8" s="146" t="str">
        <f>Administration!I22</f>
        <v>Rent A Vehicle</v>
      </c>
      <c r="AU8" s="146">
        <v>1970</v>
      </c>
    </row>
    <row r="9" spans="1:60" s="146" customFormat="1" ht="16.5" customHeight="1" thickBot="1" x14ac:dyDescent="0.45">
      <c r="B9" s="319"/>
      <c r="C9" s="140"/>
      <c r="D9" s="6"/>
      <c r="E9" s="586" t="s">
        <v>38</v>
      </c>
      <c r="F9" s="588"/>
      <c r="G9" s="344" t="s">
        <v>396</v>
      </c>
      <c r="H9" s="874" t="str">
        <f>IF(H8="THREE WHEELER","Hiring",' Quote'!P12)</f>
        <v>HIRING</v>
      </c>
      <c r="I9" s="875"/>
      <c r="J9" s="524"/>
      <c r="K9" s="850" t="str">
        <f>IF(OR(T2=3,W2=0),"ERROR",IF(O8=0,"&lt;= Select Usage of Vehicle",IF(Z2=0,"NOT ALLOWED","")))</f>
        <v/>
      </c>
      <c r="L9" s="850"/>
      <c r="M9" s="851"/>
      <c r="N9" s="392"/>
      <c r="O9" s="238"/>
      <c r="P9" s="238"/>
      <c r="Q9" s="238"/>
      <c r="R9" s="238"/>
      <c r="S9" s="238"/>
      <c r="T9" s="238"/>
      <c r="U9" s="507"/>
      <c r="V9" s="507"/>
      <c r="Z9" s="239"/>
      <c r="AM9" s="146" t="str">
        <f>Administration!G10</f>
        <v>Motor Coach</v>
      </c>
      <c r="AP9" s="146" t="str">
        <f>Administration!I23</f>
        <v xml:space="preserve">SLTB Route </v>
      </c>
      <c r="AU9" s="146">
        <f t="shared" ref="AU9:AU14" si="0">AU8+1</f>
        <v>1971</v>
      </c>
    </row>
    <row r="10" spans="1:60" s="146" customFormat="1" ht="18.5" thickBot="1" x14ac:dyDescent="0.45">
      <c r="B10" s="319"/>
      <c r="C10" s="140"/>
      <c r="D10" s="6"/>
      <c r="E10" s="882" t="s">
        <v>109</v>
      </c>
      <c r="F10" s="882"/>
      <c r="G10" s="344" t="s">
        <v>397</v>
      </c>
      <c r="H10" s="878" t="str">
        <f>' Quote'!P8</f>
        <v>TO BE ADVISED</v>
      </c>
      <c r="I10" s="879"/>
      <c r="J10" s="524"/>
      <c r="K10" s="328" t="s">
        <v>377</v>
      </c>
      <c r="L10" s="842" t="s">
        <v>412</v>
      </c>
      <c r="M10" s="843"/>
      <c r="N10" s="313"/>
      <c r="O10" s="238"/>
      <c r="P10" s="238"/>
      <c r="Q10" s="238"/>
      <c r="R10" s="238"/>
      <c r="S10" s="238"/>
      <c r="T10" s="238"/>
      <c r="U10" s="508"/>
      <c r="V10" s="508"/>
      <c r="Z10" s="239"/>
      <c r="AM10" s="146" t="str">
        <f>Administration!G11</f>
        <v>Motor Lorry</v>
      </c>
      <c r="AP10" s="146" t="str">
        <f>Administration!I24</f>
        <v/>
      </c>
      <c r="AU10" s="146">
        <f t="shared" si="0"/>
        <v>1972</v>
      </c>
    </row>
    <row r="11" spans="1:60" s="146" customFormat="1" ht="20.25" customHeight="1" thickBot="1" x14ac:dyDescent="0.45">
      <c r="B11" s="319"/>
      <c r="C11" s="140"/>
      <c r="D11" s="6"/>
      <c r="E11" s="589" t="s">
        <v>374</v>
      </c>
      <c r="F11" s="590"/>
      <c r="G11" s="344" t="s">
        <v>396</v>
      </c>
      <c r="H11" s="861" t="str">
        <f>' Quote'!P9</f>
        <v>INDIAN</v>
      </c>
      <c r="I11" s="862"/>
      <c r="J11" s="837" t="s">
        <v>446</v>
      </c>
      <c r="K11" s="838"/>
      <c r="L11" s="839"/>
      <c r="M11" s="549" t="str">
        <f>IF(J11="","&lt;= Enter Field","")</f>
        <v/>
      </c>
      <c r="N11" s="391"/>
      <c r="O11" s="238">
        <f>IF(OR(L10="",L6="",H11="",H12="",H13="",H14="",K14="",L13="",J11="",K14=0,AND(O6=0,N16=0)),0,1)</f>
        <v>1</v>
      </c>
      <c r="P11" s="238"/>
      <c r="Q11" s="238"/>
      <c r="R11" s="238"/>
      <c r="S11" s="238"/>
      <c r="T11" s="238"/>
      <c r="U11" s="425"/>
      <c r="V11" s="425"/>
      <c r="Z11" s="239"/>
      <c r="AM11" s="146" t="str">
        <f>Administration!G12</f>
        <v>Three Wheeler</v>
      </c>
      <c r="AU11" s="146">
        <f t="shared" si="0"/>
        <v>1973</v>
      </c>
    </row>
    <row r="12" spans="1:60" s="146" customFormat="1" ht="18.5" thickBot="1" x14ac:dyDescent="0.45">
      <c r="B12" s="319"/>
      <c r="C12" s="140" t="str">
        <f>IF(H12="Petrol (non hybrid)","Petrol",IF(H12="Diesel (non hybrid)","Diesel",IF(H12="Hybrid","Hybrid","Electric")))</f>
        <v>Petrol</v>
      </c>
      <c r="D12" s="6"/>
      <c r="E12" s="589" t="s">
        <v>354</v>
      </c>
      <c r="F12" s="590"/>
      <c r="G12" s="344" t="s">
        <v>396</v>
      </c>
      <c r="H12" s="865" t="s">
        <v>440</v>
      </c>
      <c r="I12" s="866"/>
      <c r="J12" s="890" t="str">
        <f>IF(H8="Motor Cycle","Important --&gt;","")</f>
        <v/>
      </c>
      <c r="K12" s="891"/>
      <c r="L12" s="891"/>
      <c r="M12" s="632" t="s">
        <v>442</v>
      </c>
      <c r="N12" s="392"/>
      <c r="O12" s="238"/>
      <c r="P12" s="238"/>
      <c r="Q12" s="614">
        <f>IF(H8="THREE WHEELER",4,5)</f>
        <v>5</v>
      </c>
      <c r="R12" s="146">
        <f>IF(M8=Administration!C15,Rates!F14,IF(M8=Administration!C17,Rates!F17,IF(M8=Administration!C19,Rates!F15,IF(M8=Administration!C16,Rates!F16,0))))</f>
        <v>0</v>
      </c>
      <c r="T12" s="614">
        <f>IF(L13&gt;Q12,Q12,L13)</f>
        <v>4</v>
      </c>
      <c r="U12" s="240"/>
      <c r="V12" s="240"/>
      <c r="Z12" s="239"/>
      <c r="AM12" s="146" t="str">
        <f>Administration!G14</f>
        <v>Motor Cycle</v>
      </c>
      <c r="AU12" s="146">
        <f>AU11+1</f>
        <v>1974</v>
      </c>
    </row>
    <row r="13" spans="1:60" s="146" customFormat="1" ht="18.5" thickBot="1" x14ac:dyDescent="0.45">
      <c r="B13" s="319"/>
      <c r="C13" s="140"/>
      <c r="D13" s="6"/>
      <c r="E13" s="586" t="s">
        <v>282</v>
      </c>
      <c r="F13" s="106"/>
      <c r="G13" s="344" t="s">
        <v>396</v>
      </c>
      <c r="H13" s="548">
        <v>2007</v>
      </c>
      <c r="I13" s="888" t="str">
        <f>IF(H13="","     Enter Year of Make",IF(Z15=0,CONCATENATE("     Vehicles Above ", Administration!F29," Yrs Not Covered"),""))</f>
        <v/>
      </c>
      <c r="J13" s="889"/>
      <c r="K13" s="889"/>
      <c r="L13" s="591">
        <v>4</v>
      </c>
      <c r="M13" s="475" t="str">
        <f>IF(OR(L13="",L13=0),"Enter No. of Seats",IF(L13&gt;Q12,CONCATENATE("Max.",Q12," Seats Allowed"),"No.of Seats"))</f>
        <v>No.of Seats</v>
      </c>
      <c r="N13" s="392"/>
      <c r="O13" s="238"/>
      <c r="P13" s="238"/>
      <c r="U13" s="240"/>
      <c r="V13" s="240"/>
      <c r="Z13" s="239"/>
      <c r="AM13" s="146" t="str">
        <f>Administration!G15</f>
        <v>Tractor</v>
      </c>
      <c r="AU13" s="146">
        <f t="shared" si="0"/>
        <v>1975</v>
      </c>
    </row>
    <row r="14" spans="1:60" s="146" customFormat="1" ht="18.5" thickBot="1" x14ac:dyDescent="0.45">
      <c r="B14" s="319"/>
      <c r="C14" s="140"/>
      <c r="D14" s="6"/>
      <c r="E14" s="586" t="s">
        <v>371</v>
      </c>
      <c r="F14" s="590"/>
      <c r="G14" s="344" t="s">
        <v>396</v>
      </c>
      <c r="H14" s="707" t="s">
        <v>79</v>
      </c>
      <c r="I14" s="840" t="str">
        <f>IF(H14="Yes","NAME OF CO.","")</f>
        <v>NAME OF CO.</v>
      </c>
      <c r="J14" s="841"/>
      <c r="K14" s="863" t="s">
        <v>380</v>
      </c>
      <c r="L14" s="863"/>
      <c r="M14" s="864"/>
      <c r="N14" s="392"/>
      <c r="O14" s="238"/>
      <c r="P14" s="238"/>
      <c r="T14" s="426"/>
      <c r="X14" s="241" t="s">
        <v>222</v>
      </c>
      <c r="Z14" s="239"/>
      <c r="AM14" s="146" t="str">
        <f>Administration!G13</f>
        <v>Motor Cycle (Chinese)</v>
      </c>
      <c r="AU14" s="146">
        <f t="shared" si="0"/>
        <v>1976</v>
      </c>
    </row>
    <row r="15" spans="1:60" s="146" customFormat="1" ht="23.25" customHeight="1" thickBot="1" x14ac:dyDescent="0.45">
      <c r="B15" s="319"/>
      <c r="C15" s="140"/>
      <c r="D15" s="6"/>
      <c r="E15" s="887" t="str">
        <f>IF(H15&gt;Rates!B27,"SUM COVERED - Above Retention","SUM COVERED"                                    )</f>
        <v>SUM COVERED</v>
      </c>
      <c r="F15" s="887"/>
      <c r="G15" s="344" t="s">
        <v>396</v>
      </c>
      <c r="H15" s="876">
        <f>' Quote'!Q16</f>
        <v>1050000</v>
      </c>
      <c r="I15" s="877"/>
      <c r="J15" s="482"/>
      <c r="K15" s="585" t="str">
        <f>IF(AND(Rates!D63="Yes",H11="Chinese"),"N.B.- Chinese Vehicle",IF(AND(H11="Chinese",H8&lt;&gt;Administration!C14),"Chinese Vehicles NOT covered",IF(Q15=0,"EXCEED AUTHORIZED LIMIT","")))</f>
        <v/>
      </c>
      <c r="L15" s="471"/>
      <c r="M15" s="476"/>
      <c r="N15" s="324"/>
      <c r="O15" s="325">
        <f>IF(T47=0,Rates!B25,Rates!B24)</f>
        <v>28000000</v>
      </c>
      <c r="P15" s="325"/>
      <c r="Q15" s="146">
        <f>IF(H15&gt;O15,0,1)</f>
        <v>1</v>
      </c>
      <c r="R15" s="146">
        <f>IF(AND(H15&gt;0,O11&gt;0,O8=1),1,0)</f>
        <v>1</v>
      </c>
      <c r="T15" s="426"/>
      <c r="X15" s="241">
        <f ca="1">YEAR(F70)</f>
        <v>2024</v>
      </c>
      <c r="Y15" s="146">
        <f ca="1">X15-H13</f>
        <v>17</v>
      </c>
      <c r="Z15" s="326">
        <f>IF(Rates!D52="Yes",1,IF(Y15&gt;Administration!F29,0,1))</f>
        <v>1</v>
      </c>
      <c r="AM15" s="146" t="str">
        <f>Administration!G16</f>
        <v>Motor Lorry (Chinese)</v>
      </c>
      <c r="AU15" s="146">
        <f t="shared" ref="AU15:AU36" si="1">AU14+1</f>
        <v>1977</v>
      </c>
    </row>
    <row r="16" spans="1:60" s="146" customFormat="1" ht="16.5" customHeight="1" thickTop="1" thickBot="1" x14ac:dyDescent="0.35">
      <c r="B16" s="319"/>
      <c r="C16" s="140"/>
      <c r="D16" s="472"/>
      <c r="E16" s="880" t="str">
        <f ca="1">IF('Data Entry'!$C$70=0,"This Quotation system is not valid anymore",IF(C67-F70&lt;14,CONCATENATE("This quotation shall expire within ",C67-F70," days"),IF(AND(Rates!D79="No",O16=1,H14="No",(O57+Q57=1)),"Should Obtain 3 Tier Quotation","")))</f>
        <v/>
      </c>
      <c r="F16" s="880"/>
      <c r="G16" s="880"/>
      <c r="H16" s="880"/>
      <c r="I16" s="883" t="str">
        <f>IF(N16=0,"Please Get 3 Tier Quotation",IF(H8="","Enter Vehicle Type",IF(H9="","Enter Vehicle Usage",IF(H11="","Enter Vehicle Country of Make",IF(H12="","Enter Fuel Type",IF(H13="","Enter Year of Make",IF(H14="","Enter Lease Status",IF(L6="","Enter Proposer 2nd Name",""))))))))</f>
        <v/>
      </c>
      <c r="J16" s="883"/>
      <c r="K16" s="883"/>
      <c r="L16" s="883"/>
      <c r="M16" s="884"/>
      <c r="N16" s="245">
        <f>IF(AND(O6=0,O16=1,H14="No"),0,1)</f>
        <v>1</v>
      </c>
      <c r="O16" s="238">
        <f>IF(H11="Chinese",0,1)</f>
        <v>1</v>
      </c>
      <c r="P16" s="238"/>
      <c r="R16" s="240"/>
      <c r="S16" s="656"/>
      <c r="T16" s="709">
        <f ca="1">M35+M36</f>
        <v>19590.000000000004</v>
      </c>
      <c r="U16" s="628"/>
      <c r="V16" s="628"/>
      <c r="W16" s="628"/>
      <c r="X16" s="628"/>
      <c r="Y16" s="628"/>
      <c r="Z16" s="710"/>
      <c r="AA16" s="711"/>
      <c r="AB16" s="143"/>
      <c r="AC16" s="143"/>
      <c r="AD16" s="143"/>
      <c r="AM16" s="146" t="str">
        <f>Administration!G17</f>
        <v>Others</v>
      </c>
      <c r="AU16" s="146">
        <f t="shared" si="1"/>
        <v>1978</v>
      </c>
    </row>
    <row r="17" spans="2:50" s="146" customFormat="1" ht="15" customHeight="1" thickTop="1" thickBot="1" x14ac:dyDescent="0.35">
      <c r="B17" s="319"/>
      <c r="C17" s="140"/>
      <c r="D17" s="6"/>
      <c r="E17" s="881"/>
      <c r="F17" s="881"/>
      <c r="G17" s="881"/>
      <c r="H17" s="881"/>
      <c r="I17" s="885"/>
      <c r="J17" s="885"/>
      <c r="K17" s="885"/>
      <c r="L17" s="885"/>
      <c r="M17" s="886"/>
      <c r="N17" s="87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869"/>
      <c r="P17" s="238"/>
      <c r="R17" s="240"/>
      <c r="S17" s="656"/>
      <c r="T17" s="712">
        <f ca="1">T16*-H37%</f>
        <v>-6882.9660900000017</v>
      </c>
      <c r="U17" s="628"/>
      <c r="V17" s="628"/>
      <c r="W17" s="628"/>
      <c r="X17" s="628"/>
      <c r="Y17" s="628"/>
      <c r="Z17" s="710"/>
      <c r="AA17" s="628"/>
      <c r="AM17" s="146">
        <f>Administration!G19</f>
        <v>0</v>
      </c>
      <c r="AU17" s="146">
        <f t="shared" si="1"/>
        <v>1979</v>
      </c>
    </row>
    <row r="18" spans="2:50" s="146" customFormat="1" ht="15" customHeight="1" thickBot="1" x14ac:dyDescent="0.35">
      <c r="B18" s="319"/>
      <c r="C18" s="140"/>
      <c r="D18" s="6"/>
      <c r="E18" s="489" t="s">
        <v>267</v>
      </c>
      <c r="F18" s="10"/>
      <c r="G18" s="10"/>
      <c r="H18" s="551"/>
      <c r="I18" s="633">
        <f>IF(K14=F113,1000,0)</f>
        <v>0</v>
      </c>
      <c r="J18" s="282"/>
      <c r="K18" s="10"/>
      <c r="L18" s="10"/>
      <c r="M18" s="201"/>
      <c r="N18" s="873"/>
      <c r="O18" s="871"/>
      <c r="P18" s="238"/>
      <c r="R18" s="240"/>
      <c r="S18" s="656"/>
      <c r="T18" s="712"/>
      <c r="U18" s="628"/>
      <c r="V18" s="628"/>
      <c r="W18" s="628"/>
      <c r="X18" s="628"/>
      <c r="Y18" s="628"/>
      <c r="Z18" s="710"/>
      <c r="AA18" s="628"/>
      <c r="AU18" s="146">
        <f t="shared" si="1"/>
        <v>1980</v>
      </c>
    </row>
    <row r="19" spans="2:50" s="146" customFormat="1" ht="15.5" thickBot="1" x14ac:dyDescent="0.35">
      <c r="B19" s="319"/>
      <c r="C19" s="140"/>
      <c r="D19" s="6"/>
      <c r="E19" s="367" t="s">
        <v>375</v>
      </c>
      <c r="F19" s="183"/>
      <c r="G19" s="183"/>
      <c r="H19" s="329"/>
      <c r="I19" s="193"/>
      <c r="J19" s="193"/>
      <c r="K19" s="10"/>
      <c r="L19" s="196">
        <v>0</v>
      </c>
      <c r="M19" s="202">
        <f ca="1">IF(AND($C$2="Yes",L19=1),N19*C70,(H15*N7%*R15*C70))*N3</f>
        <v>19425.000000000004</v>
      </c>
      <c r="N19" s="230">
        <v>0</v>
      </c>
      <c r="O19" s="238"/>
      <c r="P19" s="238"/>
      <c r="Q19" s="509">
        <v>0.01</v>
      </c>
      <c r="R19" s="240"/>
      <c r="S19" s="656"/>
      <c r="T19" s="712"/>
      <c r="U19" s="656"/>
      <c r="V19" s="656"/>
      <c r="W19" s="628"/>
      <c r="X19" s="628"/>
      <c r="Y19" s="628"/>
      <c r="Z19" s="710"/>
      <c r="AA19" s="628"/>
      <c r="AU19" s="146">
        <f t="shared" si="1"/>
        <v>1981</v>
      </c>
    </row>
    <row r="20" spans="2:50" s="146" customFormat="1" ht="16" customHeight="1" thickBot="1" x14ac:dyDescent="0.35">
      <c r="B20" s="319"/>
      <c r="C20" s="140"/>
      <c r="D20" s="348" t="s">
        <v>285</v>
      </c>
      <c r="E20" s="372" t="s">
        <v>11</v>
      </c>
      <c r="F20" s="280" t="s">
        <v>166</v>
      </c>
      <c r="G20" s="280"/>
      <c r="H20" s="626"/>
      <c r="I20" s="193"/>
      <c r="J20" s="193"/>
      <c r="K20" s="10"/>
      <c r="L20" s="196">
        <v>0</v>
      </c>
      <c r="M20" s="203">
        <f ca="1">IF(AND($C$2="Yes",L20=1),N20,(M19*H20%))</f>
        <v>0</v>
      </c>
      <c r="N20" s="230">
        <v>0</v>
      </c>
      <c r="O20" s="238"/>
      <c r="P20" s="238"/>
      <c r="Q20" s="509"/>
      <c r="R20" s="240"/>
      <c r="S20" s="656"/>
      <c r="T20" s="712"/>
      <c r="U20" s="656"/>
      <c r="V20" s="656"/>
      <c r="W20" s="628"/>
      <c r="X20" s="628"/>
      <c r="Y20" s="628"/>
      <c r="Z20" s="710"/>
      <c r="AA20" s="628"/>
      <c r="AM20" s="227"/>
      <c r="AU20" s="146">
        <f t="shared" si="1"/>
        <v>1982</v>
      </c>
    </row>
    <row r="21" spans="2:50" s="146" customFormat="1" ht="16" customHeight="1" thickBot="1" x14ac:dyDescent="0.45">
      <c r="B21" s="120" t="str">
        <f>IF(C21=0,"No",IF(C21=1,"Yes","Free"))</f>
        <v>Free</v>
      </c>
      <c r="C21" s="462">
        <f>IF(H14="Yes",2,0)</f>
        <v>2</v>
      </c>
      <c r="D21" s="348" t="s">
        <v>285</v>
      </c>
      <c r="E21" s="372" t="s">
        <v>11</v>
      </c>
      <c r="F21" s="280" t="s">
        <v>13</v>
      </c>
      <c r="G21" s="280"/>
      <c r="H21" s="207" t="str">
        <f>IF(B21="Free","Free",IF(B21="Yes","Charged",""))</f>
        <v>Free</v>
      </c>
      <c r="I21" s="193"/>
      <c r="J21" s="193"/>
      <c r="K21" s="10"/>
      <c r="L21" s="210"/>
      <c r="M21" s="194">
        <f ca="1">M19*Rates!K13%*Q21</f>
        <v>0</v>
      </c>
      <c r="N21" s="246"/>
      <c r="Q21" s="146">
        <f>IF(B21="Yes",1,0)</f>
        <v>0</v>
      </c>
      <c r="R21" s="427"/>
      <c r="S21" s="713"/>
      <c r="T21" s="656"/>
      <c r="U21" s="656"/>
      <c r="V21" s="656"/>
      <c r="W21" s="661"/>
      <c r="X21" s="661"/>
      <c r="Y21" s="661"/>
      <c r="Z21" s="661"/>
      <c r="AA21" s="661"/>
      <c r="AM21" s="227"/>
      <c r="AU21" s="146">
        <f t="shared" si="1"/>
        <v>1983</v>
      </c>
    </row>
    <row r="22" spans="2:50" s="146" customFormat="1" ht="16" customHeight="1" thickBot="1" x14ac:dyDescent="0.35">
      <c r="B22" s="5"/>
      <c r="C22" s="141"/>
      <c r="D22" s="348" t="s">
        <v>285</v>
      </c>
      <c r="E22" s="372" t="s">
        <v>11</v>
      </c>
      <c r="F22" s="280" t="s">
        <v>3</v>
      </c>
      <c r="G22" s="280"/>
      <c r="H22" s="676">
        <v>0</v>
      </c>
      <c r="I22" s="459">
        <f>IF(AND($C$2="Yes",L22=1),K22,H22)</f>
        <v>0</v>
      </c>
      <c r="J22" s="481"/>
      <c r="K22" s="458">
        <v>10000</v>
      </c>
      <c r="L22" s="196">
        <v>0</v>
      </c>
      <c r="M22" s="204">
        <f>IF(AND($C$2="Yes",L22=1),N22,-IF(I22=2000,MIN(Rates!K38/100*M19,Rates!J38),IF(I22=5000,MIN(Rates!J39,Rates!K39/100*M19),IF(I22=10000,MIN(Rates!K40/100*M19,Rates!J40)))))</f>
        <v>0</v>
      </c>
      <c r="N22" s="230">
        <v>0</v>
      </c>
      <c r="O22" s="242">
        <f>IF(I22&gt;0,1,0)</f>
        <v>0</v>
      </c>
      <c r="P22" s="242"/>
      <c r="Q22" s="510"/>
      <c r="R22" s="240"/>
      <c r="S22" s="656"/>
      <c r="T22" s="656"/>
      <c r="U22" s="656"/>
      <c r="V22" s="656"/>
      <c r="W22" s="714"/>
      <c r="X22" s="661"/>
      <c r="Y22" s="661"/>
      <c r="Z22" s="661"/>
      <c r="AA22" s="661"/>
      <c r="AM22" s="227"/>
      <c r="AU22" s="146">
        <f t="shared" si="1"/>
        <v>1984</v>
      </c>
    </row>
    <row r="23" spans="2:50" s="146" customFormat="1" ht="16" customHeight="1" thickBot="1" x14ac:dyDescent="0.35">
      <c r="B23" s="5"/>
      <c r="C23" s="141"/>
      <c r="D23" s="348" t="s">
        <v>285</v>
      </c>
      <c r="E23" s="372" t="s">
        <v>11</v>
      </c>
      <c r="F23" s="280" t="s">
        <v>4</v>
      </c>
      <c r="G23" s="280"/>
      <c r="H23" s="735">
        <f>IF(H8="THREE WHEELER",0,0)</f>
        <v>0</v>
      </c>
      <c r="I23" s="893" t="str">
        <f ca="1">IF(AND(U23=0,M23&lt;0),"   (Special Rebate Allowed)",IF(U23=0,"   (Rebate Not Allowed)",IF(AND(H12="Hybrid",M23&lt;0),"N.B:- Hybrid Vehicle",IF(AND(H11="Korean",M23&lt;0),"N.B:- Korean Vehicle",""))))</f>
        <v/>
      </c>
      <c r="J23" s="894"/>
      <c r="K23" s="894"/>
      <c r="L23" s="894"/>
      <c r="M23" s="200">
        <f ca="1">IF(AND($C$2="Yes",O23=1),N23,IF(AND(U23=0,C24=1),-((M19+M21+M22)*I24%),-((M19+M21+M22)*H23%*U23)))</f>
        <v>0</v>
      </c>
      <c r="N23" s="230">
        <v>0</v>
      </c>
      <c r="O23" s="243">
        <v>0</v>
      </c>
      <c r="P23" s="545">
        <f ca="1">IF(M23&lt;0,1,0)</f>
        <v>0</v>
      </c>
      <c r="Q23" s="578">
        <f>Rates!C29</f>
        <v>75</v>
      </c>
      <c r="R23" s="579">
        <f>IF(AND(T47=0,Rates!C28="No"),1,0)</f>
        <v>0</v>
      </c>
      <c r="S23" s="579"/>
      <c r="T23" s="715">
        <f>IF(R23=1,0,IF(AND(H11="Chinese",Rates!D64="No"),0,IF(AND(H12="Hybrid",Rates!D76="No"),0,IF(AND(H11="Korean",Rates!D58="Yes"),1,IF(AND(H11="Korean",H14="No",Rates!D58="No"),0,IF(AND(H11="Korean",H14="Yes",Rates!D58="No",OR(J11="Reconditioned",J11="Registered")),0,Q23))))))</f>
        <v>75</v>
      </c>
      <c r="U23" s="715">
        <f>IF(T23=0,0,1)</f>
        <v>1</v>
      </c>
      <c r="V23" s="715"/>
      <c r="W23" s="675"/>
      <c r="X23" s="675"/>
      <c r="Y23" s="580"/>
      <c r="Z23" s="580"/>
      <c r="AA23" s="580"/>
      <c r="AB23" s="580"/>
      <c r="AC23" s="580"/>
      <c r="AD23" s="580"/>
      <c r="AE23" s="580"/>
      <c r="AM23" s="227"/>
      <c r="AU23" s="146">
        <f t="shared" si="1"/>
        <v>1985</v>
      </c>
    </row>
    <row r="24" spans="2:50" s="146" customFormat="1" ht="16" thickBot="1" x14ac:dyDescent="0.4">
      <c r="B24" s="5"/>
      <c r="C24" s="141">
        <f>IF(H24=D24,1,0)</f>
        <v>0</v>
      </c>
      <c r="D24" s="469" t="s">
        <v>400</v>
      </c>
      <c r="E24" s="184"/>
      <c r="F24" s="320"/>
      <c r="G24" s="468" t="str">
        <f>IF(U23=0,"Enter Password for Special Rebate =&gt;","")</f>
        <v/>
      </c>
      <c r="H24" s="584"/>
      <c r="I24" s="525">
        <v>15</v>
      </c>
      <c r="J24" s="470"/>
      <c r="K24" s="356"/>
      <c r="L24" s="356" t="s">
        <v>286</v>
      </c>
      <c r="M24" s="478">
        <f ca="1">SUM(M19:M23)</f>
        <v>19425.000000000004</v>
      </c>
      <c r="N24" s="247"/>
      <c r="O24" s="242">
        <f ca="1">O23+M24</f>
        <v>19425.000000000004</v>
      </c>
      <c r="P24" s="242"/>
      <c r="Q24" s="601"/>
      <c r="R24" s="601"/>
      <c r="S24" s="601"/>
      <c r="T24" s="716"/>
      <c r="U24" s="716"/>
      <c r="V24" s="716"/>
      <c r="W24" s="661"/>
      <c r="X24" s="661"/>
      <c r="Y24" s="145"/>
      <c r="Z24" s="368" t="s">
        <v>158</v>
      </c>
      <c r="AA24" s="145"/>
      <c r="AD24" s="412" t="s">
        <v>157</v>
      </c>
      <c r="AJ24" s="146">
        <v>0</v>
      </c>
      <c r="AM24" s="227"/>
      <c r="AU24" s="146">
        <f t="shared" si="1"/>
        <v>1986</v>
      </c>
    </row>
    <row r="25" spans="2:50" s="146" customFormat="1" ht="18" customHeight="1" thickBot="1" x14ac:dyDescent="0.4">
      <c r="B25" s="5"/>
      <c r="C25" s="141"/>
      <c r="D25" s="348" t="s">
        <v>285</v>
      </c>
      <c r="E25" s="372" t="s">
        <v>11</v>
      </c>
      <c r="F25" s="280" t="s">
        <v>323</v>
      </c>
      <c r="G25" s="77" t="s">
        <v>28</v>
      </c>
      <c r="H25" s="670">
        <v>0</v>
      </c>
      <c r="I25" s="908" t="s">
        <v>525</v>
      </c>
      <c r="J25" s="909"/>
      <c r="K25" s="910"/>
      <c r="L25" s="354">
        <f>IF(H15&gt;0,AD25,0)</f>
        <v>4</v>
      </c>
      <c r="M25" s="205">
        <f>IF(AND($C$2="Yes",O25=1),N25,IF(AND(H25&gt;Rates!C40,L27=0),0,((H25/25000*U25*L25*U2)-W25)*R15*Y2))*N3</f>
        <v>0</v>
      </c>
      <c r="N25" s="230">
        <v>0</v>
      </c>
      <c r="O25" s="557">
        <v>0</v>
      </c>
      <c r="P25" s="238">
        <f>IF(H25&gt;0,1,0)</f>
        <v>0</v>
      </c>
      <c r="Q25" s="238">
        <f>IF(L27&gt;0,1,0)</f>
        <v>1</v>
      </c>
      <c r="R25" s="244">
        <f>P25+Q25</f>
        <v>1</v>
      </c>
      <c r="S25" s="244"/>
      <c r="T25" s="655"/>
      <c r="U25" s="655">
        <f>IF(T47=0,Rates!K10,IF(U57=1,Rates!K8,Rates!K9))</f>
        <v>110</v>
      </c>
      <c r="V25" s="655"/>
      <c r="W25" s="661">
        <f>IF(OR(U62=1,Rates!D41="Yes"),MIN(H25/25000*MIN(L25,AC25)*U25,X25),0)</f>
        <v>0</v>
      </c>
      <c r="X25" s="661">
        <f>MIN(H25/25000*MIN(L25,AC25)*U25*Y25,Rates!C40/25000*MIN(L25,AC25)*U25*Y25)</f>
        <v>0</v>
      </c>
      <c r="Y25" s="145">
        <f>IF(Rates!D39="Yes",1,0)</f>
        <v>1</v>
      </c>
      <c r="Z25" s="369">
        <f>IF(AND(AA25=1,R25=2),MAX(H25,Rates!C40),IF(AND(AA25=1,R25&lt;2),Rates!C40,IF(AND(AA25=0,R25=2),H25,0)))</f>
        <v>0</v>
      </c>
      <c r="AA25" s="145">
        <f>IF(OR(AND(U62=1,Rates!D39="Yes",Rates!C40&gt;0),AND(U62=0,Rates!D39="Yes",Rates!C40&gt;0,Rates!D41="Yes")),1,0)</f>
        <v>0</v>
      </c>
      <c r="AB25" s="146">
        <f>IF(AND(AA25=1,H25&lt;Rates!C40),AC25,L27)</f>
        <v>4</v>
      </c>
      <c r="AC25" s="146">
        <f>IF(OR(O57+Q57=1,W57=1),MIN(L13,Q12,Rates!D42),0)</f>
        <v>0</v>
      </c>
      <c r="AD25" s="614">
        <f>IF(AND(AA25=1,L27&lt;=AC25,H25&lt;=Rates!C40),AC25,IF(AND(AA25=1,L27=0,H25&gt;Rates!C40),AC25,AE25))</f>
        <v>4</v>
      </c>
      <c r="AE25" s="146">
        <f>IF(AND(L27&gt;Q12,Q12&gt;L13),L13,IF(AND(L27&gt;Q12,Q12&lt;=L13),Q12,IF(AND(L27&lt;Q12,L27&gt;L13),L13,L27)))</f>
        <v>4</v>
      </c>
      <c r="AJ25" s="146">
        <f>IF(AND(H9=Administration!C20,OR(M8=Administration!C7,M8=Administration!C8,M8=Administration!C9)),50000,25000)</f>
        <v>25000</v>
      </c>
      <c r="AM25" s="227"/>
      <c r="AU25" s="146">
        <f t="shared" si="1"/>
        <v>1987</v>
      </c>
    </row>
    <row r="26" spans="2:50" s="146" customFormat="1" ht="1.5" customHeight="1" thickBot="1" x14ac:dyDescent="0.35">
      <c r="B26" s="5"/>
      <c r="C26" s="141"/>
      <c r="D26" s="342"/>
      <c r="E26" s="555">
        <f>IF(I25="Full Seating Capacity",1,0)</f>
        <v>1</v>
      </c>
      <c r="F26" s="291" t="str">
        <f>IF(H25&gt;0,"Full Seating Capacity","")</f>
        <v/>
      </c>
      <c r="G26" s="555">
        <f>IF(OR(I25="Participant Only",I25="Participant &amp; Driver Only"),1,0)</f>
        <v>0</v>
      </c>
      <c r="H26" s="280" t="str">
        <f>IF(H25&gt;0,"for Participant","")</f>
        <v/>
      </c>
      <c r="I26" s="577">
        <f>IF(H15&gt;0,Z25,0)</f>
        <v>0</v>
      </c>
      <c r="J26" s="577"/>
      <c r="K26" s="335" t="str">
        <f>IF(H25&gt;0,"for Driver","")</f>
        <v/>
      </c>
      <c r="L26" s="555">
        <f>IF(OR(I25="Driver Only",I25="Participant &amp; Driver Only"),1,0)</f>
        <v>0</v>
      </c>
      <c r="M26" s="334"/>
      <c r="N26" s="248"/>
      <c r="O26" s="238" t="str">
        <f>IF(AND(E26=0,L25&gt;0),CONCATENATE(MIN(L25,L13)," Persons"),IF(E26=1,"Full Seating Capacity",IF(AND(G26=1,L26=1),"Participant &amp; Driver",IF(G26=1,"Participant only",IF(L26=1,"Driver only","")))))</f>
        <v>Full Seating Capacity</v>
      </c>
      <c r="P26" s="238"/>
      <c r="Q26" s="238"/>
      <c r="R26" s="244"/>
      <c r="S26" s="244"/>
      <c r="T26" s="244"/>
      <c r="U26" s="244"/>
      <c r="V26" s="244"/>
      <c r="W26" s="145"/>
      <c r="X26" s="145"/>
      <c r="Y26" s="145"/>
      <c r="Z26" s="369"/>
      <c r="AA26" s="145"/>
      <c r="AJ26" s="146">
        <f>AJ25+25000</f>
        <v>50000</v>
      </c>
      <c r="AM26" s="227"/>
      <c r="AU26" s="146">
        <f t="shared" si="1"/>
        <v>1988</v>
      </c>
      <c r="AX26" s="534"/>
    </row>
    <row r="27" spans="2:50" s="146" customFormat="1" ht="26.25" hidden="1" customHeight="1" thickBot="1" x14ac:dyDescent="0.35">
      <c r="B27" s="5"/>
      <c r="C27" s="141"/>
      <c r="D27" s="342"/>
      <c r="E27" s="320"/>
      <c r="F27" s="892" t="str">
        <f>IF(OR($R$25&gt;1,AA25=1),"If PAB for Terrorism is Required for paid Driver or workers, state their number","")</f>
        <v/>
      </c>
      <c r="G27" s="892"/>
      <c r="H27" s="892"/>
      <c r="I27" s="337">
        <v>0</v>
      </c>
      <c r="J27" s="397"/>
      <c r="K27" s="208"/>
      <c r="L27" s="338">
        <f>IF(E26=1,L13,IF(AND(G26=1,L26=1),2,IF(OR(G26=1,L26=1),1,0)))</f>
        <v>4</v>
      </c>
      <c r="M27" s="371"/>
      <c r="O27" s="238"/>
      <c r="P27" s="238"/>
      <c r="Q27" s="231"/>
      <c r="R27" s="414"/>
      <c r="S27" s="414"/>
      <c r="T27" s="414"/>
      <c r="U27" s="414"/>
      <c r="V27" s="414"/>
      <c r="W27" s="283"/>
      <c r="X27" s="283"/>
      <c r="Y27" s="145"/>
      <c r="Z27" s="369"/>
      <c r="AA27" s="145"/>
      <c r="AJ27" s="146">
        <f t="shared" ref="AJ27:AJ43" si="2">AJ26+25000</f>
        <v>75000</v>
      </c>
      <c r="AM27" s="227"/>
      <c r="AU27" s="146">
        <f t="shared" si="1"/>
        <v>1989</v>
      </c>
      <c r="AX27" s="534"/>
    </row>
    <row r="28" spans="2:50" s="146" customFormat="1" ht="20.25" hidden="1" customHeight="1" thickBot="1" x14ac:dyDescent="0.35">
      <c r="B28" s="5"/>
      <c r="C28" s="141"/>
      <c r="D28" s="342"/>
      <c r="E28" s="209"/>
      <c r="F28" s="892"/>
      <c r="G28" s="892"/>
      <c r="H28" s="892"/>
      <c r="I28" s="903" t="str">
        <f>IF(AND(H25=0,L25=0),"",IF(I27&gt;L25,"Invalid Entry",""))</f>
        <v/>
      </c>
      <c r="J28" s="903"/>
      <c r="K28" s="903"/>
      <c r="L28" s="320"/>
      <c r="M28" s="205"/>
      <c r="N28" s="249"/>
      <c r="O28" s="242"/>
      <c r="P28" s="242"/>
      <c r="Q28" s="414"/>
      <c r="R28" s="244"/>
      <c r="S28" s="244"/>
      <c r="T28" s="244"/>
      <c r="U28" s="244"/>
      <c r="V28" s="244"/>
      <c r="W28" s="145"/>
      <c r="X28" s="145"/>
      <c r="Y28" s="145"/>
      <c r="Z28" s="145">
        <f>IF(I27&gt;L25,L25,I27)</f>
        <v>0</v>
      </c>
      <c r="AA28" s="145"/>
      <c r="AJ28" s="146">
        <f t="shared" si="2"/>
        <v>100000</v>
      </c>
      <c r="AM28" s="227"/>
      <c r="AU28" s="146">
        <f t="shared" si="1"/>
        <v>1990</v>
      </c>
      <c r="AX28" s="534"/>
    </row>
    <row r="29" spans="2:50" s="146" customFormat="1" ht="20.25" customHeight="1" thickBot="1" x14ac:dyDescent="0.4">
      <c r="B29" s="5"/>
      <c r="C29" s="141"/>
      <c r="D29" s="348" t="s">
        <v>285</v>
      </c>
      <c r="E29" s="372" t="s">
        <v>11</v>
      </c>
      <c r="F29" s="78" t="s">
        <v>49</v>
      </c>
      <c r="G29" s="78"/>
      <c r="H29" s="726">
        <f>' Quote'!I39</f>
        <v>100000</v>
      </c>
      <c r="I29" s="343" t="str">
        <f>IF(L13&gt;Q12,CONCATENATE(Q12-1," Passengers"),CONCATENATE(L13-1," passengers"))</f>
        <v>3 passengers</v>
      </c>
      <c r="J29" s="345"/>
      <c r="K29" s="631">
        <f>IF(AND(H8="Three Wheeler",K14=F113,H29&lt;20000),20000,H29)</f>
        <v>100000</v>
      </c>
      <c r="L29" s="630"/>
      <c r="M29" s="192">
        <f>IF(AND($C$2="Yes",O29=1),N29,IF(K29=2000,Rates!K27,IF(K29=10000,Rates!M27,IF(K29=20000,Rates!K28,IF(K29=50000,Rates!M28,IF(K29=100000,Rates!K29,IF(K29=200000,Rates!M29,IF(K29=500000,Rates!K30,))))))))*T29*U2*R15*Y2*Z49*Y49*Q66*N3</f>
        <v>165</v>
      </c>
      <c r="N29" s="230">
        <v>0</v>
      </c>
      <c r="O29" s="243">
        <v>0</v>
      </c>
      <c r="P29" s="238">
        <f>IF(K29&gt;0,1,0)</f>
        <v>1</v>
      </c>
      <c r="Q29" s="238">
        <f>IF(I29&gt;0,1,0)</f>
        <v>1</v>
      </c>
      <c r="R29" s="244">
        <f>P29+Q29</f>
        <v>2</v>
      </c>
      <c r="S29" s="244"/>
      <c r="T29" s="240">
        <f>IF(I29&gt;L13-1,L13-1,I29)</f>
        <v>3</v>
      </c>
      <c r="U29" s="240"/>
      <c r="V29" s="240">
        <f>IF(AND(H9=Administration!C21,OR('Data Entry'!M8=Administration!C7,M8=Administration!C8,M8=Administration!C9,M8=Administration!C10,M8=Administration!C12)),2000,0)</f>
        <v>0</v>
      </c>
      <c r="W29" s="145"/>
      <c r="X29" s="145"/>
      <c r="Y29" s="145"/>
      <c r="Z29" s="145"/>
      <c r="AA29" s="145"/>
      <c r="AJ29" s="146">
        <f t="shared" si="2"/>
        <v>125000</v>
      </c>
      <c r="AM29" s="227"/>
      <c r="AU29" s="146">
        <f t="shared" si="1"/>
        <v>1991</v>
      </c>
      <c r="AX29" s="613"/>
    </row>
    <row r="30" spans="2:50" s="146" customFormat="1" ht="21" customHeight="1" thickBot="1" x14ac:dyDescent="0.35">
      <c r="B30" s="5"/>
      <c r="C30" s="375" t="s">
        <v>79</v>
      </c>
      <c r="D30" s="348" t="s">
        <v>285</v>
      </c>
      <c r="E30" s="372" t="s">
        <v>11</v>
      </c>
      <c r="F30" s="558" t="str">
        <f>IF(O31=0,"Goods Cover               (Not Provided)",IF(AND(C30="Yes",H30=0),"Goods Cover    - Enter Goods Value","Goods Cover              Goods Value-&gt;"))</f>
        <v>Goods Cover               (Not Provided)</v>
      </c>
      <c r="G30" s="320"/>
      <c r="H30" s="677">
        <v>0</v>
      </c>
      <c r="I30" s="904" t="s">
        <v>42</v>
      </c>
      <c r="J30" s="905"/>
      <c r="K30" s="576" t="s">
        <v>399</v>
      </c>
      <c r="L30" s="196">
        <v>0</v>
      </c>
      <c r="M30" s="194"/>
      <c r="N30" s="230">
        <v>0</v>
      </c>
      <c r="O30" s="238">
        <f>IF(AND(C30="Yes",H30&gt;0),1,0)</f>
        <v>0</v>
      </c>
      <c r="P30" s="238"/>
      <c r="Q30" s="227"/>
      <c r="T30" s="146">
        <f>IF(C30="Yes",Rates!B33,0)</f>
        <v>5000</v>
      </c>
      <c r="U30" s="250">
        <f>IF(AND(O31=1,C30="Yes"),Rates!B31,0)</f>
        <v>0</v>
      </c>
      <c r="V30" s="250"/>
      <c r="W30" s="145"/>
      <c r="X30" s="145"/>
      <c r="Y30" s="145"/>
      <c r="Z30" s="145"/>
      <c r="AA30" s="145"/>
      <c r="AJ30" s="146">
        <f t="shared" si="2"/>
        <v>150000</v>
      </c>
      <c r="AM30" s="227"/>
      <c r="AU30" s="146">
        <f t="shared" si="1"/>
        <v>1992</v>
      </c>
    </row>
    <row r="31" spans="2:50" s="146" customFormat="1" ht="0.75" customHeight="1" thickBot="1" x14ac:dyDescent="0.35">
      <c r="B31" s="123">
        <v>1</v>
      </c>
      <c r="C31" s="339">
        <v>1</v>
      </c>
      <c r="D31" s="341"/>
      <c r="E31" s="374" t="str">
        <f>IF(AND(H30&gt;0,O31&gt;0),"Select Nature of Goods","")</f>
        <v/>
      </c>
      <c r="F31" s="320"/>
      <c r="G31" s="212" t="s">
        <v>11</v>
      </c>
      <c r="H31" s="355" t="str">
        <f>IF(AND(H30&gt;0,O31=1),"Non Hazardous","")</f>
        <v/>
      </c>
      <c r="I31" s="336">
        <f>H30*Rates!K53%*T31*O30*O31</f>
        <v>0</v>
      </c>
      <c r="J31" s="520"/>
      <c r="K31" s="520"/>
      <c r="L31" s="520"/>
      <c r="M31" s="199"/>
      <c r="N31" s="251"/>
      <c r="O31" s="146">
        <f>IF(OR(H8=Administration!C9,H8=Administration!C11,H8=Administration!C12,H8=Administration!CY1548),1,IF(Rates!D47="Yes",1,0))</f>
        <v>0</v>
      </c>
      <c r="Q31" s="146">
        <f>B31</f>
        <v>1</v>
      </c>
      <c r="R31" s="146">
        <f>IF(Q31+Q32=3,0,1)</f>
        <v>1</v>
      </c>
      <c r="T31" s="146">
        <f>IF((E32+E33)=0,1,0)</f>
        <v>0</v>
      </c>
      <c r="U31" s="145">
        <f>IF(T31=1,1,0)</f>
        <v>0</v>
      </c>
      <c r="V31" s="145"/>
      <c r="W31" s="145"/>
      <c r="X31" s="145"/>
      <c r="Y31" s="145"/>
      <c r="Z31" s="145"/>
      <c r="AA31" s="145"/>
      <c r="AJ31" s="146">
        <f t="shared" si="2"/>
        <v>175000</v>
      </c>
      <c r="AM31" s="227"/>
      <c r="AU31" s="146">
        <f t="shared" si="1"/>
        <v>1993</v>
      </c>
      <c r="AX31" s="613" t="s">
        <v>389</v>
      </c>
    </row>
    <row r="32" spans="2:50" s="146" customFormat="1" ht="23.25" hidden="1" customHeight="1" thickBot="1" x14ac:dyDescent="0.35">
      <c r="B32" s="5"/>
      <c r="D32" s="341"/>
      <c r="E32" s="556">
        <f>IF(I30="Hazardous",1,0)</f>
        <v>0</v>
      </c>
      <c r="F32" s="320"/>
      <c r="G32" s="212" t="s">
        <v>11</v>
      </c>
      <c r="H32" s="355" t="str">
        <f>IF(AND(H30&gt;0,O31=1),"Hazardous","")</f>
        <v/>
      </c>
      <c r="I32" s="336">
        <f>H30*Rates!K54%*Q32*O30*O31</f>
        <v>0</v>
      </c>
      <c r="J32" s="520"/>
      <c r="K32" s="520"/>
      <c r="L32" s="520"/>
      <c r="M32" s="199"/>
      <c r="N32" s="251"/>
      <c r="Q32" s="146">
        <f>IF(Q33=1,0,E32)</f>
        <v>0</v>
      </c>
      <c r="T32" s="146" t="str">
        <f>IF(AND(E33=1,H30&gt;0,C30="Yes"),"Extra Hazardous",U32)</f>
        <v>-</v>
      </c>
      <c r="U32" s="146" t="str">
        <f>IF(AND(H30&gt;0,E32=1,C30="Yes"),"Hazardous",W32)</f>
        <v>-</v>
      </c>
      <c r="W32" s="146" t="str">
        <f>IF(AND(H30&gt;0,C30="Yes"),"Non Hazardous","-")</f>
        <v>-</v>
      </c>
      <c r="AJ32" s="146">
        <f t="shared" si="2"/>
        <v>200000</v>
      </c>
      <c r="AM32" s="227"/>
      <c r="AU32" s="146">
        <f t="shared" si="1"/>
        <v>1994</v>
      </c>
      <c r="AX32" s="613" t="s">
        <v>382</v>
      </c>
    </row>
    <row r="33" spans="2:50" s="146" customFormat="1" ht="18" hidden="1" customHeight="1" thickTop="1" thickBot="1" x14ac:dyDescent="0.35">
      <c r="B33" s="5"/>
      <c r="D33" s="341"/>
      <c r="E33" s="556">
        <f>IF(I30="Extra Hazardous",1,0)</f>
        <v>1</v>
      </c>
      <c r="F33" s="320"/>
      <c r="G33" s="212" t="s">
        <v>11</v>
      </c>
      <c r="H33" s="355" t="str">
        <f>IF(AND(H30&gt;0,O31=1),"Extra Hazardous","")</f>
        <v/>
      </c>
      <c r="I33" s="336">
        <f>H30*Rates!K55%*E33*O30*O31</f>
        <v>0</v>
      </c>
      <c r="J33" s="520"/>
      <c r="K33" s="520"/>
      <c r="L33" s="520"/>
      <c r="M33" s="199"/>
      <c r="N33" s="86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869"/>
      <c r="Q33" s="146">
        <f>E33</f>
        <v>1</v>
      </c>
      <c r="AJ33" s="146">
        <f t="shared" si="2"/>
        <v>225000</v>
      </c>
      <c r="AM33" s="227"/>
      <c r="AU33" s="146">
        <f t="shared" si="1"/>
        <v>1995</v>
      </c>
      <c r="AX33" s="613" t="s">
        <v>390</v>
      </c>
    </row>
    <row r="34" spans="2:50" s="146" customFormat="1" ht="18" customHeight="1" thickBot="1" x14ac:dyDescent="0.35">
      <c r="B34" s="5"/>
      <c r="D34" s="341"/>
      <c r="E34" s="556">
        <f>IF(K30="With Fire",1,0)</f>
        <v>1</v>
      </c>
      <c r="F34" s="284" t="str">
        <f>IF(AND(H30&gt;0,O31=1),"Select to include Damage by Fire","")</f>
        <v/>
      </c>
      <c r="G34" s="212" t="s">
        <v>11</v>
      </c>
      <c r="H34" s="355" t="str">
        <f>IF(AND(H30&gt;0,O31=1),"Fire","")</f>
        <v/>
      </c>
      <c r="I34" s="336">
        <f>H30*E34*Rates!K56%*O30*O31</f>
        <v>0</v>
      </c>
      <c r="J34" s="520"/>
      <c r="K34" s="520"/>
      <c r="L34" s="520"/>
      <c r="M34" s="199"/>
      <c r="N34" s="870"/>
      <c r="O34" s="871"/>
      <c r="AJ34" s="146">
        <f t="shared" si="2"/>
        <v>250000</v>
      </c>
      <c r="AM34" s="227"/>
      <c r="AU34" s="603">
        <f t="shared" si="1"/>
        <v>1996</v>
      </c>
    </row>
    <row r="35" spans="2:50" s="146" customFormat="1" ht="16.5" thickTop="1" thickBot="1" x14ac:dyDescent="0.4">
      <c r="B35" s="5"/>
      <c r="C35" s="140"/>
      <c r="D35" s="559"/>
      <c r="E35" s="560"/>
      <c r="F35" s="561"/>
      <c r="G35" s="562"/>
      <c r="H35" s="563">
        <f>IF(H36=0,H37,H36)</f>
        <v>35.135100000000001</v>
      </c>
      <c r="I35" s="564"/>
      <c r="J35" s="564"/>
      <c r="K35" s="565"/>
      <c r="L35" s="565" t="s">
        <v>287</v>
      </c>
      <c r="M35" s="566">
        <f ca="1">M24+M29+M30</f>
        <v>19590.000000000004</v>
      </c>
      <c r="N35" s="247"/>
      <c r="O35" s="238"/>
      <c r="P35" s="238"/>
      <c r="Q35" s="252"/>
      <c r="AJ35" s="146">
        <f t="shared" si="2"/>
        <v>275000</v>
      </c>
      <c r="AM35" s="227"/>
      <c r="AU35" s="603">
        <f t="shared" si="1"/>
        <v>1997</v>
      </c>
    </row>
    <row r="36" spans="2:50" s="146" customFormat="1" ht="16" customHeight="1" thickBot="1" x14ac:dyDescent="0.4">
      <c r="B36" s="5"/>
      <c r="C36" s="141" t="str">
        <f>IF(H38="Upfront NCB","NCB (No Claim Bonus)","No Claim Bonus (NCB)")</f>
        <v>No Claim Bonus (NCB)</v>
      </c>
      <c r="D36" s="348" t="s">
        <v>285</v>
      </c>
      <c r="E36" s="372" t="s">
        <v>11</v>
      </c>
      <c r="F36" s="280" t="s">
        <v>317</v>
      </c>
      <c r="G36" s="404">
        <f>H36+H37</f>
        <v>35.135100000000001</v>
      </c>
      <c r="H36" s="708">
        <v>0</v>
      </c>
      <c r="I36" s="888" t="str">
        <f>IF(H36&gt;R36,CONCATENATE("NCB ALLOWED - ",R36),IF(H36&gt;0,"Earned NCB - NOT Upfront NCB",IF(AND(M8=Administration!C19,H9=Administration!C20),"NCB Not Allowed","")))</f>
        <v/>
      </c>
      <c r="J36" s="889"/>
      <c r="K36" s="889"/>
      <c r="L36" s="196">
        <v>0</v>
      </c>
      <c r="M36" s="200">
        <f ca="1">IF(AND($C$2="Yes",L36=1),N36,(-M35/1*MIN(H36%,R36%)*Y2))</f>
        <v>0</v>
      </c>
      <c r="N36" s="405">
        <v>0</v>
      </c>
      <c r="O36" s="238">
        <f ca="1">IF(OR(AND(H36&gt;0%,M36&lt;0),M37&lt;0),1,0)</f>
        <v>1</v>
      </c>
      <c r="P36" s="238"/>
      <c r="Q36" s="541"/>
      <c r="R36" s="253">
        <f>IF(T47=0,35,IF(U57=1,75,65))</f>
        <v>65</v>
      </c>
      <c r="S36" s="253"/>
      <c r="T36" s="240"/>
      <c r="U36" s="240"/>
      <c r="V36" s="240"/>
      <c r="W36" s="145"/>
      <c r="X36" s="145"/>
      <c r="Y36" s="145"/>
      <c r="Z36" s="145"/>
      <c r="AJ36" s="146">
        <f t="shared" si="2"/>
        <v>300000</v>
      </c>
      <c r="AU36" s="603">
        <f t="shared" si="1"/>
        <v>1998</v>
      </c>
      <c r="AX36" s="627"/>
    </row>
    <row r="37" spans="2:50" s="146" customFormat="1" ht="16" customHeight="1" thickBot="1" x14ac:dyDescent="0.4">
      <c r="B37" s="5"/>
      <c r="C37" s="141"/>
      <c r="D37" s="348"/>
      <c r="E37" s="567" t="s">
        <v>11</v>
      </c>
      <c r="F37" s="280" t="s">
        <v>318</v>
      </c>
      <c r="G37" s="568">
        <f>H37</f>
        <v>35.135100000000001</v>
      </c>
      <c r="H37" s="764">
        <f>IF(H8="THREE WHEELER",15,35.1351)</f>
        <v>35.135100000000001</v>
      </c>
      <c r="I37" s="906" t="str">
        <f>IF(AND(H36&gt;0,H37&gt;0),"Only Earned NCB Provided",IF(U23=0,"   (Rebate Not Allowed)",IF(G37=H37,"",IF(AND(G37&gt;=0,G37&lt;&gt;H37),CONCATENATE(G37,"% only (Max. Discount 30%)","")))))</f>
        <v/>
      </c>
      <c r="J37" s="907"/>
      <c r="K37" s="907"/>
      <c r="L37" s="196">
        <v>0</v>
      </c>
      <c r="M37" s="500">
        <f ca="1">T17</f>
        <v>-6882.9660900000017</v>
      </c>
      <c r="N37" s="405">
        <v>-121</v>
      </c>
      <c r="O37" s="238"/>
      <c r="P37" s="238"/>
      <c r="Q37" s="541"/>
      <c r="R37" s="253">
        <f>IF(H36+H37&gt;R36,0,1)</f>
        <v>1</v>
      </c>
      <c r="S37" s="253"/>
      <c r="T37" s="240"/>
      <c r="U37" s="240"/>
      <c r="V37" s="240"/>
      <c r="W37" s="145"/>
      <c r="X37" s="145"/>
      <c r="Y37" s="145"/>
      <c r="Z37" s="145"/>
      <c r="AU37" s="603">
        <f t="shared" ref="AU37:AU42" si="3">AU36+1</f>
        <v>1999</v>
      </c>
      <c r="AX37" s="627"/>
    </row>
    <row r="38" spans="2:50" s="146" customFormat="1" ht="15" customHeight="1" thickBot="1" x14ac:dyDescent="0.35">
      <c r="B38" s="5"/>
      <c r="C38" s="140"/>
      <c r="D38" s="569"/>
      <c r="E38" s="570"/>
      <c r="F38" s="561"/>
      <c r="G38" s="571"/>
      <c r="H38" s="572" t="s">
        <v>317</v>
      </c>
      <c r="I38" s="573" t="s">
        <v>395</v>
      </c>
      <c r="J38" s="574"/>
      <c r="K38" s="575"/>
      <c r="L38" s="565" t="s">
        <v>288</v>
      </c>
      <c r="M38" s="566">
        <f ca="1">(M35+M36+M37)*C70</f>
        <v>12707.033910000002</v>
      </c>
      <c r="N38" s="247"/>
      <c r="O38" s="254">
        <f ca="1">M35+M36</f>
        <v>19590.000000000004</v>
      </c>
      <c r="P38" s="146">
        <f>IF(O44=1,Rates!K4,Rates!K3)</f>
        <v>0.25</v>
      </c>
      <c r="Q38" s="146">
        <f>IF(B40="Yes",1,0)</f>
        <v>1</v>
      </c>
      <c r="R38" s="542"/>
      <c r="S38" s="542"/>
      <c r="T38" s="542"/>
      <c r="U38" s="542"/>
      <c r="V38" s="542"/>
      <c r="W38" s="145"/>
      <c r="X38" s="145"/>
      <c r="Y38" s="145"/>
      <c r="Z38" s="145"/>
      <c r="AA38" s="628"/>
      <c r="AB38" s="628"/>
      <c r="AC38" s="628"/>
      <c r="AD38" s="628"/>
      <c r="AE38" s="628"/>
      <c r="AF38" s="628"/>
      <c r="AG38" s="628"/>
      <c r="AH38" s="628"/>
      <c r="AJ38" s="146">
        <f>AJ36+25000</f>
        <v>325000</v>
      </c>
      <c r="AU38" s="603">
        <f t="shared" si="3"/>
        <v>2000</v>
      </c>
      <c r="AX38" s="627"/>
    </row>
    <row r="39" spans="2:50" s="146" customFormat="1" ht="15" customHeight="1" thickBot="1" x14ac:dyDescent="0.45">
      <c r="B39" s="120" t="str">
        <f>IF(C39=1,"Yes","No")</f>
        <v>Yes</v>
      </c>
      <c r="C39" s="598">
        <v>1</v>
      </c>
      <c r="D39" s="348" t="s">
        <v>285</v>
      </c>
      <c r="E39" s="372" t="s">
        <v>11</v>
      </c>
      <c r="F39" s="280" t="s">
        <v>289</v>
      </c>
      <c r="G39" s="280"/>
      <c r="H39" s="229"/>
      <c r="I39" s="193"/>
      <c r="J39" s="193"/>
      <c r="K39" s="10"/>
      <c r="L39" s="196">
        <v>0</v>
      </c>
      <c r="M39" s="194">
        <f ca="1">IF(AND($C$2="Yes",L39=1),N39,IF(B39="Yes",M19*Rates!K11%,0))</f>
        <v>1942.5000000000005</v>
      </c>
      <c r="N39" s="230">
        <v>0</v>
      </c>
      <c r="O39" s="146">
        <f>IF(B40="Yes",1,0)</f>
        <v>1</v>
      </c>
      <c r="P39" s="146">
        <f>IF(O44=1,Rates!K6,Rates!K5)</f>
        <v>6.25E-2</v>
      </c>
      <c r="Q39" s="146">
        <f>IF(B41="Yes",1,0)</f>
        <v>1</v>
      </c>
      <c r="R39" s="542"/>
      <c r="S39" s="542"/>
      <c r="T39" s="542"/>
      <c r="U39" s="542"/>
      <c r="V39" s="542"/>
      <c r="W39" s="145"/>
      <c r="X39" s="145"/>
      <c r="Y39" s="145"/>
      <c r="Z39" s="145"/>
      <c r="AA39" s="628"/>
      <c r="AB39" s="628"/>
      <c r="AC39" s="628"/>
      <c r="AD39" s="628"/>
      <c r="AE39" s="628"/>
      <c r="AF39" s="628"/>
      <c r="AG39" s="628"/>
      <c r="AH39" s="628"/>
      <c r="AJ39" s="146">
        <f t="shared" si="2"/>
        <v>350000</v>
      </c>
      <c r="AU39" s="603">
        <f t="shared" si="3"/>
        <v>2001</v>
      </c>
      <c r="AX39" s="627"/>
    </row>
    <row r="40" spans="2:50" s="146" customFormat="1" ht="16" customHeight="1" thickBot="1" x14ac:dyDescent="0.35">
      <c r="B40" s="120" t="str">
        <f>IF(C40=1,"Yes","No")</f>
        <v>Yes</v>
      </c>
      <c r="C40" s="598">
        <v>1</v>
      </c>
      <c r="D40" s="348" t="s">
        <v>285</v>
      </c>
      <c r="E40" s="372" t="s">
        <v>11</v>
      </c>
      <c r="F40" s="280" t="s">
        <v>16</v>
      </c>
      <c r="G40" s="280"/>
      <c r="H40" s="193"/>
      <c r="I40" s="193"/>
      <c r="J40" s="193"/>
      <c r="K40" s="10"/>
      <c r="L40" s="196">
        <v>0</v>
      </c>
      <c r="M40" s="194">
        <f>IF(AND($C$2="Yes",L40=1),N40,(Q38*P38%*H15*U2*Z2*N4))</f>
        <v>2625</v>
      </c>
      <c r="N40" s="230">
        <v>0</v>
      </c>
      <c r="O40" s="896"/>
      <c r="P40" s="896"/>
      <c r="Q40" s="896"/>
      <c r="R40" s="896"/>
      <c r="S40" s="896"/>
      <c r="T40" s="896"/>
      <c r="U40" s="896"/>
      <c r="V40" s="896"/>
      <c r="AA40" s="628"/>
      <c r="AB40" s="628"/>
      <c r="AC40" s="628"/>
      <c r="AD40" s="628"/>
      <c r="AE40" s="628"/>
      <c r="AF40" s="628"/>
      <c r="AG40" s="628"/>
      <c r="AH40" s="628"/>
      <c r="AJ40" s="146">
        <f t="shared" si="2"/>
        <v>375000</v>
      </c>
      <c r="AU40" s="603">
        <f t="shared" si="3"/>
        <v>2002</v>
      </c>
      <c r="AX40" s="627"/>
    </row>
    <row r="41" spans="2:50" s="146" customFormat="1" ht="16" customHeight="1" thickBot="1" x14ac:dyDescent="0.35">
      <c r="B41" s="120" t="str">
        <f>IF(C42=1,"Yes","No")</f>
        <v>Yes</v>
      </c>
      <c r="C41" s="140"/>
      <c r="D41" s="484">
        <v>1</v>
      </c>
      <c r="E41" s="556">
        <v>1</v>
      </c>
      <c r="F41" s="280" t="str">
        <f>IF(AND($C$40=1,D41=1),CONCATENATE("     PAB by SRCC (Rs.",Y42,")"),"")</f>
        <v xml:space="preserve">     PAB by SRCC (Rs.0)</v>
      </c>
      <c r="G41" s="196">
        <v>1</v>
      </c>
      <c r="H41" s="485" t="str">
        <f>IF(AND($C$40=1,M30&gt;0),"   Goods Cover by SRCC","")</f>
        <v/>
      </c>
      <c r="I41" s="211"/>
      <c r="J41" s="196">
        <v>1</v>
      </c>
      <c r="K41" s="486" t="str">
        <f>IF(AND($C$40=1,OR(H50&gt;0,H51&gt;0)),"WCT by SRCC","")</f>
        <v/>
      </c>
      <c r="L41" s="196">
        <v>0</v>
      </c>
      <c r="M41" s="194">
        <f>IF(AND($C$2="Yes",L41=1),N42,(112.5*U2*R15*Y2))</f>
        <v>112.5</v>
      </c>
      <c r="N41" s="230">
        <v>0</v>
      </c>
      <c r="O41" s="896"/>
      <c r="P41" s="896"/>
      <c r="Q41" s="896"/>
      <c r="R41" s="896"/>
      <c r="S41" s="896"/>
      <c r="T41" s="896"/>
      <c r="U41" s="896"/>
      <c r="V41" s="896"/>
      <c r="X41" s="518" t="s">
        <v>21</v>
      </c>
      <c r="Y41" s="518" t="s">
        <v>19</v>
      </c>
      <c r="Z41" s="518" t="s">
        <v>20</v>
      </c>
      <c r="AA41" s="664"/>
      <c r="AB41" s="665" t="s">
        <v>147</v>
      </c>
      <c r="AC41" s="666" t="s">
        <v>150</v>
      </c>
      <c r="AD41" s="667" t="s">
        <v>151</v>
      </c>
      <c r="AE41" s="666" t="s">
        <v>150</v>
      </c>
      <c r="AF41" s="628"/>
      <c r="AG41" s="628" t="s">
        <v>153</v>
      </c>
      <c r="AH41" s="628" t="s">
        <v>152</v>
      </c>
      <c r="AJ41" s="146">
        <f t="shared" si="2"/>
        <v>400000</v>
      </c>
      <c r="AU41" s="603">
        <f t="shared" si="3"/>
        <v>2003</v>
      </c>
    </row>
    <row r="42" spans="2:50" s="146" customFormat="1" ht="18.75" customHeight="1" thickBot="1" x14ac:dyDescent="0.35">
      <c r="B42" s="121"/>
      <c r="C42" s="147">
        <f>IF(' Quote'!T19="No",0,1)</f>
        <v>1</v>
      </c>
      <c r="D42" s="348" t="s">
        <v>285</v>
      </c>
      <c r="E42" s="372" t="s">
        <v>11</v>
      </c>
      <c r="F42" s="280" t="s">
        <v>376</v>
      </c>
      <c r="G42" s="280"/>
      <c r="H42" s="487" t="str">
        <f>IF(X42&gt;0,CONCATENATE("    (Rs.",X42,")"),"")</f>
        <v/>
      </c>
      <c r="I42" s="193">
        <f ca="1">100/M35</f>
        <v>5.1046452271567115E-3</v>
      </c>
      <c r="J42" s="193"/>
      <c r="K42" s="487" t="str">
        <f>IF(Z42&gt;0,CONCATENATE("  (Rs.",FIXED(Z42),")"),"")</f>
        <v/>
      </c>
      <c r="L42" s="196">
        <v>0</v>
      </c>
      <c r="M42" s="194">
        <f>IF(AND($C$2="Yes",L42=1),N41,(H15*P39%*Q39*U2*Q38*Z2*N4))</f>
        <v>656.25</v>
      </c>
      <c r="N42" s="269">
        <v>0</v>
      </c>
      <c r="O42" s="543"/>
      <c r="Q42" s="511" t="str">
        <f>IF(G41=1,"Yes","No")</f>
        <v>Yes</v>
      </c>
      <c r="R42" s="512"/>
      <c r="T42" s="255" t="str">
        <f>IF(E41=1,"Yes","No")</f>
        <v>Yes</v>
      </c>
      <c r="U42" s="504"/>
      <c r="W42" s="244" t="str">
        <f>IF(J41=1,"Yes","No")</f>
        <v>Yes</v>
      </c>
      <c r="X42" s="256">
        <f>IF(AND(B40="Yes",Q42="Yes",C30="Yes"),H30*Rates!Q8%,0)*Z49*O31</f>
        <v>0</v>
      </c>
      <c r="Y42" s="256">
        <f>IF(AND(B40="Yes",T42="Yes"),AE42,0)</f>
        <v>0</v>
      </c>
      <c r="Z42" s="256">
        <f>IF(AND(B40="Yes",W42="Yes"),(M50+M51)*Rates!Q9%,0)</f>
        <v>0</v>
      </c>
      <c r="AA42" s="668"/>
      <c r="AB42" s="669">
        <f>IF(Y48="Commercial Vehicle Policy",1,0)</f>
        <v>1</v>
      </c>
      <c r="AC42" s="669">
        <f>IF(OR(Y48="Private car policy",Y48="Motor Cycle Policy"),1,0)</f>
        <v>0</v>
      </c>
      <c r="AD42" s="628">
        <f>IF(AND(M8=Administration!C10,H9=Administration!C23),1,0)</f>
        <v>0</v>
      </c>
      <c r="AE42" s="628">
        <f>IF(AC42=1,I26*L25*Rates!Q6%,AF42)</f>
        <v>0</v>
      </c>
      <c r="AF42" s="628">
        <f>AG42+AH42</f>
        <v>0</v>
      </c>
      <c r="AG42" s="628">
        <f>Z28*I26*Rates!Q6%</f>
        <v>0</v>
      </c>
      <c r="AH42" s="628">
        <f>IF(AD42=1,(L25-Z28)*Z25*Rates!Q7%,(L25-Z28)*Z25*Rates!Q6%)</f>
        <v>0</v>
      </c>
      <c r="AJ42" s="146">
        <f>AJ41+25000</f>
        <v>425000</v>
      </c>
      <c r="AU42" s="603">
        <f t="shared" si="3"/>
        <v>2004</v>
      </c>
      <c r="AX42" s="627"/>
    </row>
    <row r="43" spans="2:50" s="146" customFormat="1" ht="16" customHeight="1" x14ac:dyDescent="0.3">
      <c r="B43" s="121"/>
      <c r="C43" s="140"/>
      <c r="D43" s="340"/>
      <c r="E43" s="196">
        <v>0</v>
      </c>
      <c r="F43" s="280" t="str">
        <f>IF(AND($C$40=1,C42=1,D41=1),CONCATENATE("     PAB by TC (Rs.",Y43,")"),"")</f>
        <v xml:space="preserve">     PAB by TC (Rs.0)</v>
      </c>
      <c r="G43" s="196">
        <v>1</v>
      </c>
      <c r="H43" s="485" t="str">
        <f>IF(AND($C$40=1,C42=1,M30&gt;0),"   Goods Cover by TC","")</f>
        <v/>
      </c>
      <c r="I43" s="211"/>
      <c r="J43" s="196">
        <v>1</v>
      </c>
      <c r="K43" s="486" t="str">
        <f>IF(AND($C$40=1,C42=1,OR(H50&gt;0,H51&gt;0)),"WCT by TC","")</f>
        <v/>
      </c>
      <c r="L43" s="196">
        <v>0</v>
      </c>
      <c r="M43" s="194">
        <f>IF(AND($C$2="Yes",L43=1),N43,(SUM(X43:Z43)*U2*R15*Y2))</f>
        <v>0</v>
      </c>
      <c r="N43" s="230">
        <v>0</v>
      </c>
      <c r="O43" s="543"/>
      <c r="Q43" s="511" t="str">
        <f>IF(G43=1,"Yes","No")</f>
        <v>Yes</v>
      </c>
      <c r="R43" s="513"/>
      <c r="T43" s="255" t="str">
        <f>IF(E43=1,"Yes","No")</f>
        <v>No</v>
      </c>
      <c r="U43" s="514"/>
      <c r="W43" s="244" t="str">
        <f>IF(J43=1,"Yes","No")</f>
        <v>Yes</v>
      </c>
      <c r="X43" s="256">
        <f>IF(AND(B40="Yes",B41="Yes",Q42="Yes",Q43="Yes",C30="Yes"),H30*Rates!R8%,0)*Z49*O31</f>
        <v>0</v>
      </c>
      <c r="Y43" s="256">
        <f>IF(AND(B40="Yes",B41="Yes",T42="Yes",T43="Yes"),AE43,0)</f>
        <v>0</v>
      </c>
      <c r="Z43" s="256">
        <f>IF(AND(B40="Yes",B41="Yes",W42="Yes",W43="Yes"),(M50+M51)*Rates!R9%,0)</f>
        <v>0</v>
      </c>
      <c r="AA43" s="668"/>
      <c r="AB43" s="669"/>
      <c r="AC43" s="669"/>
      <c r="AD43" s="628"/>
      <c r="AE43" s="628">
        <f>IF(AC42=1,I26*L25*Rates!R6%,AF43)</f>
        <v>0</v>
      </c>
      <c r="AF43" s="628">
        <f>AG43+AH43</f>
        <v>0</v>
      </c>
      <c r="AG43" s="628">
        <f>Z28*I26*Rates!R4%</f>
        <v>0</v>
      </c>
      <c r="AH43" s="628">
        <f>IF(AD42=1,Rates!R7,(L25-Z28)*Z25*Rates!R5%)</f>
        <v>0</v>
      </c>
      <c r="AJ43" s="146">
        <f t="shared" si="2"/>
        <v>450000</v>
      </c>
      <c r="AU43" s="603">
        <f t="shared" ref="AU43:AU85" ca="1" si="4">IF(AU42&gt;=$AW$46,"",AU42+1)</f>
        <v>2005</v>
      </c>
      <c r="AX43" s="627"/>
    </row>
    <row r="44" spans="2:50" s="146" customFormat="1" ht="16" customHeight="1" x14ac:dyDescent="0.3">
      <c r="B44" s="121"/>
      <c r="C44" s="140"/>
      <c r="D44" s="348" t="s">
        <v>285</v>
      </c>
      <c r="E44" s="372" t="s">
        <v>11</v>
      </c>
      <c r="F44" s="280" t="s">
        <v>125</v>
      </c>
      <c r="G44" s="280"/>
      <c r="H44" s="487" t="str">
        <f>IF(X43&gt;0,CONCATENATE("    (Rs.",X43,")"),"")</f>
        <v/>
      </c>
      <c r="I44" s="193"/>
      <c r="J44" s="193"/>
      <c r="K44" s="487" t="str">
        <f>IF(Z43&gt;0,CONCATENATE("  (Rs.",FIXED(Z43),")"),"")</f>
        <v/>
      </c>
      <c r="L44" s="196">
        <v>0</v>
      </c>
      <c r="M44" s="194">
        <f ca="1">IF(AND($C$2="Yes",L44=1),M19*N44%,(M19*Rates!K14%*O44*R44))</f>
        <v>5827.5000000000009</v>
      </c>
      <c r="N44" s="553">
        <v>0</v>
      </c>
      <c r="O44" s="544">
        <f>IF(OR(H9=Administration!C21,H9=Administration!C22),1,Q44)</f>
        <v>1</v>
      </c>
      <c r="P44" s="244"/>
      <c r="Q44" s="244">
        <f>IF(AND(M8=Administration!C10,H9=Administration!C23),1,0)</f>
        <v>0</v>
      </c>
      <c r="R44" s="240">
        <f>IF(Rates!M14="Free",0,1)</f>
        <v>1</v>
      </c>
      <c r="S44" s="240"/>
      <c r="T44" s="515"/>
      <c r="U44" s="515"/>
      <c r="V44" s="240"/>
      <c r="W44" s="145"/>
      <c r="X44" s="516"/>
      <c r="Y44" s="516"/>
      <c r="Z44" s="241"/>
      <c r="AA44" s="628"/>
      <c r="AB44" s="628"/>
      <c r="AC44" s="628"/>
      <c r="AD44" s="628"/>
      <c r="AE44" s="628"/>
      <c r="AF44" s="628"/>
      <c r="AG44" s="628"/>
      <c r="AH44" s="628"/>
      <c r="AJ44" s="146">
        <f>AJ43+25000</f>
        <v>475000</v>
      </c>
      <c r="AU44" s="603">
        <f t="shared" ca="1" si="4"/>
        <v>2006</v>
      </c>
      <c r="AX44" s="627"/>
    </row>
    <row r="45" spans="2:50" s="146" customFormat="1" ht="15" customHeight="1" thickBot="1" x14ac:dyDescent="0.35">
      <c r="B45" s="121" t="str">
        <f>IF(C47=1,"Yes","No")</f>
        <v>No</v>
      </c>
      <c r="C45" s="653">
        <f>IF(H9="HIRING",1,0)</f>
        <v>1</v>
      </c>
      <c r="D45" s="348" t="s">
        <v>285</v>
      </c>
      <c r="E45" s="372" t="s">
        <v>11</v>
      </c>
      <c r="F45" s="280" t="s">
        <v>450</v>
      </c>
      <c r="G45" s="280"/>
      <c r="H45" s="193"/>
      <c r="I45" s="193"/>
      <c r="J45" s="193"/>
      <c r="K45" s="10"/>
      <c r="L45" s="196">
        <v>0</v>
      </c>
      <c r="M45" s="194">
        <f>IF(H9="HIRING",200,0)</f>
        <v>200</v>
      </c>
      <c r="N45" s="654"/>
      <c r="O45" s="760">
        <f>C45</f>
        <v>1</v>
      </c>
      <c r="P45" s="655"/>
      <c r="Q45" s="655"/>
      <c r="R45" s="656">
        <f>IF(Rates!M15="Free",0,1)</f>
        <v>1</v>
      </c>
      <c r="S45" s="656"/>
      <c r="T45" s="657"/>
      <c r="U45" s="657"/>
      <c r="V45" s="240"/>
      <c r="W45" s="145"/>
      <c r="X45" s="145"/>
      <c r="Y45" s="145"/>
      <c r="AA45" s="628"/>
      <c r="AB45" s="628"/>
      <c r="AC45" s="628"/>
      <c r="AD45" s="661"/>
      <c r="AE45" s="661"/>
      <c r="AF45" s="661"/>
      <c r="AG45" s="661"/>
      <c r="AH45" s="661"/>
      <c r="AI45" s="145"/>
      <c r="AJ45" s="146">
        <f>IF(AJ44=500000,"",AJ44+25000)</f>
        <v>500000</v>
      </c>
      <c r="AK45" s="145"/>
      <c r="AL45" s="145"/>
      <c r="AN45" s="145"/>
      <c r="AO45" s="145"/>
      <c r="AP45" s="145"/>
      <c r="AQ45" s="145"/>
      <c r="AR45" s="145"/>
      <c r="AS45" s="145"/>
      <c r="AU45" s="603">
        <f t="shared" ca="1" si="4"/>
        <v>2007</v>
      </c>
      <c r="AX45" s="627"/>
    </row>
    <row r="46" spans="2:50" s="146" customFormat="1" ht="15.75" customHeight="1" thickBot="1" x14ac:dyDescent="0.35">
      <c r="B46" s="120" t="str">
        <f>IF(C46=1,"Yes","No")</f>
        <v>No</v>
      </c>
      <c r="C46" s="147">
        <v>0</v>
      </c>
      <c r="D46" s="348" t="s">
        <v>285</v>
      </c>
      <c r="E46" s="372" t="s">
        <v>11</v>
      </c>
      <c r="F46" s="280" t="s">
        <v>280</v>
      </c>
      <c r="G46" s="280"/>
      <c r="H46" s="889" t="str">
        <f>IF(U57=1,"Free Cover",IF(AND(B46="Yes",Q48=1,Q46=0,U46=0),"Only for Private Dual Purpose Vehicles",""))</f>
        <v/>
      </c>
      <c r="I46" s="889"/>
      <c r="J46" s="889"/>
      <c r="K46" s="889"/>
      <c r="L46" s="196">
        <v>0</v>
      </c>
      <c r="M46" s="194">
        <f ca="1">IF(AND($C$2="Yes",L46=1),N46,(M19*Rates!K19%*T46))</f>
        <v>0</v>
      </c>
      <c r="N46" s="658">
        <v>0</v>
      </c>
      <c r="O46" s="628">
        <f>IF(B46="Yes",1,0)</f>
        <v>0</v>
      </c>
      <c r="P46" s="628"/>
      <c r="Q46" s="628">
        <f>IF(AND(M8=Administration!C9,H9=Administration!C20),1,U46)</f>
        <v>0</v>
      </c>
      <c r="R46" s="659">
        <f>O46+Q46</f>
        <v>0</v>
      </c>
      <c r="S46" s="659"/>
      <c r="T46" s="659">
        <f>IF(R46=2,1,0)</f>
        <v>0</v>
      </c>
      <c r="U46" s="659">
        <f>IF(AND(Rates!O19="Yes",Q48=1),1,0)</f>
        <v>0</v>
      </c>
      <c r="V46" s="252"/>
      <c r="W46" s="145"/>
      <c r="X46" s="145"/>
      <c r="Y46" s="145"/>
      <c r="Z46" s="145"/>
      <c r="AA46" s="628"/>
      <c r="AB46" s="628"/>
      <c r="AC46" s="628"/>
      <c r="AD46" s="661"/>
      <c r="AE46" s="661"/>
      <c r="AF46" s="661"/>
      <c r="AG46" s="661"/>
      <c r="AH46" s="661"/>
      <c r="AI46" s="145"/>
      <c r="AK46" s="145"/>
      <c r="AL46" s="145"/>
      <c r="AN46" s="145"/>
      <c r="AO46" s="145"/>
      <c r="AP46" s="145"/>
      <c r="AQ46" s="145"/>
      <c r="AR46" s="145"/>
      <c r="AS46" s="145"/>
      <c r="AU46" s="603">
        <f t="shared" ca="1" si="4"/>
        <v>2008</v>
      </c>
      <c r="AW46" s="146">
        <f ca="1">YEAR(F70)</f>
        <v>2024</v>
      </c>
      <c r="AX46" s="627"/>
    </row>
    <row r="47" spans="2:50" s="146" customFormat="1" ht="15.75" customHeight="1" thickBot="1" x14ac:dyDescent="0.35">
      <c r="B47" s="121"/>
      <c r="C47" s="140"/>
      <c r="D47" s="348" t="s">
        <v>285</v>
      </c>
      <c r="E47" s="372" t="s">
        <v>11</v>
      </c>
      <c r="F47" s="280" t="s">
        <v>447</v>
      </c>
      <c r="G47" s="280"/>
      <c r="H47" s="672">
        <v>300000</v>
      </c>
      <c r="I47" s="193"/>
      <c r="J47" s="193"/>
      <c r="K47" s="198">
        <f>IF(AND(H47&gt;0,T47=0),"Not Applicable",0)</f>
        <v>0</v>
      </c>
      <c r="L47" s="196">
        <v>0</v>
      </c>
      <c r="M47" s="192">
        <v>875</v>
      </c>
      <c r="N47" s="658">
        <v>0</v>
      </c>
      <c r="O47" s="660">
        <f>IF(H47&gt;0,1,0)</f>
        <v>1</v>
      </c>
      <c r="P47" s="660"/>
      <c r="Q47" s="655"/>
      <c r="R47" s="656"/>
      <c r="S47" s="656"/>
      <c r="T47" s="661">
        <f>IF(OR(M8=Administration!C13,M8=Administration!C14,),0,1)</f>
        <v>1</v>
      </c>
      <c r="U47" s="656"/>
      <c r="V47" s="240"/>
      <c r="W47" s="145"/>
      <c r="X47" s="145"/>
      <c r="Y47" s="145"/>
      <c r="Z47" s="145"/>
      <c r="AA47" s="661"/>
      <c r="AB47" s="661"/>
      <c r="AC47" s="661"/>
      <c r="AD47" s="661"/>
      <c r="AE47" s="661"/>
      <c r="AF47" s="661"/>
      <c r="AG47" s="661"/>
      <c r="AH47" s="661"/>
      <c r="AI47" s="145"/>
      <c r="AK47" s="145"/>
      <c r="AL47" s="145"/>
      <c r="AN47" s="145"/>
      <c r="AO47" s="145"/>
      <c r="AP47" s="145"/>
      <c r="AQ47" s="145"/>
      <c r="AR47" s="145"/>
      <c r="AS47" s="145"/>
      <c r="AU47" s="603">
        <f t="shared" ca="1" si="4"/>
        <v>2009</v>
      </c>
      <c r="AX47" s="627"/>
    </row>
    <row r="48" spans="2:50" s="146" customFormat="1" ht="16" customHeight="1" thickBot="1" x14ac:dyDescent="0.35">
      <c r="B48" s="121"/>
      <c r="C48" s="140"/>
      <c r="D48" s="348" t="s">
        <v>285</v>
      </c>
      <c r="E48" s="372" t="s">
        <v>11</v>
      </c>
      <c r="F48" s="280" t="s">
        <v>7</v>
      </c>
      <c r="G48" s="280"/>
      <c r="H48" s="728">
        <f>' Quote'!I35</f>
        <v>300000</v>
      </c>
      <c r="I48" s="193" t="s">
        <v>110</v>
      </c>
      <c r="J48" s="193"/>
      <c r="K48" s="370">
        <f>IF(AND(Q48=0,H48&gt;0),"Free Unlimited Cover",0)</f>
        <v>0</v>
      </c>
      <c r="L48" s="196">
        <v>0</v>
      </c>
      <c r="M48" s="192">
        <f>IF(AND($C$2="Yes",L48=1),N48,IF(H48&lt;100000,0,IF(H48=300000,Rates!K17*R48,IF(H48&lt;=300000,Rates!K18*R48,IF(H48&lt;=500000,Rates!M17*R48,IF(H48&lt;=1000000,Rates!M18*R48,IF(H48&lt;=2000000,1200*R48,H48*0.1%)))))))*U2*Q48*R15*Z2*Q66*N3</f>
        <v>250</v>
      </c>
      <c r="N48" s="658">
        <v>0</v>
      </c>
      <c r="O48" s="660">
        <f>IF(H48&gt;1,1,0)</f>
        <v>1</v>
      </c>
      <c r="P48" s="660"/>
      <c r="Q48" s="662">
        <f>IF(O57+Q57=1,0,1)</f>
        <v>1</v>
      </c>
      <c r="R48" s="656">
        <f>IF(AND(H48&gt;=100000,Q48=1),1,0)</f>
        <v>1</v>
      </c>
      <c r="S48" s="656"/>
      <c r="T48" s="661">
        <f>IF(OR(Q48=0,H48&gt;0),1,0)</f>
        <v>1</v>
      </c>
      <c r="U48" s="656"/>
      <c r="V48" s="240"/>
      <c r="W48" s="145"/>
      <c r="X48" s="145">
        <f>IF(O57+Q57=1,0,1)</f>
        <v>1</v>
      </c>
      <c r="Y48" s="145" t="str">
        <f>IF(X48=0,"Private Car Policy",Z48)</f>
        <v>Commercial Vehicle Policy</v>
      </c>
      <c r="Z48" s="145" t="str">
        <f>IF(T47=0,"Motor Cycle Policy",AA48)</f>
        <v>Commercial Vehicle Policy</v>
      </c>
      <c r="AA48" s="661" t="str">
        <f>IF(M8=Administration!C19,"Trade Plate Policy","Commercial Vehicle Policy")</f>
        <v>Commercial Vehicle Policy</v>
      </c>
      <c r="AB48" s="661"/>
      <c r="AC48" s="661"/>
      <c r="AD48" s="661"/>
      <c r="AE48" s="661"/>
      <c r="AF48" s="661"/>
      <c r="AG48" s="661"/>
      <c r="AH48" s="661"/>
      <c r="AI48" s="145"/>
      <c r="AK48" s="145"/>
      <c r="AL48" s="145"/>
      <c r="AN48" s="145"/>
      <c r="AO48" s="145"/>
      <c r="AP48" s="145"/>
      <c r="AQ48" s="145"/>
      <c r="AR48" s="145"/>
      <c r="AS48" s="145"/>
      <c r="AU48" s="603">
        <f t="shared" ca="1" si="4"/>
        <v>2010</v>
      </c>
      <c r="AX48" s="627"/>
    </row>
    <row r="49" spans="2:52" s="146" customFormat="1" ht="15" customHeight="1" thickBot="1" x14ac:dyDescent="0.35">
      <c r="B49" s="121"/>
      <c r="C49" s="140"/>
      <c r="D49" s="348" t="s">
        <v>285</v>
      </c>
      <c r="E49" s="372" t="s">
        <v>11</v>
      </c>
      <c r="F49" s="280" t="s">
        <v>14</v>
      </c>
      <c r="G49" s="280"/>
      <c r="H49" s="726">
        <f>' Quote'!I34</f>
        <v>7500</v>
      </c>
      <c r="I49" s="898" t="str">
        <f>IF(Q49&gt;0,CONCATENATE("Free Cover of Rs.",Q49,"/-"),"")</f>
        <v>Free Cover of Rs.7500/-</v>
      </c>
      <c r="J49" s="899"/>
      <c r="K49" s="899"/>
      <c r="L49" s="196">
        <v>0</v>
      </c>
      <c r="M49" s="192">
        <f>IF(AND($C$2="Yes",L49=1),N49,((H49*Rates!K32%-R49)*U2*R15*Y2*Z2))*N3</f>
        <v>0</v>
      </c>
      <c r="N49" s="658">
        <v>0</v>
      </c>
      <c r="O49" s="663">
        <f>IF(H49&gt;=Rates!B36,1,0)</f>
        <v>1</v>
      </c>
      <c r="P49" s="663"/>
      <c r="Q49" s="656">
        <f>IF(T47=0,Rates!C38,Rates!B36)</f>
        <v>7500</v>
      </c>
      <c r="R49" s="656">
        <f>IF(H49&lt;=Q49,H49*Rates!K32%,Q49*Rates!K32%)</f>
        <v>750</v>
      </c>
      <c r="S49" s="656"/>
      <c r="T49" s="656"/>
      <c r="U49" s="661"/>
      <c r="V49" s="145"/>
      <c r="W49" s="145"/>
      <c r="X49" s="145"/>
      <c r="Y49" s="145">
        <f>IF(Y48="Private Car Policy",0,1)</f>
        <v>1</v>
      </c>
      <c r="Z49" s="145">
        <f>IF(Y48="Motor Cycle Policy",0,1)</f>
        <v>1</v>
      </c>
      <c r="AA49" s="145"/>
      <c r="AB49" s="145"/>
      <c r="AC49" s="145"/>
      <c r="AD49" s="145"/>
      <c r="AE49" s="145"/>
      <c r="AF49" s="145"/>
      <c r="AG49" s="145"/>
      <c r="AH49" s="145"/>
      <c r="AI49" s="145"/>
      <c r="AK49" s="145"/>
      <c r="AL49" s="145"/>
      <c r="AN49" s="145"/>
      <c r="AO49" s="145"/>
      <c r="AP49" s="145"/>
      <c r="AQ49" s="145"/>
      <c r="AR49" s="145"/>
      <c r="AS49" s="145"/>
      <c r="AU49" s="603">
        <f t="shared" ca="1" si="4"/>
        <v>2011</v>
      </c>
      <c r="AX49" s="627"/>
    </row>
    <row r="50" spans="2:52" s="146" customFormat="1" ht="15.75" customHeight="1" thickBot="1" x14ac:dyDescent="0.35">
      <c r="B50" s="121"/>
      <c r="C50" s="140"/>
      <c r="D50" s="348" t="s">
        <v>285</v>
      </c>
      <c r="E50" s="372" t="s">
        <v>11</v>
      </c>
      <c r="F50" s="327" t="s">
        <v>112</v>
      </c>
      <c r="G50" s="327"/>
      <c r="H50" s="693">
        <v>0</v>
      </c>
      <c r="I50" s="193" t="s">
        <v>23</v>
      </c>
      <c r="J50" s="193"/>
      <c r="K50" s="206"/>
      <c r="L50" s="196">
        <v>0</v>
      </c>
      <c r="M50" s="192">
        <f>IF(AND($C$2="Yes",L50=1),N50,(H50*R50*U2*R15*Y2))*N3</f>
        <v>0</v>
      </c>
      <c r="N50" s="230">
        <v>0</v>
      </c>
      <c r="O50" s="238">
        <f>IF(H50&gt;0,1,0)</f>
        <v>0</v>
      </c>
      <c r="P50" s="238"/>
      <c r="Q50" s="145">
        <f>IF((O50+O51)&gt;0,1,0)</f>
        <v>0</v>
      </c>
      <c r="R50" s="240">
        <f>IF(O57+Q57=1,Rates!K23,Rates!K24)</f>
        <v>600</v>
      </c>
      <c r="S50" s="240"/>
      <c r="T50" s="240"/>
      <c r="U50" s="145"/>
      <c r="V50" s="145"/>
      <c r="W50" s="145"/>
      <c r="X50" s="145"/>
      <c r="Y50" s="145"/>
      <c r="Z50" s="145"/>
      <c r="AA50" s="145"/>
      <c r="AB50" s="145"/>
      <c r="AC50" s="145"/>
      <c r="AD50" s="145"/>
      <c r="AE50" s="145"/>
      <c r="AF50" s="145"/>
      <c r="AG50" s="145"/>
      <c r="AH50" s="145"/>
      <c r="AI50" s="145"/>
      <c r="AK50" s="145"/>
      <c r="AL50" s="145"/>
      <c r="AN50" s="145"/>
      <c r="AO50" s="145"/>
      <c r="AP50" s="145"/>
      <c r="AQ50" s="145"/>
      <c r="AR50" s="145"/>
      <c r="AS50" s="145"/>
      <c r="AU50" s="603">
        <f t="shared" ca="1" si="4"/>
        <v>2012</v>
      </c>
      <c r="AX50" s="627"/>
    </row>
    <row r="51" spans="2:52" s="146" customFormat="1" ht="1.5" customHeight="1" thickBot="1" x14ac:dyDescent="0.35">
      <c r="B51" s="121"/>
      <c r="C51" s="140"/>
      <c r="D51" s="348" t="s">
        <v>285</v>
      </c>
      <c r="E51" s="372" t="s">
        <v>11</v>
      </c>
      <c r="F51" s="280" t="s">
        <v>22</v>
      </c>
      <c r="G51" s="280"/>
      <c r="H51" s="700">
        <v>0</v>
      </c>
      <c r="I51" s="193" t="s">
        <v>24</v>
      </c>
      <c r="J51" s="193"/>
      <c r="K51" s="206"/>
      <c r="L51" s="196">
        <v>0</v>
      </c>
      <c r="M51" s="192">
        <f>IF(AND($C$2="Yes",L51=1),N51,(H51*Rates!K25*U2*R15*Y2*Z49*Y49))*N3</f>
        <v>0</v>
      </c>
      <c r="N51" s="230">
        <v>0</v>
      </c>
      <c r="O51" s="238">
        <f>IF(H51&gt;0,1,0)</f>
        <v>0</v>
      </c>
      <c r="P51" s="238"/>
      <c r="Q51" s="244">
        <f>IF(OR(H50&gt;0,H51&gt;0),1,0)</f>
        <v>0</v>
      </c>
      <c r="R51" s="240"/>
      <c r="S51" s="240"/>
      <c r="T51" s="240"/>
      <c r="U51" s="240"/>
      <c r="V51" s="240"/>
      <c r="W51" s="145"/>
      <c r="X51" s="145"/>
      <c r="Y51" s="145"/>
      <c r="Z51" s="145"/>
      <c r="AA51" s="145"/>
      <c r="AB51" s="145"/>
      <c r="AC51" s="145"/>
      <c r="AD51" s="145"/>
      <c r="AE51" s="145"/>
      <c r="AF51" s="145"/>
      <c r="AG51" s="145"/>
      <c r="AH51" s="145"/>
      <c r="AI51" s="145"/>
      <c r="AK51" s="145"/>
      <c r="AL51" s="145"/>
      <c r="AN51" s="145"/>
      <c r="AO51" s="145"/>
      <c r="AP51" s="145"/>
      <c r="AQ51" s="145"/>
      <c r="AR51" s="145"/>
      <c r="AS51" s="145"/>
      <c r="AU51" s="603">
        <f t="shared" ca="1" si="4"/>
        <v>2013</v>
      </c>
      <c r="AX51" s="627"/>
    </row>
    <row r="52" spans="2:52" s="146" customFormat="1" ht="20.25" customHeight="1" thickBot="1" x14ac:dyDescent="0.35">
      <c r="B52" s="122" t="str">
        <f>Rates!M21</f>
        <v>Charge</v>
      </c>
      <c r="C52" s="140"/>
      <c r="D52" s="348" t="s">
        <v>285</v>
      </c>
      <c r="E52" s="372" t="s">
        <v>11</v>
      </c>
      <c r="F52" s="280" t="s">
        <v>449</v>
      </c>
      <c r="G52" s="702">
        <v>1</v>
      </c>
      <c r="H52" s="701">
        <v>7500</v>
      </c>
      <c r="I52" s="900" t="str">
        <f>IF(AND(G52=0,H52&gt;0),"Enter Number of Air Bags",IF(AND(H52&gt;0,T47=0),"Not Applicable",IF(AND(Q52=0,T47=1,H52&gt;0),"Free Cover",IF(R52=0,"Free Cover - Front Seat Bags","Value of 2 Front Dashboard Airbgs"))))</f>
        <v>Value of 2 Front Dashboard Airbgs</v>
      </c>
      <c r="J52" s="900"/>
      <c r="K52" s="900"/>
      <c r="L52" s="196">
        <v>0</v>
      </c>
      <c r="M52" s="192">
        <f>IF(AND($C$2="Yes",L52=1),N52*P52,(H52*Rates!K21%*U2*T47/3*Q52*R15*Y2*P52*R52))*N3</f>
        <v>250</v>
      </c>
      <c r="N52" s="230">
        <v>0</v>
      </c>
      <c r="O52" s="238">
        <f>IF(OR(O53=1,M53&gt;0),1,0)</f>
        <v>1</v>
      </c>
      <c r="P52" s="238">
        <f>IF(G52&gt;0,1,0)</f>
        <v>1</v>
      </c>
      <c r="Q52" s="244">
        <f>IF(Rates!M21="Free",0,1)</f>
        <v>1</v>
      </c>
      <c r="R52" s="240">
        <f>IF(AND(H9=Administration!C20,S52=0),0,1)</f>
        <v>1</v>
      </c>
      <c r="S52" s="240">
        <f>IF(OR(M8="Motor Car",M8="Jeep",M8="Dual Purpose"),0,1)</f>
        <v>1</v>
      </c>
      <c r="T52" s="240"/>
      <c r="U52" s="240"/>
      <c r="V52" s="240"/>
      <c r="W52" s="145"/>
      <c r="X52" s="145"/>
      <c r="Y52" s="145"/>
      <c r="Z52" s="145"/>
      <c r="AA52" s="145"/>
      <c r="AB52" s="145"/>
      <c r="AC52" s="145"/>
      <c r="AD52" s="145"/>
      <c r="AE52" s="145"/>
      <c r="AF52" s="145"/>
      <c r="AG52" s="145"/>
      <c r="AH52" s="145"/>
      <c r="AI52" s="145"/>
      <c r="AK52" s="145"/>
      <c r="AL52" s="145"/>
      <c r="AN52" s="145"/>
      <c r="AO52" s="145"/>
      <c r="AP52" s="145"/>
      <c r="AQ52" s="145"/>
      <c r="AR52" s="145"/>
      <c r="AS52" s="145"/>
      <c r="AT52" s="145"/>
      <c r="AU52" s="603">
        <f t="shared" ca="1" si="4"/>
        <v>2014</v>
      </c>
      <c r="AV52" s="145"/>
      <c r="AW52" s="283"/>
      <c r="AX52" s="627"/>
      <c r="AY52" s="145"/>
      <c r="AZ52" s="145"/>
    </row>
    <row r="53" spans="2:52" s="146" customFormat="1" ht="18" customHeight="1" thickBot="1" x14ac:dyDescent="0.35">
      <c r="B53" s="407"/>
      <c r="C53" s="140"/>
      <c r="D53" s="348"/>
      <c r="E53" s="408"/>
      <c r="F53" s="280"/>
      <c r="G53" s="697">
        <v>0</v>
      </c>
      <c r="H53" s="698">
        <v>0</v>
      </c>
      <c r="I53" s="706" t="str">
        <f>IF(AND(G53=0,H53&gt;0),"Enter Number of Air Bags",IF(AND(H53&gt;0,T47=0),"Not Applicable",IF(AND(Q52=0,T47=1,H53&gt;0),"Free Cover","Value of Rear Seat Airbags")))</f>
        <v>Value of Rear Seat Airbags</v>
      </c>
      <c r="J53" s="403"/>
      <c r="K53" s="403"/>
      <c r="L53" s="196">
        <v>0</v>
      </c>
      <c r="M53" s="192">
        <f>IF(AND($C$2="Yes",L53=1),N53*P53,(H53*Rates!K21%*U2*T47/2*Q52*R15*Y2*P53))*N3</f>
        <v>0</v>
      </c>
      <c r="N53" s="230">
        <v>0</v>
      </c>
      <c r="O53" s="238">
        <f>IF(AND(G52&gt;0,H52&gt;1),1,0)</f>
        <v>1</v>
      </c>
      <c r="P53" s="238">
        <f>IF(G53&gt;0,1,0)</f>
        <v>0</v>
      </c>
      <c r="Q53" s="244">
        <f>IF(M53&gt;0,1,0)</f>
        <v>0</v>
      </c>
      <c r="R53" s="240">
        <f>IF(AND(O53=1,Q53=1),G52+G53,IF(AND(O53=1,Q53=0),G52,IF(AND(O53=0,Q53=1),G53,0)))</f>
        <v>1</v>
      </c>
      <c r="S53" s="240"/>
      <c r="T53" s="240"/>
      <c r="U53" s="240"/>
      <c r="V53" s="240"/>
      <c r="W53" s="145"/>
      <c r="X53" s="145"/>
      <c r="Y53" s="145"/>
      <c r="Z53" s="145"/>
      <c r="AA53" s="145"/>
      <c r="AB53" s="145"/>
      <c r="AC53" s="145"/>
      <c r="AD53" s="145"/>
      <c r="AE53" s="145"/>
      <c r="AF53" s="145"/>
      <c r="AG53" s="145"/>
      <c r="AH53" s="145"/>
      <c r="AI53" s="145"/>
      <c r="AK53" s="145"/>
      <c r="AL53" s="145"/>
      <c r="AN53" s="145"/>
      <c r="AO53" s="145"/>
      <c r="AP53" s="145"/>
      <c r="AQ53" s="145"/>
      <c r="AR53" s="145"/>
      <c r="AS53" s="145"/>
      <c r="AT53" s="145"/>
      <c r="AU53" s="603">
        <f t="shared" ca="1" si="4"/>
        <v>2015</v>
      </c>
      <c r="AV53" s="145"/>
      <c r="AW53" s="145"/>
      <c r="AX53" s="628"/>
      <c r="AY53" s="145"/>
      <c r="AZ53" s="145"/>
    </row>
    <row r="54" spans="2:52" s="146" customFormat="1" ht="16" customHeight="1" thickBot="1" x14ac:dyDescent="0.35">
      <c r="B54" s="121"/>
      <c r="C54" s="140"/>
      <c r="D54" s="348" t="s">
        <v>285</v>
      </c>
      <c r="E54" s="372" t="s">
        <v>11</v>
      </c>
      <c r="F54" s="280" t="s">
        <v>9</v>
      </c>
      <c r="G54" s="280"/>
      <c r="H54" s="699">
        <v>0</v>
      </c>
      <c r="I54" s="193" t="s">
        <v>111</v>
      </c>
      <c r="J54" s="193"/>
      <c r="K54" s="10"/>
      <c r="L54" s="196">
        <v>0</v>
      </c>
      <c r="M54" s="192">
        <f>IF(AND($C$2="Yes",L54=1),N54,(H54*Q54*U2*R15*Y2))*N3</f>
        <v>0</v>
      </c>
      <c r="N54" s="230">
        <v>0</v>
      </c>
      <c r="O54" s="238">
        <f>IF(H54&gt;0,1,0)</f>
        <v>0</v>
      </c>
      <c r="P54" s="238"/>
      <c r="Q54" s="244">
        <f>IF(O57+Q57=1,Rates!K34,IF(T47=0,Rates!K35,Rates!K36))</f>
        <v>200</v>
      </c>
      <c r="R54" s="240"/>
      <c r="S54" s="240"/>
      <c r="T54" s="240"/>
      <c r="U54" s="240"/>
      <c r="V54" s="240"/>
      <c r="W54" s="145"/>
      <c r="X54" s="145"/>
      <c r="Y54" s="145"/>
      <c r="Z54" s="145"/>
      <c r="AA54" s="145"/>
      <c r="AD54" s="145"/>
      <c r="AE54" s="145"/>
      <c r="AF54" s="145"/>
      <c r="AG54" s="145"/>
      <c r="AH54" s="145"/>
      <c r="AI54" s="145"/>
      <c r="AK54" s="145"/>
      <c r="AL54" s="145"/>
      <c r="AN54" s="145"/>
      <c r="AO54" s="145"/>
      <c r="AP54" s="145"/>
      <c r="AQ54" s="145"/>
      <c r="AR54" s="145"/>
      <c r="AS54" s="145"/>
      <c r="AT54" s="145"/>
      <c r="AU54" s="603">
        <f t="shared" ca="1" si="4"/>
        <v>2016</v>
      </c>
      <c r="AV54" s="145"/>
      <c r="AW54" s="145"/>
      <c r="AX54" s="627"/>
      <c r="AY54" s="145"/>
      <c r="AZ54" s="145"/>
    </row>
    <row r="55" spans="2:52" s="146" customFormat="1" ht="15" customHeight="1" thickBot="1" x14ac:dyDescent="0.35">
      <c r="B55" s="120" t="str">
        <f>IF(C55=1,"Yes","No")</f>
        <v>Yes</v>
      </c>
      <c r="C55" s="671">
        <v>1</v>
      </c>
      <c r="D55" s="348" t="s">
        <v>285</v>
      </c>
      <c r="E55" s="372" t="s">
        <v>11</v>
      </c>
      <c r="F55" s="280" t="s">
        <v>526</v>
      </c>
      <c r="G55" s="280"/>
      <c r="H55" s="193"/>
      <c r="I55" s="193"/>
      <c r="J55" s="193"/>
      <c r="K55" s="10"/>
      <c r="L55" s="196">
        <v>0</v>
      </c>
      <c r="M55" s="192">
        <f>IF(AND($C$2="Yes",L55=1),N55,(C55*300))</f>
        <v>300</v>
      </c>
      <c r="N55" s="581">
        <v>0</v>
      </c>
      <c r="O55" s="580"/>
      <c r="P55" s="580"/>
      <c r="Q55" s="580">
        <f>IF(B55="Yes",1,0)</f>
        <v>1</v>
      </c>
      <c r="R55" s="579"/>
      <c r="S55" s="579"/>
      <c r="T55" s="579"/>
      <c r="U55" s="579"/>
      <c r="V55" s="579"/>
      <c r="W55" s="580"/>
      <c r="X55" s="580"/>
      <c r="Y55" s="580"/>
      <c r="Z55" s="580"/>
      <c r="AA55" s="580"/>
      <c r="AB55" s="580"/>
      <c r="AC55" s="580"/>
      <c r="AD55" s="580"/>
      <c r="AE55" s="580"/>
      <c r="AF55" s="580"/>
      <c r="AG55" s="580"/>
      <c r="AH55" s="580"/>
      <c r="AI55" s="580"/>
      <c r="AK55" s="145"/>
      <c r="AL55" s="145"/>
      <c r="AN55" s="145"/>
      <c r="AO55" s="145"/>
      <c r="AP55" s="145"/>
      <c r="AQ55" s="145"/>
      <c r="AR55" s="145"/>
      <c r="AS55" s="145"/>
      <c r="AT55" s="145"/>
      <c r="AU55" s="603">
        <f t="shared" ca="1" si="4"/>
        <v>2017</v>
      </c>
      <c r="AV55" s="145"/>
      <c r="AW55" s="145"/>
      <c r="AX55" s="627"/>
      <c r="AY55" s="145"/>
      <c r="AZ55" s="145"/>
    </row>
    <row r="56" spans="2:52" s="146" customFormat="1" ht="21.75" customHeight="1" thickBot="1" x14ac:dyDescent="0.35">
      <c r="B56" s="120" t="str">
        <f>IF(C56=1,"Yes","No")</f>
        <v>No</v>
      </c>
      <c r="C56" s="147">
        <v>0</v>
      </c>
      <c r="D56" s="348" t="s">
        <v>285</v>
      </c>
      <c r="E56" s="372" t="s">
        <v>11</v>
      </c>
      <c r="F56" s="280" t="s">
        <v>548</v>
      </c>
      <c r="G56" s="280"/>
      <c r="H56" s="193"/>
      <c r="I56" s="328" t="str">
        <f>IF(AND(Rates!D43="No",B56="Yes"),"Provided only for Private Cars","")</f>
        <v/>
      </c>
      <c r="J56" s="328"/>
      <c r="K56" s="10"/>
      <c r="L56" s="196">
        <v>0</v>
      </c>
      <c r="M56" s="194">
        <f ca="1">IF(MONTH(F70)=7,H15*0.033%,IF(MONTH(F70)=8,H15*0.066%,0.02%))</f>
        <v>2.0000000000000001E-4</v>
      </c>
      <c r="N56" s="581">
        <v>0</v>
      </c>
      <c r="O56" s="580">
        <f>IF(OR(R57=2,R61=1),1,0)</f>
        <v>0</v>
      </c>
      <c r="P56" s="580"/>
      <c r="Q56" s="580">
        <f>IF(B56="Yes",1,0)</f>
        <v>0</v>
      </c>
      <c r="R56" s="579">
        <f>IF(H35&lt;25,Rates!K42,T56)</f>
        <v>6</v>
      </c>
      <c r="S56" s="579"/>
      <c r="T56" s="579">
        <f>IF(AND(H35&gt;=25,H35&lt;30),Rates!K43,U56)</f>
        <v>6</v>
      </c>
      <c r="U56" s="579">
        <f>IF(AND(H35&lt;38.33,H35&gt;=30),Rates!K44,W56)</f>
        <v>6</v>
      </c>
      <c r="V56" s="579"/>
      <c r="W56" s="579">
        <f>IF(AND(H35&gt;=38.33,H35&lt;45),Rates!K45,X56)</f>
        <v>4.5</v>
      </c>
      <c r="X56" s="579">
        <f>IF(AND(H35&gt;=45,H35&lt;55),Rates!K46,Y56)</f>
        <v>4.5</v>
      </c>
      <c r="Y56" s="579">
        <f>IF(AND(H35&gt;=55,H35&lt;60),Rates!K47,Z56)</f>
        <v>4.5</v>
      </c>
      <c r="Z56" s="579">
        <f>IF(AND(H35&gt;=60,H35&lt;65),Rates!K48,AA56)</f>
        <v>4.5</v>
      </c>
      <c r="AA56" s="579">
        <f>IF(AND(H35&gt;=65,H35&lt;70),Rates!K49,AB56)</f>
        <v>4.5</v>
      </c>
      <c r="AB56" s="579">
        <f>IF(AND(H35&gt;=70,H35&lt;75),Rates!K50,AC56)</f>
        <v>4.5</v>
      </c>
      <c r="AC56" s="579">
        <f>IF(H35&gt;=75,Rates!K51,AD56)</f>
        <v>4.5</v>
      </c>
      <c r="AD56" s="580">
        <v>4.5</v>
      </c>
      <c r="AE56" s="580"/>
      <c r="AF56" s="580"/>
      <c r="AG56" s="580"/>
      <c r="AH56" s="580"/>
      <c r="AI56" s="580"/>
      <c r="AK56" s="145"/>
      <c r="AL56" s="145"/>
      <c r="AN56" s="145"/>
      <c r="AO56" s="145"/>
      <c r="AP56" s="145"/>
      <c r="AQ56" s="145"/>
      <c r="AR56" s="145"/>
      <c r="AS56" s="145"/>
      <c r="AT56" s="145"/>
      <c r="AU56" s="603">
        <f t="shared" ca="1" si="4"/>
        <v>2018</v>
      </c>
      <c r="AV56" s="145"/>
      <c r="AW56" s="145"/>
      <c r="AX56" s="627"/>
      <c r="AY56" s="145"/>
      <c r="AZ56" s="145"/>
    </row>
    <row r="57" spans="2:52" s="146" customFormat="1" ht="18.75" hidden="1" customHeight="1" x14ac:dyDescent="0.3">
      <c r="B57" s="121"/>
      <c r="C57" s="140"/>
      <c r="D57" s="6"/>
      <c r="E57" s="373" t="s">
        <v>11</v>
      </c>
      <c r="F57" s="76" t="str">
        <f>IF(AND(M8=Administration!C10,H9=Administration!C23,R15=1),"Unlimited Third Party Property Damage &amp; Passenger Liability Cover",".")</f>
        <v>.</v>
      </c>
      <c r="G57" s="76"/>
      <c r="H57" s="195"/>
      <c r="I57" s="193"/>
      <c r="J57" s="193"/>
      <c r="K57" s="10"/>
      <c r="L57" s="196">
        <v>0</v>
      </c>
      <c r="M57" s="192">
        <f>IF(AND($C$2="Yes",L57=1),N57,IF(AND(M8=Administration!C10,H9=Administration!C23),2000,0)*U2*R15)*N3</f>
        <v>0</v>
      </c>
      <c r="N57" s="581">
        <v>0</v>
      </c>
      <c r="O57" s="582">
        <f>IF(AND(M8=Administration!C7,H9=Administration!C20),1,0)</f>
        <v>0</v>
      </c>
      <c r="P57" s="582"/>
      <c r="Q57" s="582">
        <f>IF(AND(M8=Administration!C8,H9=Administration!C20),1,0)</f>
        <v>0</v>
      </c>
      <c r="R57" s="583">
        <f>Q56+Q57+O57</f>
        <v>0</v>
      </c>
      <c r="S57" s="583"/>
      <c r="T57" s="582">
        <f>IF(AND(M8=Administration!C12,H9=Administration!C20),1,0)</f>
        <v>0</v>
      </c>
      <c r="U57" s="579">
        <f>IF(O57+Q57=1,1,0)</f>
        <v>0</v>
      </c>
      <c r="V57" s="579"/>
      <c r="W57" s="580">
        <f>IF(AND(M8=Administration!C9,H9=Administration!C20),1,0)</f>
        <v>0</v>
      </c>
      <c r="X57" s="614"/>
      <c r="Y57" s="614"/>
      <c r="Z57" s="614"/>
      <c r="AA57" s="614"/>
      <c r="AB57" s="580"/>
      <c r="AC57" s="580"/>
      <c r="AD57" s="580"/>
      <c r="AE57" s="580"/>
      <c r="AF57" s="580"/>
      <c r="AG57" s="580"/>
      <c r="AH57" s="580"/>
      <c r="AI57" s="580"/>
      <c r="AK57" s="145"/>
      <c r="AL57" s="145"/>
      <c r="AN57" s="145"/>
      <c r="AO57" s="145"/>
      <c r="AP57" s="145"/>
      <c r="AQ57" s="145"/>
      <c r="AR57" s="145"/>
      <c r="AS57" s="145"/>
      <c r="AT57" s="145"/>
      <c r="AU57" s="603">
        <f t="shared" ca="1" si="4"/>
        <v>2019</v>
      </c>
      <c r="AV57" s="145"/>
      <c r="AW57" s="145"/>
      <c r="AX57" s="627"/>
      <c r="AY57" s="145"/>
      <c r="AZ57" s="145"/>
    </row>
    <row r="58" spans="2:52" s="146" customFormat="1" ht="20.25" hidden="1" customHeight="1" thickBot="1" x14ac:dyDescent="0.35">
      <c r="B58" s="121"/>
      <c r="C58" s="598">
        <v>0</v>
      </c>
      <c r="D58" s="6"/>
      <c r="E58" s="373" t="s">
        <v>11</v>
      </c>
      <c r="F58" s="867"/>
      <c r="G58" s="867"/>
      <c r="H58" s="332" t="str">
        <f>IF(AND(C58=1,F58=""),"Enter Name of Cover","Additional Cover 1")</f>
        <v>Additional Cover 1</v>
      </c>
      <c r="I58" s="193"/>
      <c r="J58" s="193"/>
      <c r="K58" s="10"/>
      <c r="L58" s="196">
        <v>0</v>
      </c>
      <c r="M58" s="197">
        <f>IF(AND(C58=1,F58&lt;&gt;""),N58,0)</f>
        <v>0</v>
      </c>
      <c r="N58" s="599">
        <v>0</v>
      </c>
      <c r="O58" s="330">
        <f>IF(AND(C58=1,N58&lt;&gt;0,F58&lt;&gt;""),1,0)</f>
        <v>0</v>
      </c>
      <c r="P58" s="330"/>
      <c r="Q58" s="330"/>
      <c r="R58" s="257"/>
      <c r="S58" s="529"/>
      <c r="T58" s="528"/>
      <c r="U58" s="526"/>
      <c r="V58" s="526"/>
      <c r="W58" s="143"/>
      <c r="X58" s="143"/>
      <c r="Y58" s="143"/>
      <c r="Z58" s="143"/>
      <c r="AA58" s="143"/>
      <c r="AB58" s="143"/>
      <c r="AC58" s="143"/>
      <c r="AD58" s="527"/>
      <c r="AE58" s="527"/>
      <c r="AF58" s="527"/>
      <c r="AG58" s="527"/>
      <c r="AH58" s="527"/>
      <c r="AI58" s="527"/>
      <c r="AJ58" s="143"/>
      <c r="AK58" s="527"/>
      <c r="AL58" s="527"/>
      <c r="AM58" s="143"/>
      <c r="AN58" s="527"/>
      <c r="AO58" s="527"/>
      <c r="AP58" s="145"/>
      <c r="AQ58" s="145"/>
      <c r="AR58" s="145"/>
      <c r="AS58" s="145"/>
      <c r="AT58" s="145"/>
      <c r="AU58" s="603">
        <f t="shared" ca="1" si="4"/>
        <v>2020</v>
      </c>
      <c r="AV58" s="145"/>
      <c r="AW58" s="145"/>
      <c r="AX58" s="627"/>
      <c r="AY58" s="145"/>
      <c r="AZ58" s="145"/>
    </row>
    <row r="59" spans="2:52" s="146" customFormat="1" ht="17.25" hidden="1" customHeight="1" thickBot="1" x14ac:dyDescent="0.35">
      <c r="B59" s="121"/>
      <c r="C59" s="598">
        <v>0</v>
      </c>
      <c r="D59" s="6"/>
      <c r="E59" s="373" t="s">
        <v>11</v>
      </c>
      <c r="F59" s="867"/>
      <c r="G59" s="867"/>
      <c r="H59" s="332" t="str">
        <f>IF(AND(C59=1,F59=""),"Enter Name of Cover","Additional Cover 2")</f>
        <v>Additional Cover 2</v>
      </c>
      <c r="I59" s="193"/>
      <c r="J59" s="193"/>
      <c r="K59" s="10"/>
      <c r="L59" s="196">
        <v>0</v>
      </c>
      <c r="M59" s="197">
        <f>IF(AND(C59=1,F59&lt;&gt;""),N59,0)</f>
        <v>0</v>
      </c>
      <c r="N59" s="599">
        <v>0</v>
      </c>
      <c r="O59" s="330">
        <f>IF(AND(C59=1,N59&lt;&gt;0,F59&lt;&gt;""),1,0)</f>
        <v>0</v>
      </c>
      <c r="P59" s="330"/>
      <c r="Q59" s="330"/>
      <c r="R59" s="257"/>
      <c r="S59" s="529"/>
      <c r="T59" s="528"/>
      <c r="U59" s="526"/>
      <c r="V59" s="526"/>
      <c r="W59" s="143"/>
      <c r="X59" s="143"/>
      <c r="Y59" s="143"/>
      <c r="Z59" s="143"/>
      <c r="AA59" s="143"/>
      <c r="AB59" s="143"/>
      <c r="AC59" s="143"/>
      <c r="AD59" s="527"/>
      <c r="AE59" s="527"/>
      <c r="AF59" s="527"/>
      <c r="AG59" s="527"/>
      <c r="AH59" s="527"/>
      <c r="AI59" s="527"/>
      <c r="AJ59" s="143"/>
      <c r="AK59" s="527"/>
      <c r="AL59" s="527"/>
      <c r="AM59" s="143"/>
      <c r="AN59" s="527"/>
      <c r="AO59" s="527"/>
      <c r="AP59" s="145"/>
      <c r="AQ59" s="145"/>
      <c r="AR59" s="145"/>
      <c r="AS59" s="145"/>
      <c r="AT59" s="145"/>
      <c r="AU59" s="603">
        <f t="shared" ca="1" si="4"/>
        <v>2021</v>
      </c>
      <c r="AV59" s="145"/>
      <c r="AW59" s="145"/>
      <c r="AX59" s="627"/>
      <c r="AY59" s="145"/>
      <c r="AZ59" s="145"/>
    </row>
    <row r="60" spans="2:52" s="146" customFormat="1" ht="18" hidden="1" customHeight="1" thickBot="1" x14ac:dyDescent="0.35">
      <c r="B60" s="121"/>
      <c r="C60" s="598">
        <v>0</v>
      </c>
      <c r="D60" s="490"/>
      <c r="E60" s="491" t="s">
        <v>11</v>
      </c>
      <c r="F60" s="492" t="s">
        <v>169</v>
      </c>
      <c r="G60" s="492"/>
      <c r="H60" s="493"/>
      <c r="I60" s="494"/>
      <c r="J60" s="494"/>
      <c r="K60" s="495"/>
      <c r="L60" s="496"/>
      <c r="M60" s="197">
        <f>IF(AND('Data Entry'!H8="Three Wheeler",'Data Entry'!B12="Above 5 yrs",Rates!D81="Yes",C60=1,N60&gt;Rates!F81,H13&lt;2009),N60,IF(AND('Data Entry'!H8="Three Wheeler",'Data Entry'!B12="Above 5 yrs",Rates!D81="Yes",H13&lt;2009),Rates!F81,IF(C60=1,N60,0)))</f>
        <v>0</v>
      </c>
      <c r="N60" s="599">
        <v>0</v>
      </c>
      <c r="P60" s="330"/>
      <c r="Q60" s="330"/>
      <c r="R60" s="257"/>
      <c r="S60" s="529"/>
      <c r="T60" s="528"/>
      <c r="U60" s="526"/>
      <c r="V60" s="526"/>
      <c r="W60" s="143"/>
      <c r="X60" s="143"/>
      <c r="Y60" s="143"/>
      <c r="Z60" s="143"/>
      <c r="AA60" s="143"/>
      <c r="AB60" s="143"/>
      <c r="AC60" s="143"/>
      <c r="AD60" s="527"/>
      <c r="AE60" s="527"/>
      <c r="AF60" s="527"/>
      <c r="AG60" s="527"/>
      <c r="AH60" s="527"/>
      <c r="AI60" s="527"/>
      <c r="AJ60" s="143"/>
      <c r="AK60" s="527"/>
      <c r="AL60" s="527"/>
      <c r="AM60" s="143"/>
      <c r="AN60" s="527"/>
      <c r="AO60" s="527"/>
      <c r="AP60" s="145"/>
      <c r="AQ60" s="145"/>
      <c r="AR60" s="145"/>
      <c r="AS60" s="145"/>
      <c r="AT60" s="145"/>
      <c r="AU60" s="603">
        <f t="shared" ca="1" si="4"/>
        <v>2022</v>
      </c>
      <c r="AV60" s="145"/>
      <c r="AW60" s="145"/>
      <c r="AX60" s="627"/>
      <c r="AY60" s="145"/>
      <c r="AZ60" s="145"/>
    </row>
    <row r="61" spans="2:52" s="146" customFormat="1" ht="19.5" customHeight="1" x14ac:dyDescent="0.3">
      <c r="B61" s="121"/>
      <c r="C61" s="140"/>
      <c r="D61" s="6"/>
      <c r="E61" s="911"/>
      <c r="F61" s="912"/>
      <c r="G61" s="10"/>
      <c r="H61" s="74" t="s">
        <v>12</v>
      </c>
      <c r="I61" s="320"/>
      <c r="J61" s="74"/>
      <c r="K61" s="189"/>
      <c r="L61" s="190"/>
      <c r="M61" s="479">
        <f ca="1">SUM(M38:M60)*R15*C70*U2</f>
        <v>25745.784110000001</v>
      </c>
      <c r="N61" s="214"/>
      <c r="O61" s="331">
        <f ca="1">M61-M40-M42-M41-M43</f>
        <v>22352.034110000001</v>
      </c>
      <c r="P61" s="331"/>
      <c r="Q61" s="244">
        <f>IF(Rates!D45="Yes",0,1)</f>
        <v>1</v>
      </c>
      <c r="R61" s="240">
        <f>IF(AND(Rates!D43="Yes",B56="Yes"),1,0)</f>
        <v>0</v>
      </c>
      <c r="S61" s="526"/>
      <c r="T61" s="526"/>
      <c r="U61" s="526"/>
      <c r="V61" s="526"/>
      <c r="W61" s="143"/>
      <c r="X61" s="143"/>
      <c r="Y61" s="143"/>
      <c r="Z61" s="143"/>
      <c r="AA61" s="143"/>
      <c r="AB61" s="143"/>
      <c r="AC61" s="143"/>
      <c r="AD61" s="527"/>
      <c r="AE61" s="527"/>
      <c r="AF61" s="527"/>
      <c r="AG61" s="527"/>
      <c r="AH61" s="527"/>
      <c r="AI61" s="527"/>
      <c r="AJ61" s="143"/>
      <c r="AK61" s="527"/>
      <c r="AL61" s="527"/>
      <c r="AM61" s="143"/>
      <c r="AN61" s="527"/>
      <c r="AO61" s="527"/>
      <c r="AP61" s="145"/>
      <c r="AQ61" s="145"/>
      <c r="AR61" s="145"/>
      <c r="AS61" s="145"/>
      <c r="AT61" s="145"/>
      <c r="AU61" s="603">
        <f t="shared" ca="1" si="4"/>
        <v>2023</v>
      </c>
      <c r="AV61" s="145"/>
      <c r="AW61" s="145"/>
      <c r="AX61" s="627"/>
      <c r="AY61" s="145"/>
      <c r="AZ61" s="145"/>
    </row>
    <row r="62" spans="2:52" s="146" customFormat="1" ht="15.75" customHeight="1" x14ac:dyDescent="0.3">
      <c r="B62" s="121"/>
      <c r="C62" s="140"/>
      <c r="D62" s="6"/>
      <c r="E62" s="911"/>
      <c r="F62" s="912"/>
      <c r="G62" s="10"/>
      <c r="H62" s="75" t="s">
        <v>133</v>
      </c>
      <c r="I62" s="320"/>
      <c r="J62" s="75"/>
      <c r="K62" s="79">
        <f>Rates!D19</f>
        <v>2.5</v>
      </c>
      <c r="L62" s="191" t="s">
        <v>58</v>
      </c>
      <c r="M62" s="268">
        <f ca="1" xml:space="preserve"> MAX(750,2.5%*M61) + 250</f>
        <v>1000</v>
      </c>
      <c r="N62" s="215"/>
      <c r="Q62" s="244"/>
      <c r="R62" s="240"/>
      <c r="S62" s="240"/>
      <c r="T62" s="240"/>
      <c r="U62" s="253">
        <f>O57+Q57+W57</f>
        <v>0</v>
      </c>
      <c r="V62" s="253"/>
      <c r="AD62" s="145"/>
      <c r="AE62" s="145"/>
      <c r="AF62" s="145"/>
      <c r="AG62" s="145"/>
      <c r="AH62" s="145"/>
      <c r="AI62" s="145"/>
      <c r="AK62" s="145"/>
      <c r="AL62" s="145"/>
      <c r="AM62" s="227"/>
      <c r="AN62" s="145"/>
      <c r="AO62" s="145"/>
      <c r="AP62" s="145"/>
      <c r="AQ62" s="145"/>
      <c r="AR62" s="145"/>
      <c r="AS62" s="145"/>
      <c r="AT62" s="145"/>
      <c r="AU62" s="603">
        <f t="shared" ca="1" si="4"/>
        <v>2024</v>
      </c>
      <c r="AV62" s="145"/>
      <c r="AW62" s="145"/>
      <c r="AX62" s="627"/>
      <c r="AY62" s="145"/>
      <c r="AZ62" s="145"/>
    </row>
    <row r="63" spans="2:52" s="146" customFormat="1" ht="15.75" hidden="1" customHeight="1" x14ac:dyDescent="0.35">
      <c r="B63" s="121"/>
      <c r="C63" s="140"/>
      <c r="D63" s="6"/>
      <c r="E63" s="911"/>
      <c r="F63" s="912"/>
      <c r="G63" s="10"/>
      <c r="H63" s="12"/>
      <c r="I63" s="320"/>
      <c r="J63" s="12"/>
      <c r="K63" s="10"/>
      <c r="L63" s="190"/>
      <c r="M63" s="192"/>
      <c r="N63" s="215"/>
      <c r="O63" s="238"/>
      <c r="P63" s="238"/>
      <c r="Q63" s="244"/>
      <c r="R63" s="240"/>
      <c r="S63" s="240"/>
      <c r="T63" s="240"/>
      <c r="U63" s="240"/>
      <c r="V63" s="240"/>
      <c r="AD63" s="145"/>
      <c r="AE63" s="145"/>
      <c r="AF63" s="145"/>
      <c r="AG63" s="145"/>
      <c r="AH63" s="145"/>
      <c r="AI63" s="145"/>
      <c r="AK63" s="145"/>
      <c r="AL63" s="145"/>
      <c r="AM63" s="227"/>
      <c r="AN63" s="145"/>
      <c r="AO63" s="145"/>
      <c r="AP63" s="145"/>
      <c r="AQ63" s="145"/>
      <c r="AR63" s="145"/>
      <c r="AS63" s="145"/>
      <c r="AT63" s="145"/>
      <c r="AU63" s="603" t="str">
        <f t="shared" ca="1" si="4"/>
        <v/>
      </c>
      <c r="AV63" s="145"/>
      <c r="AW63" s="145"/>
      <c r="AX63" s="627"/>
      <c r="AY63" s="145"/>
      <c r="AZ63" s="145"/>
    </row>
    <row r="64" spans="2:52" s="146" customFormat="1" ht="15.75" customHeight="1" x14ac:dyDescent="0.3">
      <c r="B64" s="121"/>
      <c r="C64" s="140"/>
      <c r="D64" s="6"/>
      <c r="E64" s="911"/>
      <c r="F64" s="912"/>
      <c r="G64" s="10"/>
      <c r="H64" s="75" t="s">
        <v>173</v>
      </c>
      <c r="I64" s="320"/>
      <c r="J64" s="75"/>
      <c r="K64" s="79">
        <f>Rates!G20</f>
        <v>0</v>
      </c>
      <c r="L64" s="191" t="s">
        <v>58</v>
      </c>
      <c r="M64" s="192">
        <f ca="1">M61*Rates!G20%</f>
        <v>0</v>
      </c>
      <c r="N64" s="215"/>
      <c r="O64" s="238"/>
      <c r="P64" s="238"/>
      <c r="Q64" s="244"/>
      <c r="R64" s="240"/>
      <c r="S64" s="240"/>
      <c r="T64" s="240"/>
      <c r="U64" s="240"/>
      <c r="V64" s="240"/>
      <c r="AD64" s="145"/>
      <c r="AE64" s="145"/>
      <c r="AF64" s="145"/>
      <c r="AG64" s="145"/>
      <c r="AH64" s="145"/>
      <c r="AI64" s="145"/>
      <c r="AK64" s="145"/>
      <c r="AL64" s="145"/>
      <c r="AM64" s="227"/>
      <c r="AN64" s="145"/>
      <c r="AO64" s="145"/>
      <c r="AP64" s="145"/>
      <c r="AQ64" s="145"/>
      <c r="AR64" s="145"/>
      <c r="AS64" s="145"/>
      <c r="AT64" s="145"/>
      <c r="AU64" s="603" t="str">
        <f t="shared" ca="1" si="4"/>
        <v/>
      </c>
      <c r="AV64" s="145"/>
      <c r="AW64" s="145"/>
      <c r="AX64" s="627"/>
      <c r="AY64" s="145"/>
      <c r="AZ64" s="145"/>
    </row>
    <row r="65" spans="1:52" s="146" customFormat="1" ht="15.75" customHeight="1" x14ac:dyDescent="0.3">
      <c r="B65" s="121"/>
      <c r="C65" s="140"/>
      <c r="D65" s="6"/>
      <c r="E65" s="911"/>
      <c r="F65" s="912"/>
      <c r="G65" s="10"/>
      <c r="H65" s="75" t="s">
        <v>547</v>
      </c>
      <c r="I65" s="320"/>
      <c r="J65" s="75"/>
      <c r="K65" s="770">
        <v>2.5000000000000001E-2</v>
      </c>
      <c r="L65" s="191"/>
      <c r="M65" s="192">
        <f ca="1">SUM(M61:M62)*K65</f>
        <v>668.6446027500001</v>
      </c>
      <c r="N65" s="215"/>
      <c r="O65" s="238"/>
      <c r="P65" s="238"/>
      <c r="Q65" s="244"/>
      <c r="R65" s="240"/>
      <c r="S65" s="240"/>
      <c r="T65" s="240"/>
      <c r="U65" s="240"/>
      <c r="V65" s="240"/>
      <c r="AD65" s="145"/>
      <c r="AE65" s="145"/>
      <c r="AF65" s="145"/>
      <c r="AG65" s="145"/>
      <c r="AH65" s="145"/>
      <c r="AI65" s="145"/>
      <c r="AK65" s="145"/>
      <c r="AL65" s="145"/>
      <c r="AM65" s="227"/>
      <c r="AN65" s="145"/>
      <c r="AO65" s="145"/>
      <c r="AP65" s="145"/>
      <c r="AQ65" s="145"/>
      <c r="AR65" s="145"/>
      <c r="AS65" s="145"/>
      <c r="AT65" s="145"/>
      <c r="AU65" s="603"/>
      <c r="AV65" s="145"/>
      <c r="AW65" s="145"/>
      <c r="AX65" s="627"/>
      <c r="AY65" s="145"/>
      <c r="AZ65" s="145"/>
    </row>
    <row r="66" spans="1:52" s="146" customFormat="1" ht="15.5" thickBot="1" x14ac:dyDescent="0.35">
      <c r="B66" s="121"/>
      <c r="C66" s="140"/>
      <c r="D66" s="6"/>
      <c r="E66" s="911"/>
      <c r="F66" s="912"/>
      <c r="G66" s="10"/>
      <c r="H66" s="75" t="s">
        <v>2</v>
      </c>
      <c r="I66" s="320"/>
      <c r="J66" s="75"/>
      <c r="K66" s="79">
        <f>Rates!D21</f>
        <v>18</v>
      </c>
      <c r="L66" s="191" t="s">
        <v>58</v>
      </c>
      <c r="M66" s="192">
        <f ca="1">SUM(M61:M65)*Rates!D21%</f>
        <v>4934.5971682949994</v>
      </c>
      <c r="N66" s="215"/>
      <c r="O66" s="238"/>
      <c r="P66" s="238"/>
      <c r="Q66" s="146">
        <f>IF(AND(M8=Administration!C10,H9=Administration!C23),0,1)</f>
        <v>1</v>
      </c>
      <c r="R66" s="257"/>
      <c r="S66" s="257"/>
      <c r="W66" s="517"/>
      <c r="AD66" s="145"/>
      <c r="AE66" s="145"/>
      <c r="AF66" s="145"/>
      <c r="AG66" s="145"/>
      <c r="AH66" s="145"/>
      <c r="AI66" s="145"/>
      <c r="AK66" s="145"/>
      <c r="AL66" s="145"/>
      <c r="AM66" s="227"/>
      <c r="AN66" s="145"/>
      <c r="AO66" s="145"/>
      <c r="AP66" s="145"/>
      <c r="AQ66" s="145"/>
      <c r="AR66" s="145"/>
      <c r="AS66" s="145"/>
      <c r="AT66" s="145"/>
      <c r="AU66" s="603" t="str">
        <f ca="1">IF(AU64&gt;=$AW$46,"",AU64+1)</f>
        <v/>
      </c>
      <c r="AV66" s="145"/>
      <c r="AW66" s="145"/>
      <c r="AX66" s="627"/>
      <c r="AY66" s="145"/>
      <c r="AZ66" s="145"/>
    </row>
    <row r="67" spans="1:52" s="146" customFormat="1" ht="25.5" customHeight="1" thickTop="1" thickBot="1" x14ac:dyDescent="0.35">
      <c r="B67" s="121"/>
      <c r="C67" s="333">
        <f>Administration!I3</f>
        <v>45413</v>
      </c>
      <c r="D67" s="6"/>
      <c r="E67" s="913"/>
      <c r="F67" s="914"/>
      <c r="G67" s="10"/>
      <c r="H67" s="74" t="s">
        <v>378</v>
      </c>
      <c r="I67" s="320"/>
      <c r="J67" s="74"/>
      <c r="K67" s="10"/>
      <c r="L67" s="190"/>
      <c r="M67" s="116">
        <f ca="1">SUM(M61:M66)*C70*U2</f>
        <v>32349.025881045</v>
      </c>
      <c r="N67" s="90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7" s="902"/>
      <c r="P67" s="322"/>
      <c r="Q67" s="141"/>
      <c r="AD67" s="145"/>
      <c r="AE67" s="145"/>
      <c r="AF67" s="145"/>
      <c r="AG67" s="145"/>
      <c r="AH67" s="145"/>
      <c r="AI67" s="145"/>
      <c r="AK67" s="145"/>
      <c r="AL67" s="145"/>
      <c r="AM67" s="227"/>
      <c r="AN67" s="145"/>
      <c r="AO67" s="145"/>
      <c r="AP67" s="145"/>
      <c r="AQ67" s="145"/>
      <c r="AR67" s="145"/>
      <c r="AS67" s="145"/>
      <c r="AT67" s="145"/>
      <c r="AU67" s="603" t="str">
        <f t="shared" ca="1" si="4"/>
        <v/>
      </c>
      <c r="AV67" s="145"/>
      <c r="AW67" s="145"/>
      <c r="AX67" s="627"/>
      <c r="AY67" s="145"/>
      <c r="AZ67" s="145"/>
    </row>
    <row r="68" spans="1:52" s="146" customFormat="1" ht="12.75" hidden="1" customHeight="1" x14ac:dyDescent="0.25">
      <c r="B68" s="121"/>
      <c r="C68" s="141"/>
      <c r="D68" s="6"/>
      <c r="E68" s="13"/>
      <c r="F68" s="13"/>
      <c r="G68" s="13"/>
      <c r="H68" s="13"/>
      <c r="I68" s="13"/>
      <c r="J68" s="13"/>
      <c r="K68" s="13"/>
      <c r="L68" s="13"/>
      <c r="M68" s="14"/>
      <c r="N68" s="217"/>
      <c r="O68" s="218"/>
      <c r="P68" s="235"/>
      <c r="AD68" s="145"/>
      <c r="AE68" s="145"/>
      <c r="AF68" s="145"/>
      <c r="AG68" s="145"/>
      <c r="AH68" s="145"/>
      <c r="AI68" s="145"/>
      <c r="AK68" s="145"/>
      <c r="AL68" s="145"/>
      <c r="AM68" s="227"/>
      <c r="AN68" s="145"/>
      <c r="AO68" s="145"/>
      <c r="AP68" s="145"/>
      <c r="AQ68" s="145"/>
      <c r="AR68" s="145"/>
      <c r="AS68" s="145"/>
      <c r="AT68" s="145"/>
      <c r="AU68" s="603" t="str">
        <f t="shared" ca="1" si="4"/>
        <v/>
      </c>
      <c r="AV68" s="145"/>
      <c r="AW68" s="145"/>
      <c r="AX68" s="627"/>
      <c r="AY68" s="145"/>
      <c r="AZ68" s="145"/>
    </row>
    <row r="69" spans="1:52" s="146" customFormat="1" ht="12.75" hidden="1" customHeight="1" x14ac:dyDescent="0.3">
      <c r="B69" s="121"/>
      <c r="C69" s="141"/>
      <c r="D69" s="6"/>
      <c r="E69" s="13"/>
      <c r="F69" s="13"/>
      <c r="G69" s="13"/>
      <c r="H69" s="13"/>
      <c r="I69" s="13"/>
      <c r="J69" s="13"/>
      <c r="K69" s="13"/>
      <c r="L69" s="13"/>
      <c r="M69" s="14"/>
      <c r="N69" s="219"/>
      <c r="O69" s="104"/>
      <c r="P69" s="234"/>
      <c r="AD69" s="145"/>
      <c r="AE69" s="145"/>
      <c r="AF69" s="145"/>
      <c r="AG69" s="145"/>
      <c r="AH69" s="145"/>
      <c r="AI69" s="145"/>
      <c r="AK69" s="145"/>
      <c r="AL69" s="145"/>
      <c r="AM69" s="227"/>
      <c r="AN69" s="145"/>
      <c r="AO69" s="145"/>
      <c r="AP69" s="145"/>
      <c r="AQ69" s="145"/>
      <c r="AR69" s="145"/>
      <c r="AS69" s="145"/>
      <c r="AT69" s="145"/>
      <c r="AU69" s="603" t="str">
        <f t="shared" ca="1" si="4"/>
        <v/>
      </c>
      <c r="AV69" s="145"/>
      <c r="AW69" s="145"/>
      <c r="AX69" s="627"/>
      <c r="AY69" s="145"/>
      <c r="AZ69" s="145"/>
    </row>
    <row r="70" spans="1:52" s="146" customFormat="1" ht="15.75" customHeight="1" thickTop="1" x14ac:dyDescent="0.45">
      <c r="B70" s="121"/>
      <c r="C70" s="141">
        <f ca="1">IF(C67&gt;F70,1,0)</f>
        <v>1</v>
      </c>
      <c r="D70" s="6"/>
      <c r="E70" s="13"/>
      <c r="F70" s="185">
        <f ca="1">TODAY()</f>
        <v>45346</v>
      </c>
      <c r="G70" s="185"/>
      <c r="H70" s="13"/>
      <c r="I70" s="13"/>
      <c r="J70" s="13"/>
      <c r="K70" s="13"/>
      <c r="L70" s="13"/>
      <c r="M70" s="897"/>
      <c r="N70" s="220"/>
      <c r="O70" s="222"/>
      <c r="P70" s="258"/>
      <c r="Q70" s="141"/>
      <c r="AD70" s="145"/>
      <c r="AE70" s="145"/>
      <c r="AF70" s="145"/>
      <c r="AG70" s="145"/>
      <c r="AH70" s="145"/>
      <c r="AI70" s="145"/>
      <c r="AK70" s="145"/>
      <c r="AL70" s="145"/>
      <c r="AM70" s="227"/>
      <c r="AN70" s="145"/>
      <c r="AO70" s="145"/>
      <c r="AP70" s="145"/>
      <c r="AQ70" s="145"/>
      <c r="AR70" s="145"/>
      <c r="AS70" s="145"/>
      <c r="AT70" s="145"/>
      <c r="AU70" s="603" t="str">
        <f t="shared" ca="1" si="4"/>
        <v/>
      </c>
      <c r="AV70" s="145"/>
      <c r="AW70" s="145"/>
      <c r="AX70" s="627"/>
      <c r="AY70" s="145"/>
      <c r="AZ70" s="145"/>
    </row>
    <row r="71" spans="1:52" s="146" customFormat="1" ht="6.75" customHeight="1" x14ac:dyDescent="0.45">
      <c r="B71" s="121"/>
      <c r="C71" s="140"/>
      <c r="D71" s="6"/>
      <c r="E71" s="15"/>
      <c r="F71" s="915" t="str">
        <f>IF(O71=1,"Hiring",IF(O71=3,"Rent A Vehicle",IF(O71=0,"Private")))</f>
        <v>Private</v>
      </c>
      <c r="G71" s="915"/>
      <c r="H71" s="915"/>
      <c r="I71" s="15"/>
      <c r="J71" s="15"/>
      <c r="K71" s="15"/>
      <c r="L71" s="15"/>
      <c r="M71" s="897"/>
      <c r="N71" s="220"/>
      <c r="O71" s="238">
        <f>Q45+Q44</f>
        <v>0</v>
      </c>
      <c r="P71" s="238"/>
      <c r="Q71" s="146" t="s">
        <v>44</v>
      </c>
      <c r="R71" s="146" t="s">
        <v>8</v>
      </c>
      <c r="T71" s="146" t="s">
        <v>47</v>
      </c>
      <c r="AD71" s="145"/>
      <c r="AE71" s="145"/>
      <c r="AF71" s="145"/>
      <c r="AG71" s="145"/>
      <c r="AH71" s="145"/>
      <c r="AI71" s="145"/>
      <c r="AK71" s="145"/>
      <c r="AL71" s="145"/>
      <c r="AM71" s="227"/>
      <c r="AN71" s="145"/>
      <c r="AO71" s="145"/>
      <c r="AP71" s="145"/>
      <c r="AQ71" s="145"/>
      <c r="AR71" s="145"/>
      <c r="AS71" s="145"/>
      <c r="AT71" s="145"/>
      <c r="AU71" s="603" t="str">
        <f t="shared" ca="1" si="4"/>
        <v/>
      </c>
      <c r="AV71" s="145"/>
      <c r="AW71" s="145"/>
      <c r="AX71" s="627"/>
      <c r="AY71" s="145"/>
      <c r="AZ71" s="145"/>
    </row>
    <row r="72" spans="1:52" s="146" customFormat="1" ht="13.5" customHeight="1" thickBot="1" x14ac:dyDescent="0.35">
      <c r="B72" s="121"/>
      <c r="C72" s="140"/>
      <c r="D72" s="186"/>
      <c r="E72" s="187"/>
      <c r="F72" s="916"/>
      <c r="G72" s="916"/>
      <c r="H72" s="916"/>
      <c r="I72" s="187"/>
      <c r="J72" s="187"/>
      <c r="K72" s="187"/>
      <c r="L72" s="187"/>
      <c r="M72" s="188"/>
      <c r="N72" s="221"/>
      <c r="O72" s="213"/>
      <c r="P72" s="234"/>
      <c r="AD72" s="145"/>
      <c r="AE72" s="145"/>
      <c r="AF72" s="145"/>
      <c r="AG72" s="145"/>
      <c r="AH72" s="145"/>
      <c r="AI72" s="145"/>
      <c r="AK72" s="145"/>
      <c r="AL72" s="145"/>
      <c r="AM72" s="227"/>
      <c r="AN72" s="145"/>
      <c r="AO72" s="145"/>
      <c r="AP72" s="145"/>
      <c r="AQ72" s="145"/>
      <c r="AR72" s="145"/>
      <c r="AS72" s="145"/>
      <c r="AT72" s="145"/>
      <c r="AU72" s="603" t="str">
        <f t="shared" ca="1" si="4"/>
        <v/>
      </c>
      <c r="AV72" s="145"/>
      <c r="AW72" s="145"/>
      <c r="AX72" s="627"/>
      <c r="AY72" s="145"/>
      <c r="AZ72" s="145"/>
    </row>
    <row r="73" spans="1:52" s="142" customFormat="1" ht="14.5" thickTop="1" x14ac:dyDescent="0.3">
      <c r="A73" s="227"/>
      <c r="B73" s="232"/>
      <c r="C73" s="227"/>
      <c r="D73" s="323" t="s">
        <v>17</v>
      </c>
      <c r="E73" s="227"/>
      <c r="F73" s="231"/>
      <c r="G73" s="231"/>
      <c r="H73" s="231"/>
      <c r="I73" s="231"/>
      <c r="J73" s="231"/>
      <c r="K73" s="231"/>
      <c r="L73" s="227"/>
      <c r="M73" s="227"/>
      <c r="N73" s="143"/>
      <c r="O73" s="213"/>
      <c r="P73" s="234"/>
      <c r="Q73" s="146"/>
      <c r="R73" s="146"/>
      <c r="S73" s="146"/>
      <c r="T73" s="146"/>
      <c r="U73" s="146"/>
      <c r="V73" s="146"/>
      <c r="W73" s="146"/>
      <c r="X73" s="146"/>
      <c r="Y73" s="146"/>
      <c r="Z73" s="146"/>
      <c r="AA73" s="146"/>
      <c r="AB73" s="146"/>
      <c r="AC73" s="146"/>
      <c r="AD73" s="145"/>
      <c r="AE73" s="145"/>
      <c r="AF73" s="145"/>
      <c r="AG73" s="145"/>
      <c r="AH73" s="145"/>
      <c r="AI73" s="145"/>
      <c r="AJ73" s="146"/>
      <c r="AK73" s="145"/>
      <c r="AL73" s="145"/>
      <c r="AM73" s="227"/>
      <c r="AN73" s="145"/>
      <c r="AO73" s="145"/>
      <c r="AP73" s="145"/>
      <c r="AQ73" s="145"/>
      <c r="AR73" s="145"/>
      <c r="AS73" s="145"/>
      <c r="AT73" s="145"/>
      <c r="AU73" s="603" t="str">
        <f t="shared" ca="1" si="4"/>
        <v/>
      </c>
      <c r="AV73" s="145"/>
      <c r="AW73" s="145"/>
      <c r="AX73" s="627"/>
      <c r="AY73" s="145"/>
      <c r="AZ73" s="145"/>
    </row>
    <row r="74" spans="1:52" s="142" customFormat="1" ht="22.5" customHeight="1" x14ac:dyDescent="0.25">
      <c r="A74" s="227"/>
      <c r="B74" s="233"/>
      <c r="C74" s="227"/>
      <c r="D74" s="146"/>
      <c r="E74" s="146"/>
      <c r="F74" s="146"/>
      <c r="G74" s="146"/>
      <c r="H74" s="146"/>
      <c r="I74" s="146"/>
      <c r="J74" s="146"/>
      <c r="K74" s="146"/>
      <c r="L74" s="146"/>
      <c r="M74" s="603"/>
      <c r="N74" s="603"/>
      <c r="O74" s="603"/>
      <c r="P74" s="603"/>
      <c r="Q74" s="603"/>
      <c r="R74" s="603"/>
      <c r="S74" s="603"/>
      <c r="T74" s="603"/>
      <c r="U74" s="146"/>
      <c r="V74" s="146"/>
      <c r="W74" s="146"/>
      <c r="X74" s="146"/>
      <c r="Y74" s="146"/>
      <c r="Z74" s="146"/>
      <c r="AA74" s="146"/>
      <c r="AB74" s="146"/>
      <c r="AC74" s="146"/>
      <c r="AD74" s="145"/>
      <c r="AE74" s="145"/>
      <c r="AF74" s="145"/>
      <c r="AG74" s="145"/>
      <c r="AH74" s="145"/>
      <c r="AI74" s="145"/>
      <c r="AJ74" s="146"/>
      <c r="AK74" s="145"/>
      <c r="AL74" s="145"/>
      <c r="AM74" s="227"/>
      <c r="AN74" s="145"/>
      <c r="AO74" s="145"/>
      <c r="AP74" s="145"/>
      <c r="AQ74" s="145"/>
      <c r="AR74" s="145"/>
      <c r="AS74" s="145"/>
      <c r="AT74" s="145"/>
      <c r="AU74" s="603" t="str">
        <f t="shared" ca="1" si="4"/>
        <v/>
      </c>
      <c r="AV74" s="145"/>
      <c r="AW74" s="145"/>
      <c r="AY74" s="145"/>
      <c r="AZ74" s="145"/>
    </row>
    <row r="75" spans="1:52" s="142" customFormat="1" x14ac:dyDescent="0.3">
      <c r="A75" s="227"/>
      <c r="B75" s="233"/>
      <c r="C75" s="227"/>
      <c r="D75" s="146" t="s">
        <v>79</v>
      </c>
      <c r="E75" s="146" t="s">
        <v>79</v>
      </c>
      <c r="F75" s="146"/>
      <c r="G75" s="146"/>
      <c r="H75" s="146"/>
      <c r="I75" s="146"/>
      <c r="J75" s="146"/>
      <c r="K75" s="146"/>
      <c r="L75" s="146"/>
      <c r="M75" s="603"/>
      <c r="N75" s="603"/>
      <c r="O75" s="603"/>
      <c r="P75" s="603"/>
      <c r="Q75" s="603"/>
      <c r="R75" s="603"/>
      <c r="S75" s="603"/>
      <c r="T75" s="603"/>
      <c r="U75" s="146"/>
      <c r="V75" s="146"/>
      <c r="W75" s="146"/>
      <c r="X75" s="146"/>
      <c r="Y75" s="146"/>
      <c r="Z75" s="146"/>
      <c r="AA75" s="146"/>
      <c r="AB75" s="146"/>
      <c r="AC75" s="146"/>
      <c r="AD75" s="145"/>
      <c r="AE75" s="145"/>
      <c r="AF75" s="145"/>
      <c r="AG75" s="145"/>
      <c r="AH75" s="145"/>
      <c r="AI75" s="145"/>
      <c r="AJ75" s="146"/>
      <c r="AK75" s="145"/>
      <c r="AL75" s="145"/>
      <c r="AM75" s="227"/>
      <c r="AN75" s="145"/>
      <c r="AO75" s="145"/>
      <c r="AP75" s="145"/>
      <c r="AQ75" s="145"/>
      <c r="AR75" s="145"/>
      <c r="AS75" s="145"/>
      <c r="AT75" s="145"/>
      <c r="AU75" s="603" t="str">
        <f t="shared" ca="1" si="4"/>
        <v/>
      </c>
      <c r="AV75" s="145"/>
      <c r="AW75" s="145"/>
      <c r="AX75" s="532"/>
      <c r="AY75" s="145"/>
      <c r="AZ75" s="145"/>
    </row>
    <row r="76" spans="1:52" s="142" customFormat="1" x14ac:dyDescent="0.3">
      <c r="A76" s="227"/>
      <c r="B76" s="233"/>
      <c r="C76" s="227"/>
      <c r="D76" s="146" t="s">
        <v>114</v>
      </c>
      <c r="E76" s="146" t="s">
        <v>114</v>
      </c>
      <c r="F76" s="146"/>
      <c r="G76" s="146"/>
      <c r="H76" s="146"/>
      <c r="I76" s="146"/>
      <c r="J76" s="146"/>
      <c r="K76" s="146"/>
      <c r="L76" s="146"/>
      <c r="M76" s="603"/>
      <c r="N76" s="580"/>
      <c r="O76" s="580"/>
      <c r="P76" s="580"/>
      <c r="Q76" s="580"/>
      <c r="R76" s="580"/>
      <c r="S76" s="580"/>
      <c r="T76" s="580"/>
      <c r="U76" s="146"/>
      <c r="V76" s="146"/>
      <c r="W76" s="146"/>
      <c r="X76" s="146"/>
      <c r="Y76" s="146"/>
      <c r="Z76" s="146"/>
      <c r="AA76" s="146"/>
      <c r="AB76" s="146"/>
      <c r="AC76" s="146"/>
      <c r="AD76" s="145"/>
      <c r="AE76" s="145"/>
      <c r="AF76" s="145"/>
      <c r="AG76" s="145"/>
      <c r="AH76" s="145"/>
      <c r="AI76" s="145"/>
      <c r="AJ76" s="146"/>
      <c r="AK76" s="145"/>
      <c r="AL76" s="145"/>
      <c r="AM76" s="227"/>
      <c r="AN76" s="145"/>
      <c r="AO76" s="145"/>
      <c r="AP76" s="145"/>
      <c r="AQ76" s="145"/>
      <c r="AR76" s="145"/>
      <c r="AS76" s="145"/>
      <c r="AT76" s="145"/>
      <c r="AU76" s="603" t="str">
        <f t="shared" ca="1" si="4"/>
        <v/>
      </c>
      <c r="AV76" s="145"/>
      <c r="AW76" s="145"/>
      <c r="AX76" s="532"/>
      <c r="AY76" s="145"/>
      <c r="AZ76" s="145"/>
    </row>
    <row r="77" spans="1:52" s="142" customFormat="1" x14ac:dyDescent="0.3">
      <c r="A77" s="227"/>
      <c r="B77" s="233"/>
      <c r="C77" s="227"/>
      <c r="D77" s="146">
        <v>1</v>
      </c>
      <c r="E77" s="146"/>
      <c r="F77" s="146"/>
      <c r="G77" s="146"/>
      <c r="H77" s="146"/>
      <c r="I77" s="146"/>
      <c r="J77" s="146"/>
      <c r="K77" s="146"/>
      <c r="L77" s="146"/>
      <c r="M77" s="603"/>
      <c r="N77" s="580"/>
      <c r="O77" s="605" t="s">
        <v>223</v>
      </c>
      <c r="P77" s="580"/>
      <c r="Q77" s="580"/>
      <c r="R77" s="580"/>
      <c r="S77" s="580"/>
      <c r="T77" s="580"/>
      <c r="U77" s="146"/>
      <c r="V77" s="146"/>
      <c r="W77" s="146"/>
      <c r="X77" s="146"/>
      <c r="Y77" s="146"/>
      <c r="Z77" s="146"/>
      <c r="AA77" s="146"/>
      <c r="AB77" s="146"/>
      <c r="AC77" s="146"/>
      <c r="AD77" s="145"/>
      <c r="AE77" s="145"/>
      <c r="AF77" s="145"/>
      <c r="AG77" s="145"/>
      <c r="AH77" s="145"/>
      <c r="AI77" s="145"/>
      <c r="AJ77" s="146"/>
      <c r="AK77" s="145"/>
      <c r="AL77" s="145"/>
      <c r="AM77" s="227"/>
      <c r="AN77" s="145"/>
      <c r="AO77" s="145"/>
      <c r="AP77" s="145"/>
      <c r="AQ77" s="145"/>
      <c r="AR77" s="145"/>
      <c r="AS77" s="145"/>
      <c r="AT77" s="145"/>
      <c r="AU77" s="603" t="str">
        <f t="shared" ca="1" si="4"/>
        <v/>
      </c>
      <c r="AV77" s="145"/>
      <c r="AW77" s="145"/>
      <c r="AX77" s="532"/>
      <c r="AY77" s="145"/>
      <c r="AZ77" s="145"/>
    </row>
    <row r="78" spans="1:52" s="142" customFormat="1" ht="25.5" customHeight="1" x14ac:dyDescent="0.3">
      <c r="A78" s="227"/>
      <c r="B78" s="233"/>
      <c r="C78" s="227"/>
      <c r="D78" s="146" t="s">
        <v>79</v>
      </c>
      <c r="E78" s="146" t="s">
        <v>79</v>
      </c>
      <c r="F78" s="146"/>
      <c r="G78" s="146"/>
      <c r="H78" s="146"/>
      <c r="I78" s="146"/>
      <c r="J78" s="146"/>
      <c r="K78" s="146"/>
      <c r="L78" s="146"/>
      <c r="M78" s="603"/>
      <c r="N78" s="580"/>
      <c r="O78" s="580" t="s">
        <v>224</v>
      </c>
      <c r="P78" s="580"/>
      <c r="Q78" s="580"/>
      <c r="R78" s="580">
        <f ca="1">IF(AND(Y15&gt;10,Y15&lt;15),Rates!K59,IF(AND(Y15&gt;=15,Y15&lt;20),Rates!K60,IF(Y15&lt;11,0,'Data Entry'!I20)))</f>
        <v>0</v>
      </c>
      <c r="S78" s="580"/>
      <c r="T78" s="580"/>
      <c r="U78" s="146"/>
      <c r="V78" s="146"/>
      <c r="W78" s="146"/>
      <c r="X78" s="146"/>
      <c r="Y78" s="146"/>
      <c r="Z78" s="146"/>
      <c r="AA78" s="146"/>
      <c r="AB78" s="146"/>
      <c r="AC78" s="146"/>
      <c r="AD78" s="145"/>
      <c r="AE78" s="145"/>
      <c r="AF78" s="145"/>
      <c r="AG78" s="145"/>
      <c r="AH78" s="145"/>
      <c r="AI78" s="145"/>
      <c r="AJ78" s="146"/>
      <c r="AK78" s="145"/>
      <c r="AL78" s="145"/>
      <c r="AM78" s="227"/>
      <c r="AN78" s="145"/>
      <c r="AO78" s="145"/>
      <c r="AP78" s="145"/>
      <c r="AQ78" s="145"/>
      <c r="AR78" s="145"/>
      <c r="AS78" s="145"/>
      <c r="AT78" s="145"/>
      <c r="AU78" s="603" t="str">
        <f t="shared" ca="1" si="4"/>
        <v/>
      </c>
      <c r="AV78" s="145"/>
      <c r="AW78" s="145"/>
      <c r="AX78" s="532"/>
      <c r="AY78" s="145"/>
      <c r="AZ78" s="145"/>
    </row>
    <row r="79" spans="1:52" s="142" customFormat="1" x14ac:dyDescent="0.3">
      <c r="A79" s="227"/>
      <c r="B79" s="233"/>
      <c r="C79" s="227"/>
      <c r="D79" s="146" t="s">
        <v>114</v>
      </c>
      <c r="E79" s="146" t="s">
        <v>114</v>
      </c>
      <c r="F79" s="146"/>
      <c r="G79" s="146"/>
      <c r="H79" s="146"/>
      <c r="I79" s="146"/>
      <c r="J79" s="146"/>
      <c r="K79" s="146"/>
      <c r="L79" s="146"/>
      <c r="M79" s="603"/>
      <c r="N79" s="580"/>
      <c r="O79" s="580" t="s">
        <v>44</v>
      </c>
      <c r="P79" s="580"/>
      <c r="Q79" s="580"/>
      <c r="R79" s="580">
        <f>IF(OR(H9=Administration!C21,'Data Entry'!H9=Administration!C22),Rates!K61,0)</f>
        <v>0</v>
      </c>
      <c r="S79" s="580"/>
      <c r="T79" s="580"/>
      <c r="U79" s="146"/>
      <c r="V79" s="146"/>
      <c r="W79" s="146"/>
      <c r="X79" s="146"/>
      <c r="Y79" s="146"/>
      <c r="Z79" s="146"/>
      <c r="AA79" s="146"/>
      <c r="AB79" s="146"/>
      <c r="AC79" s="146"/>
      <c r="AD79" s="145"/>
      <c r="AE79" s="145"/>
      <c r="AF79" s="145"/>
      <c r="AG79" s="145"/>
      <c r="AH79" s="145"/>
      <c r="AI79" s="145"/>
      <c r="AJ79" s="146"/>
      <c r="AK79" s="145"/>
      <c r="AL79" s="145"/>
      <c r="AM79" s="227"/>
      <c r="AN79" s="145"/>
      <c r="AO79" s="145"/>
      <c r="AP79" s="145"/>
      <c r="AQ79" s="145"/>
      <c r="AR79" s="145"/>
      <c r="AS79" s="145"/>
      <c r="AT79" s="145"/>
      <c r="AU79" s="603" t="str">
        <f t="shared" ca="1" si="4"/>
        <v/>
      </c>
      <c r="AV79" s="145"/>
      <c r="AW79" s="145"/>
      <c r="AX79" s="532"/>
      <c r="AY79" s="145"/>
      <c r="AZ79" s="145"/>
    </row>
    <row r="80" spans="1:52" s="142" customFormat="1" x14ac:dyDescent="0.3">
      <c r="A80" s="227"/>
      <c r="B80" s="233"/>
      <c r="C80" s="227"/>
      <c r="D80" s="146"/>
      <c r="E80" s="146"/>
      <c r="F80" s="146"/>
      <c r="G80" s="146"/>
      <c r="H80" s="146"/>
      <c r="I80" s="146"/>
      <c r="J80" s="146"/>
      <c r="K80" s="146"/>
      <c r="L80" s="146"/>
      <c r="M80" s="603"/>
      <c r="N80" s="580"/>
      <c r="O80" s="580" t="s">
        <v>45</v>
      </c>
      <c r="P80" s="580"/>
      <c r="Q80" s="580"/>
      <c r="R80" s="580">
        <f>IF(H9="Rent A vehicle",Rates!K62,0)</f>
        <v>0</v>
      </c>
      <c r="S80" s="580"/>
      <c r="T80" s="580"/>
      <c r="U80" s="146"/>
      <c r="V80" s="146"/>
      <c r="W80" s="146"/>
      <c r="X80" s="146"/>
      <c r="Y80" s="146"/>
      <c r="Z80" s="146"/>
      <c r="AA80" s="146"/>
      <c r="AB80" s="146"/>
      <c r="AC80" s="146"/>
      <c r="AD80" s="145"/>
      <c r="AE80" s="145"/>
      <c r="AF80" s="145"/>
      <c r="AG80" s="145"/>
      <c r="AH80" s="145"/>
      <c r="AI80" s="145"/>
      <c r="AJ80" s="146"/>
      <c r="AK80" s="145"/>
      <c r="AL80" s="145"/>
      <c r="AM80" s="227"/>
      <c r="AN80" s="145"/>
      <c r="AO80" s="145"/>
      <c r="AP80" s="145"/>
      <c r="AQ80" s="145"/>
      <c r="AR80" s="145"/>
      <c r="AS80" s="145"/>
      <c r="AT80" s="145"/>
      <c r="AU80" s="603" t="str">
        <f t="shared" ca="1" si="4"/>
        <v/>
      </c>
      <c r="AV80" s="145"/>
      <c r="AW80" s="145"/>
      <c r="AX80" s="532"/>
      <c r="AY80" s="145"/>
      <c r="AZ80" s="145"/>
    </row>
    <row r="81" spans="1:52" s="142" customFormat="1" x14ac:dyDescent="0.3">
      <c r="A81" s="227"/>
      <c r="B81" s="233"/>
      <c r="C81" s="227"/>
      <c r="D81" s="146" t="s">
        <v>79</v>
      </c>
      <c r="E81" s="146" t="s">
        <v>79</v>
      </c>
      <c r="F81" s="146"/>
      <c r="G81" s="146"/>
      <c r="H81" s="146"/>
      <c r="I81" s="146"/>
      <c r="J81" s="146"/>
      <c r="K81" s="146"/>
      <c r="L81" s="146"/>
      <c r="M81" s="603"/>
      <c r="N81" s="580"/>
      <c r="O81" s="579" t="s">
        <v>278</v>
      </c>
      <c r="P81" s="580"/>
      <c r="Q81" s="580"/>
      <c r="R81" s="606">
        <f ca="1">SUM(R78:R80)</f>
        <v>0</v>
      </c>
      <c r="S81" s="580"/>
      <c r="T81" s="580"/>
      <c r="U81" s="146"/>
      <c r="V81" s="146"/>
      <c r="W81" s="146"/>
      <c r="X81" s="146"/>
      <c r="Y81" s="146"/>
      <c r="Z81" s="146"/>
      <c r="AA81" s="146"/>
      <c r="AB81" s="146"/>
      <c r="AC81" s="146"/>
      <c r="AD81" s="145"/>
      <c r="AE81" s="145"/>
      <c r="AF81" s="145"/>
      <c r="AG81" s="145"/>
      <c r="AH81" s="145"/>
      <c r="AI81" s="145"/>
      <c r="AJ81" s="146"/>
      <c r="AK81" s="145"/>
      <c r="AL81" s="145"/>
      <c r="AM81" s="227"/>
      <c r="AN81" s="145"/>
      <c r="AO81" s="145"/>
      <c r="AP81" s="145"/>
      <c r="AQ81" s="145"/>
      <c r="AR81" s="145"/>
      <c r="AS81" s="145"/>
      <c r="AT81" s="145"/>
      <c r="AU81" s="603" t="str">
        <f t="shared" ca="1" si="4"/>
        <v/>
      </c>
      <c r="AV81" s="145"/>
      <c r="AW81" s="145"/>
      <c r="AX81" s="532"/>
      <c r="AY81" s="145"/>
      <c r="AZ81" s="145"/>
    </row>
    <row r="82" spans="1:52" s="142" customFormat="1" x14ac:dyDescent="0.3">
      <c r="A82" s="227"/>
      <c r="B82" s="233"/>
      <c r="C82" s="227"/>
      <c r="D82" s="146" t="s">
        <v>114</v>
      </c>
      <c r="E82" s="146" t="s">
        <v>114</v>
      </c>
      <c r="F82" s="146"/>
      <c r="G82" s="146"/>
      <c r="H82" s="146"/>
      <c r="I82" s="146"/>
      <c r="J82" s="146"/>
      <c r="K82" s="146"/>
      <c r="L82" s="146"/>
      <c r="M82" s="603"/>
      <c r="N82" s="580"/>
      <c r="O82" s="580"/>
      <c r="P82" s="580"/>
      <c r="Q82" s="580"/>
      <c r="R82" s="580"/>
      <c r="S82" s="580"/>
      <c r="T82" s="580"/>
      <c r="U82" s="146"/>
      <c r="V82" s="146"/>
      <c r="W82" s="146"/>
      <c r="X82" s="146"/>
      <c r="Y82" s="146"/>
      <c r="Z82" s="146"/>
      <c r="AA82" s="146"/>
      <c r="AB82" s="146"/>
      <c r="AC82" s="146"/>
      <c r="AD82" s="145"/>
      <c r="AE82" s="145"/>
      <c r="AF82" s="145"/>
      <c r="AG82" s="145"/>
      <c r="AH82" s="145"/>
      <c r="AI82" s="145"/>
      <c r="AJ82" s="146"/>
      <c r="AK82" s="145"/>
      <c r="AL82" s="145"/>
      <c r="AM82" s="227"/>
      <c r="AN82" s="145"/>
      <c r="AO82" s="145"/>
      <c r="AP82" s="145"/>
      <c r="AQ82" s="145"/>
      <c r="AR82" s="145"/>
      <c r="AS82" s="145"/>
      <c r="AT82" s="145"/>
      <c r="AU82" s="603" t="str">
        <f t="shared" ca="1" si="4"/>
        <v/>
      </c>
      <c r="AV82" s="145"/>
      <c r="AW82" s="145"/>
      <c r="AX82" s="532"/>
      <c r="AY82" s="145"/>
      <c r="AZ82" s="145"/>
    </row>
    <row r="83" spans="1:52" s="142" customFormat="1" x14ac:dyDescent="0.3">
      <c r="A83" s="227"/>
      <c r="B83" s="233"/>
      <c r="C83" s="227"/>
      <c r="D83" s="146"/>
      <c r="E83" s="146"/>
      <c r="F83" s="146"/>
      <c r="G83" s="146"/>
      <c r="H83" s="146"/>
      <c r="I83" s="146"/>
      <c r="J83" s="146"/>
      <c r="K83" s="146"/>
      <c r="L83" s="146"/>
      <c r="M83" s="603"/>
      <c r="N83" s="580"/>
      <c r="O83" s="580" t="s">
        <v>62</v>
      </c>
      <c r="P83" s="580"/>
      <c r="Q83" s="580"/>
      <c r="R83" s="580">
        <f>IF(M8=Administration!C13,Rates!K66,IF('Data Entry'!M8=Administration!C14,Rates!K67,0))</f>
        <v>0</v>
      </c>
      <c r="S83" s="580"/>
      <c r="T83" s="580"/>
      <c r="U83" s="146"/>
      <c r="V83" s="146"/>
      <c r="W83" s="146"/>
      <c r="X83" s="146"/>
      <c r="Y83" s="146"/>
      <c r="Z83" s="146"/>
      <c r="AA83" s="146"/>
      <c r="AB83" s="146"/>
      <c r="AC83" s="146"/>
      <c r="AD83" s="145"/>
      <c r="AE83" s="145"/>
      <c r="AF83" s="145"/>
      <c r="AG83" s="145"/>
      <c r="AH83" s="145"/>
      <c r="AI83" s="145"/>
      <c r="AJ83" s="146"/>
      <c r="AK83" s="145"/>
      <c r="AL83" s="145"/>
      <c r="AM83" s="227"/>
      <c r="AN83" s="145"/>
      <c r="AO83" s="145"/>
      <c r="AP83" s="145"/>
      <c r="AQ83" s="145"/>
      <c r="AR83" s="145"/>
      <c r="AS83" s="145"/>
      <c r="AT83" s="145"/>
      <c r="AU83" s="603" t="str">
        <f t="shared" ca="1" si="4"/>
        <v/>
      </c>
      <c r="AV83" s="145"/>
      <c r="AW83" s="145"/>
      <c r="AX83" s="532"/>
      <c r="AY83" s="145"/>
      <c r="AZ83" s="145"/>
    </row>
    <row r="84" spans="1:52" s="142" customFormat="1" x14ac:dyDescent="0.3">
      <c r="A84" s="227"/>
      <c r="B84" s="233"/>
      <c r="C84" s="227"/>
      <c r="D84" s="146"/>
      <c r="E84" s="146"/>
      <c r="F84" s="146"/>
      <c r="G84" s="146"/>
      <c r="H84" s="146"/>
      <c r="I84" s="146"/>
      <c r="J84" s="146"/>
      <c r="K84" s="146"/>
      <c r="L84" s="146"/>
      <c r="M84" s="603"/>
      <c r="N84" s="580"/>
      <c r="O84" s="580" t="s">
        <v>210</v>
      </c>
      <c r="P84" s="580"/>
      <c r="Q84" s="580"/>
      <c r="R84" s="580">
        <f>IF(M8=Administration!C9,Rates!K69,0)</f>
        <v>0</v>
      </c>
      <c r="S84" s="580"/>
      <c r="T84" s="580"/>
      <c r="U84" s="146"/>
      <c r="V84" s="146"/>
      <c r="W84" s="146"/>
      <c r="X84" s="146"/>
      <c r="Y84" s="146"/>
      <c r="Z84" s="146"/>
      <c r="AA84" s="146"/>
      <c r="AB84" s="146"/>
      <c r="AC84" s="146"/>
      <c r="AD84" s="145"/>
      <c r="AE84" s="145"/>
      <c r="AF84" s="145"/>
      <c r="AG84" s="145"/>
      <c r="AH84" s="145"/>
      <c r="AI84" s="145"/>
      <c r="AJ84" s="146"/>
      <c r="AK84" s="145"/>
      <c r="AL84" s="145"/>
      <c r="AM84" s="227"/>
      <c r="AN84" s="145"/>
      <c r="AO84" s="145"/>
      <c r="AP84" s="145"/>
      <c r="AQ84" s="145"/>
      <c r="AR84" s="145"/>
      <c r="AS84" s="145"/>
      <c r="AT84" s="145"/>
      <c r="AU84" s="603" t="str">
        <f t="shared" ca="1" si="4"/>
        <v/>
      </c>
      <c r="AV84" s="145"/>
      <c r="AW84" s="145"/>
      <c r="AX84" s="532"/>
      <c r="AY84" s="145"/>
      <c r="AZ84" s="145"/>
    </row>
    <row r="85" spans="1:52" s="142" customFormat="1" x14ac:dyDescent="0.3">
      <c r="A85" s="227"/>
      <c r="B85" s="233"/>
      <c r="C85" s="227"/>
      <c r="D85" s="146"/>
      <c r="E85" s="146"/>
      <c r="F85" s="146"/>
      <c r="G85" s="146"/>
      <c r="H85" s="146"/>
      <c r="I85" s="146"/>
      <c r="J85" s="146"/>
      <c r="K85" s="146"/>
      <c r="L85" s="146"/>
      <c r="M85" s="603"/>
      <c r="N85" s="580"/>
      <c r="O85" s="580" t="s">
        <v>273</v>
      </c>
      <c r="P85" s="580"/>
      <c r="Q85" s="580"/>
      <c r="R85" s="580">
        <f>IF(M8=Administration!C7,Rates!K70,0)</f>
        <v>0</v>
      </c>
      <c r="S85" s="580"/>
      <c r="T85" s="580"/>
      <c r="U85" s="146"/>
      <c r="V85" s="146"/>
      <c r="W85" s="146"/>
      <c r="X85" s="146"/>
      <c r="Y85" s="146"/>
      <c r="Z85" s="146"/>
      <c r="AA85" s="146"/>
      <c r="AB85" s="146"/>
      <c r="AC85" s="146"/>
      <c r="AD85" s="145"/>
      <c r="AE85" s="145"/>
      <c r="AF85" s="145"/>
      <c r="AG85" s="145"/>
      <c r="AH85" s="145"/>
      <c r="AI85" s="145"/>
      <c r="AJ85" s="146"/>
      <c r="AK85" s="145"/>
      <c r="AL85" s="145"/>
      <c r="AM85" s="227"/>
      <c r="AN85" s="145"/>
      <c r="AO85" s="145"/>
      <c r="AP85" s="145"/>
      <c r="AQ85" s="145"/>
      <c r="AR85" s="145"/>
      <c r="AS85" s="145"/>
      <c r="AT85" s="145"/>
      <c r="AU85" s="603" t="str">
        <f t="shared" ca="1" si="4"/>
        <v/>
      </c>
      <c r="AV85" s="145"/>
      <c r="AW85" s="145"/>
      <c r="AX85" s="532"/>
      <c r="AY85" s="145"/>
      <c r="AZ85" s="145"/>
    </row>
    <row r="86" spans="1:52" s="142" customFormat="1" x14ac:dyDescent="0.3">
      <c r="A86" s="227"/>
      <c r="B86" s="233"/>
      <c r="C86" s="227"/>
      <c r="D86" s="146"/>
      <c r="E86" s="146"/>
      <c r="F86" s="146"/>
      <c r="G86" s="146"/>
      <c r="H86" s="146"/>
      <c r="I86" s="146"/>
      <c r="J86" s="146"/>
      <c r="K86" s="146"/>
      <c r="L86" s="146"/>
      <c r="M86" s="603"/>
      <c r="N86" s="580"/>
      <c r="O86" s="580" t="s">
        <v>274</v>
      </c>
      <c r="P86" s="580"/>
      <c r="Q86" s="580"/>
      <c r="R86" s="580">
        <f>IF(M8=Administration!C8,Rates!K71,0)</f>
        <v>0</v>
      </c>
      <c r="S86" s="580"/>
      <c r="T86" s="580"/>
      <c r="U86" s="146"/>
      <c r="V86" s="146"/>
      <c r="W86" s="146"/>
      <c r="X86" s="146"/>
      <c r="Y86" s="146"/>
      <c r="Z86" s="146"/>
      <c r="AA86" s="146"/>
      <c r="AB86" s="146"/>
      <c r="AC86" s="146"/>
      <c r="AD86" s="145"/>
      <c r="AE86" s="145"/>
      <c r="AF86" s="145"/>
      <c r="AG86" s="145"/>
      <c r="AH86" s="145"/>
      <c r="AI86" s="145"/>
      <c r="AJ86" s="146"/>
      <c r="AK86" s="145"/>
      <c r="AL86" s="145"/>
      <c r="AM86" s="227"/>
      <c r="AN86" s="145"/>
      <c r="AO86" s="145"/>
      <c r="AP86" s="145"/>
      <c r="AQ86" s="145"/>
      <c r="AR86" s="145"/>
      <c r="AS86" s="145"/>
      <c r="AT86" s="145"/>
      <c r="AU86" s="603" t="e">
        <f t="shared" ref="AU86:AU106" ca="1" si="5">AU85+1</f>
        <v>#VALUE!</v>
      </c>
      <c r="AV86" s="145"/>
      <c r="AW86" s="145"/>
      <c r="AX86" s="532"/>
      <c r="AY86" s="145"/>
      <c r="AZ86" s="145"/>
    </row>
    <row r="87" spans="1:52" s="142" customFormat="1" x14ac:dyDescent="0.3">
      <c r="A87" s="227"/>
      <c r="B87" s="233"/>
      <c r="C87" s="227"/>
      <c r="D87" s="146"/>
      <c r="E87" s="146"/>
      <c r="F87" s="146"/>
      <c r="G87" s="146"/>
      <c r="H87" s="146"/>
      <c r="I87" s="146"/>
      <c r="J87" s="146"/>
      <c r="K87" s="146"/>
      <c r="L87" s="146"/>
      <c r="M87" s="603"/>
      <c r="N87" s="580"/>
      <c r="O87" s="580" t="s">
        <v>275</v>
      </c>
      <c r="P87" s="580"/>
      <c r="Q87" s="580"/>
      <c r="R87" s="580">
        <f>IF(M8=Administration!C16,Rates!K72,0)</f>
        <v>0</v>
      </c>
      <c r="S87" s="580"/>
      <c r="T87" s="580"/>
      <c r="U87" s="146"/>
      <c r="V87" s="146"/>
      <c r="W87" s="146"/>
      <c r="X87" s="146"/>
      <c r="Y87" s="146"/>
      <c r="Z87" s="146"/>
      <c r="AA87" s="146"/>
      <c r="AB87" s="146"/>
      <c r="AC87" s="146"/>
      <c r="AD87" s="145"/>
      <c r="AE87" s="145"/>
      <c r="AF87" s="145"/>
      <c r="AG87" s="145"/>
      <c r="AH87" s="145"/>
      <c r="AI87" s="145"/>
      <c r="AJ87" s="146"/>
      <c r="AK87" s="145"/>
      <c r="AL87" s="145"/>
      <c r="AM87" s="227"/>
      <c r="AN87" s="145"/>
      <c r="AO87" s="145"/>
      <c r="AP87" s="145"/>
      <c r="AQ87" s="145"/>
      <c r="AR87" s="145"/>
      <c r="AS87" s="145"/>
      <c r="AT87" s="145"/>
      <c r="AU87" s="603" t="e">
        <f t="shared" ca="1" si="5"/>
        <v>#VALUE!</v>
      </c>
      <c r="AV87" s="145"/>
      <c r="AW87" s="145"/>
      <c r="AX87" s="532"/>
      <c r="AY87" s="145"/>
      <c r="AZ87" s="145"/>
    </row>
    <row r="88" spans="1:52" s="142" customFormat="1" x14ac:dyDescent="0.3">
      <c r="A88" s="227"/>
      <c r="B88" s="233"/>
      <c r="C88" s="227"/>
      <c r="D88" s="146"/>
      <c r="E88" s="146"/>
      <c r="F88" s="146"/>
      <c r="G88" s="146"/>
      <c r="H88" s="146"/>
      <c r="I88" s="146"/>
      <c r="J88" s="146"/>
      <c r="K88" s="146"/>
      <c r="L88" s="146"/>
      <c r="M88" s="603"/>
      <c r="N88" s="580"/>
      <c r="O88" s="580" t="s">
        <v>357</v>
      </c>
      <c r="P88" s="580"/>
      <c r="Q88" s="580"/>
      <c r="R88" s="580">
        <f>IF(M8=Administration!C11,Rates!K73,0)</f>
        <v>0</v>
      </c>
      <c r="S88" s="580"/>
      <c r="T88" s="580"/>
      <c r="U88" s="146"/>
      <c r="V88" s="146"/>
      <c r="W88" s="146"/>
      <c r="X88" s="146"/>
      <c r="Y88" s="146"/>
      <c r="Z88" s="146"/>
      <c r="AA88" s="146"/>
      <c r="AB88" s="146"/>
      <c r="AC88" s="146"/>
      <c r="AD88" s="145"/>
      <c r="AE88" s="145"/>
      <c r="AF88" s="145"/>
      <c r="AG88" s="145"/>
      <c r="AH88" s="145"/>
      <c r="AI88" s="145"/>
      <c r="AJ88" s="146"/>
      <c r="AK88" s="145"/>
      <c r="AL88" s="145"/>
      <c r="AM88" s="227"/>
      <c r="AN88" s="145"/>
      <c r="AO88" s="145"/>
      <c r="AP88" s="145"/>
      <c r="AQ88" s="145"/>
      <c r="AR88" s="145"/>
      <c r="AS88" s="145"/>
      <c r="AT88" s="145"/>
      <c r="AU88" s="603" t="e">
        <f t="shared" ca="1" si="5"/>
        <v>#VALUE!</v>
      </c>
      <c r="AV88" s="145"/>
      <c r="AW88" s="145"/>
      <c r="AX88" s="532"/>
      <c r="AY88" s="145"/>
      <c r="AZ88" s="145"/>
    </row>
    <row r="89" spans="1:52" s="142" customFormat="1" x14ac:dyDescent="0.3">
      <c r="A89" s="227"/>
      <c r="B89" s="233"/>
      <c r="C89" s="227"/>
      <c r="D89" s="146"/>
      <c r="E89" s="146"/>
      <c r="F89" s="146"/>
      <c r="G89" s="146"/>
      <c r="H89" s="146"/>
      <c r="I89" s="146"/>
      <c r="J89" s="146"/>
      <c r="K89" s="146"/>
      <c r="L89" s="146"/>
      <c r="M89" s="603"/>
      <c r="N89" s="580"/>
      <c r="O89" s="580" t="s">
        <v>211</v>
      </c>
      <c r="P89" s="580"/>
      <c r="Q89" s="580"/>
      <c r="R89" s="580">
        <f>IF(M8=Administration!C10,Rates!K74,0)</f>
        <v>0</v>
      </c>
      <c r="S89" s="580"/>
      <c r="T89" s="580"/>
      <c r="U89" s="146"/>
      <c r="V89" s="146"/>
      <c r="W89" s="146"/>
      <c r="X89" s="146"/>
      <c r="Y89" s="146"/>
      <c r="Z89" s="146"/>
      <c r="AA89" s="146"/>
      <c r="AB89" s="146"/>
      <c r="AC89" s="146"/>
      <c r="AD89" s="145"/>
      <c r="AE89" s="145"/>
      <c r="AF89" s="145"/>
      <c r="AG89" s="145"/>
      <c r="AH89" s="145"/>
      <c r="AI89" s="145"/>
      <c r="AJ89" s="146"/>
      <c r="AK89" s="145"/>
      <c r="AL89" s="145"/>
      <c r="AM89" s="227"/>
      <c r="AN89" s="145"/>
      <c r="AO89" s="145"/>
      <c r="AP89" s="145"/>
      <c r="AQ89" s="145"/>
      <c r="AR89" s="145"/>
      <c r="AS89" s="145"/>
      <c r="AT89" s="145"/>
      <c r="AU89" s="603" t="e">
        <f t="shared" ca="1" si="5"/>
        <v>#VALUE!</v>
      </c>
      <c r="AV89" s="145"/>
      <c r="AW89" s="145"/>
      <c r="AX89" s="532"/>
      <c r="AY89" s="145"/>
      <c r="AZ89" s="145"/>
    </row>
    <row r="90" spans="1:52" s="142" customFormat="1" x14ac:dyDescent="0.3">
      <c r="A90" s="227"/>
      <c r="B90" s="233"/>
      <c r="C90" s="227"/>
      <c r="D90" s="146"/>
      <c r="E90" s="146"/>
      <c r="F90" s="146"/>
      <c r="G90" s="146"/>
      <c r="H90" s="146"/>
      <c r="I90" s="146"/>
      <c r="J90" s="146"/>
      <c r="K90" s="146"/>
      <c r="L90" s="146"/>
      <c r="M90" s="603"/>
      <c r="N90" s="580"/>
      <c r="O90" s="580" t="s">
        <v>215</v>
      </c>
      <c r="P90" s="580"/>
      <c r="Q90" s="580"/>
      <c r="R90" s="580">
        <f>IF(M8=Administration!C15,Rates!K75,0)</f>
        <v>0</v>
      </c>
      <c r="S90" s="580"/>
      <c r="T90" s="580"/>
      <c r="U90" s="146"/>
      <c r="V90" s="146"/>
      <c r="W90" s="146"/>
      <c r="X90" s="146"/>
      <c r="Y90" s="146"/>
      <c r="Z90" s="146"/>
      <c r="AA90" s="146"/>
      <c r="AB90" s="146"/>
      <c r="AC90" s="146"/>
      <c r="AD90" s="145"/>
      <c r="AE90" s="145"/>
      <c r="AF90" s="145"/>
      <c r="AG90" s="145"/>
      <c r="AH90" s="145"/>
      <c r="AI90" s="145"/>
      <c r="AJ90" s="146"/>
      <c r="AK90" s="145"/>
      <c r="AL90" s="145"/>
      <c r="AM90" s="227"/>
      <c r="AN90" s="145"/>
      <c r="AO90" s="145"/>
      <c r="AP90" s="145"/>
      <c r="AQ90" s="145"/>
      <c r="AR90" s="145"/>
      <c r="AS90" s="145"/>
      <c r="AT90" s="145"/>
      <c r="AU90" s="603" t="e">
        <f t="shared" ca="1" si="5"/>
        <v>#VALUE!</v>
      </c>
      <c r="AV90" s="145"/>
      <c r="AW90" s="145"/>
      <c r="AX90" s="532"/>
      <c r="AY90" s="145"/>
      <c r="AZ90" s="145"/>
    </row>
    <row r="91" spans="1:52" s="142" customFormat="1" x14ac:dyDescent="0.3">
      <c r="A91" s="146"/>
      <c r="B91" s="4"/>
      <c r="C91" s="227"/>
      <c r="D91" s="146"/>
      <c r="E91" s="146"/>
      <c r="F91" s="146"/>
      <c r="G91" s="146"/>
      <c r="H91" s="146"/>
      <c r="I91" s="146"/>
      <c r="J91" s="146"/>
      <c r="K91" s="146"/>
      <c r="L91" s="146"/>
      <c r="M91" s="603"/>
      <c r="N91" s="580"/>
      <c r="O91" s="580" t="s">
        <v>212</v>
      </c>
      <c r="P91" s="580"/>
      <c r="Q91" s="580"/>
      <c r="R91" s="580">
        <f>IF(M8=Administration!C12,Rates!K76,0)</f>
        <v>0</v>
      </c>
      <c r="S91" s="580"/>
      <c r="T91" s="580"/>
      <c r="U91" s="146"/>
      <c r="V91" s="146"/>
      <c r="W91" s="146"/>
      <c r="X91" s="146"/>
      <c r="Y91" s="146"/>
      <c r="Z91" s="146"/>
      <c r="AA91" s="146"/>
      <c r="AB91" s="146"/>
      <c r="AC91" s="146"/>
      <c r="AD91" s="145"/>
      <c r="AE91" s="145"/>
      <c r="AF91" s="145"/>
      <c r="AG91" s="145"/>
      <c r="AH91" s="145"/>
      <c r="AI91" s="145"/>
      <c r="AJ91" s="146"/>
      <c r="AK91" s="145"/>
      <c r="AL91" s="145"/>
      <c r="AM91" s="227"/>
      <c r="AN91" s="145"/>
      <c r="AO91" s="145"/>
      <c r="AP91" s="145"/>
      <c r="AQ91" s="145"/>
      <c r="AR91" s="145"/>
      <c r="AS91" s="145"/>
      <c r="AT91" s="145"/>
      <c r="AU91" s="603" t="e">
        <f t="shared" ca="1" si="5"/>
        <v>#VALUE!</v>
      </c>
      <c r="AV91" s="145"/>
      <c r="AW91" s="145"/>
      <c r="AX91" s="532"/>
      <c r="AY91" s="145"/>
      <c r="AZ91" s="145"/>
    </row>
    <row r="92" spans="1:52" s="142" customFormat="1" x14ac:dyDescent="0.3">
      <c r="A92" s="146"/>
      <c r="B92" s="4"/>
      <c r="C92" s="227"/>
      <c r="D92" s="146"/>
      <c r="E92" s="146"/>
      <c r="F92" s="146"/>
      <c r="G92" s="146"/>
      <c r="H92" s="146"/>
      <c r="I92" s="146"/>
      <c r="J92" s="146"/>
      <c r="K92" s="146"/>
      <c r="L92" s="146"/>
      <c r="M92" s="603"/>
      <c r="N92" s="580"/>
      <c r="O92" s="579" t="s">
        <v>268</v>
      </c>
      <c r="P92" s="580"/>
      <c r="Q92" s="580"/>
      <c r="R92" s="607">
        <f ca="1">R81+SUM(R83:R91)+R96</f>
        <v>0</v>
      </c>
      <c r="S92" s="580"/>
      <c r="T92" s="580"/>
      <c r="U92" s="146"/>
      <c r="V92" s="146"/>
      <c r="W92" s="146"/>
      <c r="X92" s="146"/>
      <c r="Y92" s="146"/>
      <c r="Z92" s="146"/>
      <c r="AA92" s="146"/>
      <c r="AB92" s="146"/>
      <c r="AC92" s="146"/>
      <c r="AD92" s="145"/>
      <c r="AE92" s="145"/>
      <c r="AF92" s="145"/>
      <c r="AG92" s="145"/>
      <c r="AH92" s="145"/>
      <c r="AI92" s="145"/>
      <c r="AJ92" s="146"/>
      <c r="AK92" s="145"/>
      <c r="AL92" s="145"/>
      <c r="AM92" s="227"/>
      <c r="AN92" s="145"/>
      <c r="AO92" s="145"/>
      <c r="AP92" s="145"/>
      <c r="AQ92" s="145"/>
      <c r="AR92" s="145"/>
      <c r="AS92" s="145"/>
      <c r="AT92" s="145"/>
      <c r="AU92" s="603" t="e">
        <f t="shared" ca="1" si="5"/>
        <v>#VALUE!</v>
      </c>
      <c r="AV92" s="145"/>
      <c r="AW92" s="145"/>
      <c r="AX92" s="532"/>
      <c r="AY92" s="145"/>
      <c r="AZ92" s="145"/>
    </row>
    <row r="93" spans="1:52" s="142" customFormat="1" x14ac:dyDescent="0.3">
      <c r="A93" s="146"/>
      <c r="B93" s="4"/>
      <c r="C93" s="227"/>
      <c r="D93" s="146"/>
      <c r="E93" s="146"/>
      <c r="F93" s="146"/>
      <c r="G93" s="146"/>
      <c r="H93" s="146"/>
      <c r="I93" s="146"/>
      <c r="J93" s="146"/>
      <c r="K93" s="146"/>
      <c r="L93" s="146"/>
      <c r="M93" s="603"/>
      <c r="N93" s="580"/>
      <c r="O93" s="580"/>
      <c r="P93" s="580"/>
      <c r="Q93" s="580"/>
      <c r="R93" s="580">
        <f ca="1">IF(AND(I18&gt;R92,I18&lt;H15/2),I18,R92)</f>
        <v>0</v>
      </c>
      <c r="S93" s="580"/>
      <c r="T93" s="580"/>
      <c r="U93" s="146"/>
      <c r="V93" s="146"/>
      <c r="W93" s="146"/>
      <c r="X93" s="146"/>
      <c r="Y93" s="146"/>
      <c r="Z93" s="146"/>
      <c r="AA93" s="146"/>
      <c r="AB93" s="146"/>
      <c r="AC93" s="146"/>
      <c r="AD93" s="145"/>
      <c r="AE93" s="145"/>
      <c r="AF93" s="145"/>
      <c r="AG93" s="145"/>
      <c r="AH93" s="145"/>
      <c r="AI93" s="145"/>
      <c r="AJ93" s="146"/>
      <c r="AK93" s="145"/>
      <c r="AL93" s="145"/>
      <c r="AM93" s="227"/>
      <c r="AN93" s="145"/>
      <c r="AO93" s="145"/>
      <c r="AP93" s="145"/>
      <c r="AQ93" s="145"/>
      <c r="AR93" s="145"/>
      <c r="AS93" s="145"/>
      <c r="AT93" s="145"/>
      <c r="AU93" s="146" t="e">
        <f t="shared" ca="1" si="5"/>
        <v>#VALUE!</v>
      </c>
      <c r="AV93" s="145"/>
      <c r="AW93" s="145"/>
      <c r="AX93" s="532"/>
      <c r="AY93" s="145"/>
      <c r="AZ93" s="145"/>
    </row>
    <row r="94" spans="1:52" s="142" customFormat="1" x14ac:dyDescent="0.3">
      <c r="A94" s="146"/>
      <c r="B94" s="4"/>
      <c r="D94" s="146"/>
      <c r="E94" s="146"/>
      <c r="F94" s="534" t="s">
        <v>392</v>
      </c>
      <c r="G94" s="146"/>
      <c r="H94" s="146"/>
      <c r="I94" s="146"/>
      <c r="J94" s="146"/>
      <c r="K94" s="146"/>
      <c r="L94" s="146"/>
      <c r="M94" s="603"/>
      <c r="N94" s="580"/>
      <c r="O94" s="580"/>
      <c r="P94" s="580"/>
      <c r="Q94" s="580"/>
      <c r="R94" s="580"/>
      <c r="S94" s="580"/>
      <c r="T94" s="580"/>
      <c r="U94" s="146"/>
      <c r="V94" s="146"/>
      <c r="W94" s="146"/>
      <c r="X94" s="146"/>
      <c r="Y94" s="146"/>
      <c r="Z94" s="146"/>
      <c r="AA94" s="146"/>
      <c r="AB94" s="146"/>
      <c r="AC94" s="146"/>
      <c r="AD94" s="145"/>
      <c r="AE94" s="145"/>
      <c r="AF94" s="145"/>
      <c r="AG94" s="145"/>
      <c r="AH94" s="145"/>
      <c r="AI94" s="145"/>
      <c r="AJ94" s="146"/>
      <c r="AK94" s="145"/>
      <c r="AL94" s="145"/>
      <c r="AM94" s="227"/>
      <c r="AN94" s="145"/>
      <c r="AO94" s="145"/>
      <c r="AP94" s="145"/>
      <c r="AQ94" s="145"/>
      <c r="AR94" s="145"/>
      <c r="AS94" s="145"/>
      <c r="AT94" s="145"/>
      <c r="AU94" s="146" t="e">
        <f t="shared" ca="1" si="5"/>
        <v>#VALUE!</v>
      </c>
      <c r="AV94" s="145"/>
      <c r="AW94" s="145"/>
      <c r="AX94" s="532"/>
      <c r="AY94" s="145"/>
      <c r="AZ94" s="145"/>
    </row>
    <row r="95" spans="1:52" s="142" customFormat="1" ht="20.149999999999999" customHeight="1" x14ac:dyDescent="0.3">
      <c r="A95" s="146"/>
      <c r="B95" s="4"/>
      <c r="D95" s="146"/>
      <c r="E95" s="146"/>
      <c r="F95" s="612" t="str">
        <f>Administration!J6</f>
        <v>Abans Finance PLC</v>
      </c>
      <c r="G95" s="146"/>
      <c r="H95" s="146"/>
      <c r="I95" s="146"/>
      <c r="J95" s="146"/>
      <c r="K95" s="146"/>
      <c r="L95" s="227"/>
      <c r="M95" s="604" t="s">
        <v>234</v>
      </c>
      <c r="N95" s="580" t="s">
        <v>269</v>
      </c>
      <c r="O95" s="580"/>
      <c r="P95" s="580"/>
      <c r="Q95" s="580"/>
      <c r="R95" s="895" t="str">
        <f>IF(X43&gt;0,MAX(H30*Rates!K68%,Rates!L68),"")</f>
        <v/>
      </c>
      <c r="S95" s="895"/>
      <c r="T95" s="895"/>
      <c r="U95" s="146"/>
      <c r="V95" s="146"/>
      <c r="W95" s="146"/>
      <c r="X95" s="146"/>
      <c r="Y95" s="146"/>
      <c r="Z95" s="146"/>
      <c r="AA95" s="146"/>
      <c r="AB95" s="146"/>
      <c r="AC95" s="146"/>
      <c r="AD95" s="145"/>
      <c r="AE95" s="145"/>
      <c r="AF95" s="145"/>
      <c r="AG95" s="145"/>
      <c r="AH95" s="145"/>
      <c r="AI95" s="145"/>
      <c r="AJ95" s="146"/>
      <c r="AK95" s="145"/>
      <c r="AL95" s="145"/>
      <c r="AM95" s="227"/>
      <c r="AN95" s="145"/>
      <c r="AO95" s="145"/>
      <c r="AP95" s="145"/>
      <c r="AQ95" s="145"/>
      <c r="AR95" s="145"/>
      <c r="AS95" s="145"/>
      <c r="AT95" s="145"/>
      <c r="AU95" s="146" t="e">
        <f t="shared" ca="1" si="5"/>
        <v>#VALUE!</v>
      </c>
      <c r="AV95" s="145"/>
      <c r="AW95" s="145"/>
      <c r="AX95" s="532"/>
      <c r="AY95" s="145"/>
      <c r="AZ95" s="145"/>
    </row>
    <row r="96" spans="1:52" s="142" customFormat="1" ht="20.149999999999999" customHeight="1" x14ac:dyDescent="0.3">
      <c r="A96" s="146"/>
      <c r="B96" s="4"/>
      <c r="D96" s="146"/>
      <c r="E96" s="146"/>
      <c r="F96" s="612" t="str">
        <f>Administration!J7</f>
        <v>Alliance Finance Co. PLC</v>
      </c>
      <c r="G96" s="146"/>
      <c r="H96" s="146"/>
      <c r="I96" s="146"/>
      <c r="J96" s="146"/>
      <c r="K96" s="146"/>
      <c r="L96" s="227"/>
      <c r="M96" s="603"/>
      <c r="N96" s="580"/>
      <c r="O96" s="580" t="s">
        <v>227</v>
      </c>
      <c r="P96" s="580"/>
      <c r="Q96" s="580"/>
      <c r="R96" s="608">
        <f>I22</f>
        <v>0</v>
      </c>
      <c r="S96" s="580"/>
      <c r="T96" s="580"/>
      <c r="U96" s="146"/>
      <c r="V96" s="146"/>
      <c r="W96" s="146"/>
      <c r="X96" s="146"/>
      <c r="Y96" s="146"/>
      <c r="Z96" s="146"/>
      <c r="AA96" s="146"/>
      <c r="AB96" s="146"/>
      <c r="AC96" s="146"/>
      <c r="AD96" s="145"/>
      <c r="AE96" s="145"/>
      <c r="AF96" s="145"/>
      <c r="AG96" s="145"/>
      <c r="AH96" s="145"/>
      <c r="AI96" s="145"/>
      <c r="AJ96" s="146"/>
      <c r="AK96" s="145"/>
      <c r="AL96" s="145"/>
      <c r="AM96" s="227"/>
      <c r="AN96" s="145"/>
      <c r="AO96" s="145"/>
      <c r="AP96" s="145"/>
      <c r="AQ96" s="145"/>
      <c r="AR96" s="145"/>
      <c r="AS96" s="145"/>
      <c r="AT96" s="145"/>
      <c r="AU96" s="146" t="e">
        <f t="shared" ca="1" si="5"/>
        <v>#VALUE!</v>
      </c>
      <c r="AV96" s="145"/>
      <c r="AW96" s="145"/>
      <c r="AX96" s="532"/>
      <c r="AY96" s="145"/>
      <c r="AZ96" s="145"/>
    </row>
    <row r="97" spans="1:52" s="142" customFormat="1" ht="20.149999999999999" customHeight="1" x14ac:dyDescent="0.3">
      <c r="A97" s="146"/>
      <c r="B97" s="4"/>
      <c r="D97" s="146"/>
      <c r="E97" s="146"/>
      <c r="F97" s="612" t="str">
        <f>Administration!J8</f>
        <v>Asia Asset Finance Ltd</v>
      </c>
      <c r="G97" s="146"/>
      <c r="H97" s="146"/>
      <c r="I97" s="146"/>
      <c r="J97" s="146"/>
      <c r="K97" s="146"/>
      <c r="L97" s="146"/>
      <c r="M97" s="146"/>
      <c r="N97" s="146"/>
      <c r="O97" s="146" t="s">
        <v>225</v>
      </c>
      <c r="P97" s="227"/>
      <c r="Q97" s="146"/>
      <c r="R97" s="146">
        <f ca="1">IF(OR(C39=1,M39&gt;0),Rates!K63,0)</f>
        <v>0</v>
      </c>
      <c r="S97" s="146"/>
      <c r="T97" s="146"/>
      <c r="U97" s="146"/>
      <c r="V97" s="146"/>
      <c r="W97" s="146"/>
      <c r="X97" s="146"/>
      <c r="Y97" s="146"/>
      <c r="Z97" s="146"/>
      <c r="AA97" s="146"/>
      <c r="AB97" s="146"/>
      <c r="AC97" s="146"/>
      <c r="AD97" s="145"/>
      <c r="AE97" s="145"/>
      <c r="AF97" s="145"/>
      <c r="AG97" s="145"/>
      <c r="AH97" s="145"/>
      <c r="AI97" s="145"/>
      <c r="AJ97" s="146"/>
      <c r="AK97" s="145"/>
      <c r="AL97" s="145"/>
      <c r="AM97" s="227"/>
      <c r="AN97" s="145"/>
      <c r="AO97" s="145"/>
      <c r="AP97" s="145"/>
      <c r="AQ97" s="145"/>
      <c r="AR97" s="145"/>
      <c r="AS97" s="145"/>
      <c r="AT97" s="145"/>
      <c r="AU97" s="146" t="e">
        <f t="shared" ca="1" si="5"/>
        <v>#VALUE!</v>
      </c>
      <c r="AV97" s="145"/>
      <c r="AW97" s="145"/>
      <c r="AX97" s="532"/>
      <c r="AY97" s="145"/>
      <c r="AZ97" s="145"/>
    </row>
    <row r="98" spans="1:52" s="142" customFormat="1" ht="20.149999999999999" customHeight="1" x14ac:dyDescent="0.3">
      <c r="A98" s="146"/>
      <c r="B98" s="4"/>
      <c r="D98" s="146"/>
      <c r="E98" s="146"/>
      <c r="F98" s="612" t="str">
        <f>Administration!J9</f>
        <v>Assetline Leasing Co Ltd</v>
      </c>
      <c r="G98" s="146"/>
      <c r="H98" s="146"/>
      <c r="I98" s="146"/>
      <c r="J98" s="146"/>
      <c r="K98" s="146"/>
      <c r="L98" s="146"/>
      <c r="M98" s="146"/>
      <c r="N98" s="146"/>
      <c r="O98" s="146" t="s">
        <v>226</v>
      </c>
      <c r="P98" s="227"/>
      <c r="Q98" s="146"/>
      <c r="R98" s="146">
        <f>IF(OR(H54&gt;0,M54&gt;0),Rates!K64,0)</f>
        <v>0</v>
      </c>
      <c r="S98" s="146"/>
      <c r="T98" s="146"/>
      <c r="U98" s="146"/>
      <c r="V98" s="146"/>
      <c r="W98" s="146"/>
      <c r="X98" s="146"/>
      <c r="Y98" s="146"/>
      <c r="Z98" s="146"/>
      <c r="AA98" s="146"/>
      <c r="AB98" s="146"/>
      <c r="AC98" s="146"/>
      <c r="AD98" s="145"/>
      <c r="AE98" s="145"/>
      <c r="AF98" s="145"/>
      <c r="AG98" s="145"/>
      <c r="AH98" s="145"/>
      <c r="AI98" s="145"/>
      <c r="AJ98" s="146"/>
      <c r="AK98" s="145"/>
      <c r="AL98" s="145"/>
      <c r="AM98" s="227"/>
      <c r="AN98" s="145"/>
      <c r="AO98" s="145"/>
      <c r="AP98" s="145"/>
      <c r="AQ98" s="145"/>
      <c r="AR98" s="145"/>
      <c r="AS98" s="145"/>
      <c r="AT98" s="145"/>
      <c r="AU98" s="146" t="e">
        <f t="shared" ca="1" si="5"/>
        <v>#VALUE!</v>
      </c>
      <c r="AV98" s="145"/>
      <c r="AW98" s="145"/>
      <c r="AX98" s="532"/>
      <c r="AY98" s="145"/>
      <c r="AZ98" s="145"/>
    </row>
    <row r="99" spans="1:52" s="142" customFormat="1" ht="20.149999999999999" customHeight="1" x14ac:dyDescent="0.3">
      <c r="A99" s="146"/>
      <c r="B99" s="4"/>
      <c r="D99" s="146"/>
      <c r="E99" s="146"/>
      <c r="F99" s="612" t="str">
        <f>Administration!J10</f>
        <v>Arpico Finance PLC</v>
      </c>
      <c r="G99" s="146"/>
      <c r="H99" s="146"/>
      <c r="I99" s="146"/>
      <c r="J99" s="146"/>
      <c r="K99" s="146"/>
      <c r="L99" s="146"/>
      <c r="M99" s="146"/>
      <c r="N99" s="146"/>
      <c r="O99" s="146" t="s">
        <v>228</v>
      </c>
      <c r="P99" s="227"/>
      <c r="Q99" s="146"/>
      <c r="R99" s="146">
        <f ca="1">IF(OR(U57=1,M46&gt;0),Rates!K65,0)</f>
        <v>0</v>
      </c>
      <c r="S99" s="146"/>
      <c r="T99" s="146"/>
      <c r="U99" s="146"/>
      <c r="V99" s="146"/>
      <c r="W99" s="146"/>
      <c r="X99" s="146"/>
      <c r="Y99" s="146"/>
      <c r="Z99" s="146"/>
      <c r="AA99" s="146"/>
      <c r="AB99" s="146"/>
      <c r="AC99" s="146"/>
      <c r="AD99" s="145"/>
      <c r="AE99" s="145"/>
      <c r="AF99" s="145"/>
      <c r="AG99" s="145"/>
      <c r="AH99" s="145"/>
      <c r="AI99" s="145"/>
      <c r="AJ99" s="146"/>
      <c r="AK99" s="145"/>
      <c r="AL99" s="145"/>
      <c r="AM99" s="227"/>
      <c r="AN99" s="145"/>
      <c r="AO99" s="145"/>
      <c r="AP99" s="145"/>
      <c r="AQ99" s="145"/>
      <c r="AR99" s="145"/>
      <c r="AS99" s="145"/>
      <c r="AT99" s="145"/>
      <c r="AU99" s="146" t="e">
        <f t="shared" ca="1" si="5"/>
        <v>#VALUE!</v>
      </c>
      <c r="AV99" s="145"/>
      <c r="AW99" s="145"/>
      <c r="AX99" s="532"/>
      <c r="AY99" s="145"/>
      <c r="AZ99" s="145"/>
    </row>
    <row r="100" spans="1:52" s="142" customFormat="1" ht="20.149999999999999" customHeight="1" x14ac:dyDescent="0.3">
      <c r="A100" s="146"/>
      <c r="B100" s="4"/>
      <c r="D100" s="146"/>
      <c r="E100" s="146"/>
      <c r="F100" s="612" t="str">
        <f>Administration!J11</f>
        <v>Bank of Ceylon</v>
      </c>
      <c r="G100" s="146"/>
      <c r="H100" s="146"/>
      <c r="I100" s="146"/>
      <c r="J100" s="146"/>
      <c r="K100" s="146"/>
      <c r="L100" s="146"/>
      <c r="M100" s="146"/>
      <c r="N100" s="146"/>
      <c r="O100" s="146"/>
      <c r="P100" s="227"/>
      <c r="Q100" s="146"/>
      <c r="R100" s="146"/>
      <c r="S100" s="146"/>
      <c r="T100" s="146"/>
      <c r="U100" s="146"/>
      <c r="V100" s="146"/>
      <c r="W100" s="146"/>
      <c r="X100" s="146"/>
      <c r="Y100" s="146"/>
      <c r="Z100" s="146"/>
      <c r="AA100" s="146"/>
      <c r="AB100" s="146"/>
      <c r="AC100" s="146"/>
      <c r="AD100" s="145"/>
      <c r="AE100" s="145"/>
      <c r="AF100" s="145"/>
      <c r="AG100" s="145"/>
      <c r="AH100" s="145"/>
      <c r="AI100" s="145"/>
      <c r="AJ100" s="146"/>
      <c r="AK100" s="145"/>
      <c r="AL100" s="145"/>
      <c r="AM100" s="227"/>
      <c r="AN100" s="145"/>
      <c r="AO100" s="145"/>
      <c r="AP100" s="145"/>
      <c r="AQ100" s="145"/>
      <c r="AR100" s="145"/>
      <c r="AS100" s="145"/>
      <c r="AT100" s="145"/>
      <c r="AU100" s="146" t="e">
        <f t="shared" ca="1" si="5"/>
        <v>#VALUE!</v>
      </c>
      <c r="AV100" s="145"/>
      <c r="AW100" s="145"/>
      <c r="AX100" s="532"/>
      <c r="AY100" s="145"/>
      <c r="AZ100" s="145"/>
    </row>
    <row r="101" spans="1:52" s="142" customFormat="1" ht="20.149999999999999" customHeight="1" x14ac:dyDescent="0.3">
      <c r="A101" s="146"/>
      <c r="B101" s="4"/>
      <c r="D101" s="146"/>
      <c r="E101" s="146"/>
      <c r="F101" s="612" t="str">
        <f>Administration!J12</f>
        <v>Citizens Development Business Finance PLC</v>
      </c>
      <c r="G101" s="146"/>
      <c r="H101" s="146"/>
      <c r="I101" s="146"/>
      <c r="J101" s="146"/>
      <c r="K101" s="146"/>
      <c r="L101" s="146"/>
      <c r="M101" s="146"/>
      <c r="N101" s="146"/>
      <c r="O101" s="146"/>
      <c r="P101" s="227"/>
      <c r="Q101" s="146"/>
      <c r="R101" s="146"/>
      <c r="S101" s="146"/>
      <c r="T101" s="146"/>
      <c r="U101" s="146"/>
      <c r="V101" s="146"/>
      <c r="W101" s="146"/>
      <c r="X101" s="146"/>
      <c r="Y101" s="146"/>
      <c r="Z101" s="146"/>
      <c r="AA101" s="146"/>
      <c r="AB101" s="146"/>
      <c r="AC101" s="146"/>
      <c r="AD101" s="145"/>
      <c r="AE101" s="145"/>
      <c r="AF101" s="145"/>
      <c r="AG101" s="145"/>
      <c r="AH101" s="145"/>
      <c r="AI101" s="145"/>
      <c r="AJ101" s="146"/>
      <c r="AK101" s="145"/>
      <c r="AL101" s="145"/>
      <c r="AM101" s="227"/>
      <c r="AN101" s="145"/>
      <c r="AO101" s="145"/>
      <c r="AP101" s="145"/>
      <c r="AQ101" s="145"/>
      <c r="AR101" s="145"/>
      <c r="AS101" s="145"/>
      <c r="AT101" s="145"/>
      <c r="AU101" s="146" t="e">
        <f t="shared" ca="1" si="5"/>
        <v>#VALUE!</v>
      </c>
      <c r="AV101" s="145"/>
      <c r="AW101" s="145"/>
      <c r="AX101" s="532"/>
      <c r="AY101" s="145"/>
      <c r="AZ101" s="145"/>
    </row>
    <row r="102" spans="1:52" s="142" customFormat="1" ht="20.149999999999999" customHeight="1" x14ac:dyDescent="0.3">
      <c r="A102" s="146"/>
      <c r="B102" s="4"/>
      <c r="D102" s="143"/>
      <c r="E102" s="143"/>
      <c r="F102" s="612" t="str">
        <f>Administration!J13</f>
        <v>Commercial Credit PLC</v>
      </c>
      <c r="G102" s="143"/>
      <c r="H102" s="143"/>
      <c r="I102" s="143"/>
      <c r="J102" s="143"/>
      <c r="K102" s="146"/>
      <c r="L102" s="146"/>
      <c r="M102" s="146"/>
      <c r="N102" s="146"/>
      <c r="O102" s="146"/>
      <c r="P102" s="227"/>
      <c r="Q102" s="146"/>
      <c r="R102" s="146"/>
      <c r="S102" s="146"/>
      <c r="T102" s="146"/>
      <c r="U102" s="146"/>
      <c r="V102" s="146"/>
      <c r="W102" s="146"/>
      <c r="X102" s="146"/>
      <c r="Y102" s="146"/>
      <c r="Z102" s="146"/>
      <c r="AA102" s="146"/>
      <c r="AB102" s="146"/>
      <c r="AC102" s="146"/>
      <c r="AD102" s="145"/>
      <c r="AE102" s="145"/>
      <c r="AF102" s="145"/>
      <c r="AG102" s="145"/>
      <c r="AH102" s="145"/>
      <c r="AI102" s="145"/>
      <c r="AJ102" s="146"/>
      <c r="AK102" s="145"/>
      <c r="AL102" s="145"/>
      <c r="AM102" s="227"/>
      <c r="AN102" s="145"/>
      <c r="AO102" s="145"/>
      <c r="AP102" s="145"/>
      <c r="AQ102" s="145"/>
      <c r="AR102" s="145"/>
      <c r="AS102" s="145"/>
      <c r="AT102" s="145"/>
      <c r="AU102" s="146" t="e">
        <f t="shared" ca="1" si="5"/>
        <v>#VALUE!</v>
      </c>
      <c r="AV102" s="145"/>
      <c r="AW102" s="145"/>
      <c r="AX102" s="532"/>
      <c r="AY102" s="145"/>
      <c r="AZ102" s="145"/>
    </row>
    <row r="103" spans="1:52" s="142" customFormat="1" ht="20.149999999999999" customHeight="1" x14ac:dyDescent="0.3">
      <c r="A103" s="146"/>
      <c r="B103" s="4"/>
      <c r="D103" s="143"/>
      <c r="E103" s="143"/>
      <c r="F103" s="612" t="str">
        <f>Administration!J14</f>
        <v>Commercial Trust Investment (Pvt) Ltd.</v>
      </c>
      <c r="G103" s="143"/>
      <c r="H103" s="143"/>
      <c r="I103" s="143"/>
      <c r="J103" s="143"/>
      <c r="K103" s="143"/>
      <c r="L103" s="143"/>
      <c r="M103" s="227"/>
      <c r="N103" s="146"/>
      <c r="O103" s="146"/>
      <c r="P103" s="227"/>
      <c r="Q103" s="146"/>
      <c r="R103" s="146"/>
      <c r="S103" s="146"/>
      <c r="T103" s="146"/>
      <c r="U103" s="146"/>
      <c r="V103" s="146"/>
      <c r="W103" s="146"/>
      <c r="X103" s="146"/>
      <c r="Y103" s="146"/>
      <c r="Z103" s="146"/>
      <c r="AA103" s="146"/>
      <c r="AB103" s="146"/>
      <c r="AC103" s="146"/>
      <c r="AD103" s="145"/>
      <c r="AE103" s="145"/>
      <c r="AF103" s="145"/>
      <c r="AG103" s="145"/>
      <c r="AH103" s="145"/>
      <c r="AI103" s="145"/>
      <c r="AJ103" s="146"/>
      <c r="AK103" s="145"/>
      <c r="AL103" s="145"/>
      <c r="AM103" s="227"/>
      <c r="AN103" s="145"/>
      <c r="AO103" s="145"/>
      <c r="AP103" s="145"/>
      <c r="AQ103" s="145"/>
      <c r="AR103" s="145"/>
      <c r="AS103" s="145"/>
      <c r="AT103" s="145"/>
      <c r="AU103" s="146" t="e">
        <f t="shared" ca="1" si="5"/>
        <v>#VALUE!</v>
      </c>
      <c r="AV103" s="145"/>
      <c r="AW103" s="145"/>
      <c r="AX103" s="532"/>
      <c r="AY103" s="145"/>
      <c r="AZ103" s="145"/>
    </row>
    <row r="104" spans="1:52" s="142" customFormat="1" ht="20.149999999999999" customHeight="1" x14ac:dyDescent="0.3">
      <c r="A104" s="146"/>
      <c r="B104" s="4"/>
      <c r="D104" s="143"/>
      <c r="E104" s="143"/>
      <c r="F104" s="612" t="str">
        <f>Administration!J15</f>
        <v>David Pieris Leasing</v>
      </c>
      <c r="G104" s="143"/>
      <c r="H104" s="143"/>
      <c r="I104" s="143"/>
      <c r="J104" s="143"/>
      <c r="K104" s="143"/>
      <c r="L104" s="143"/>
      <c r="M104" s="227"/>
      <c r="N104" s="227"/>
      <c r="O104" s="276"/>
      <c r="P104" s="227"/>
      <c r="Q104" s="146"/>
      <c r="R104" s="146"/>
      <c r="S104" s="146"/>
      <c r="T104" s="146"/>
      <c r="U104" s="146"/>
      <c r="V104" s="146"/>
      <c r="W104" s="146"/>
      <c r="X104" s="146"/>
      <c r="Y104" s="146"/>
      <c r="Z104" s="146"/>
      <c r="AA104" s="146"/>
      <c r="AB104" s="146"/>
      <c r="AC104" s="146"/>
      <c r="AD104" s="146"/>
      <c r="AE104" s="146"/>
      <c r="AF104" s="146"/>
      <c r="AG104" s="146"/>
      <c r="AH104" s="146"/>
      <c r="AI104" s="146"/>
      <c r="AJ104" s="146"/>
      <c r="AM104" s="227"/>
      <c r="AU104" s="146" t="e">
        <f t="shared" ca="1" si="5"/>
        <v>#VALUE!</v>
      </c>
      <c r="AX104" s="535"/>
    </row>
    <row r="105" spans="1:52" s="142" customFormat="1" ht="20.149999999999999" customHeight="1" x14ac:dyDescent="0.3">
      <c r="A105" s="146"/>
      <c r="B105" s="4"/>
      <c r="D105" s="143"/>
      <c r="E105" s="143"/>
      <c r="F105" s="612" t="str">
        <f>Administration!J16</f>
        <v>Dharmasiri Investments (Pvt) Ltd.</v>
      </c>
      <c r="G105" s="143"/>
      <c r="H105" s="143"/>
      <c r="I105" s="143"/>
      <c r="J105" s="143"/>
      <c r="K105" s="143"/>
      <c r="L105" s="143"/>
      <c r="M105" s="227"/>
      <c r="N105" s="227"/>
      <c r="O105" s="227"/>
      <c r="P105" s="227"/>
      <c r="Q105" s="146"/>
      <c r="R105" s="146"/>
      <c r="S105" s="146"/>
      <c r="T105" s="146"/>
      <c r="U105" s="146"/>
      <c r="V105" s="146"/>
      <c r="W105" s="146"/>
      <c r="X105" s="146"/>
      <c r="Y105" s="146"/>
      <c r="Z105" s="146"/>
      <c r="AA105" s="146"/>
      <c r="AB105" s="146"/>
      <c r="AC105" s="146"/>
      <c r="AD105" s="146"/>
      <c r="AE105" s="146"/>
      <c r="AF105" s="146"/>
      <c r="AG105" s="146"/>
      <c r="AH105" s="146"/>
      <c r="AI105" s="146"/>
      <c r="AJ105" s="146"/>
      <c r="AM105" s="227"/>
      <c r="AU105" s="146" t="e">
        <f t="shared" ca="1" si="5"/>
        <v>#VALUE!</v>
      </c>
      <c r="AX105" s="535"/>
    </row>
    <row r="106" spans="1:52" s="142" customFormat="1" ht="20.149999999999999" customHeight="1" x14ac:dyDescent="0.3">
      <c r="A106" s="146"/>
      <c r="B106" s="4"/>
      <c r="D106" s="143"/>
      <c r="E106" s="143"/>
      <c r="F106" s="612" t="str">
        <f>Administration!J17</f>
        <v>Indra Finance Ltd.</v>
      </c>
      <c r="G106" s="143"/>
      <c r="H106" s="143"/>
      <c r="I106" s="143"/>
      <c r="J106" s="143"/>
      <c r="K106" s="143"/>
      <c r="L106" s="143"/>
      <c r="M106" s="227"/>
      <c r="N106" s="227"/>
      <c r="O106" s="227"/>
      <c r="P106" s="227"/>
      <c r="Q106" s="146"/>
      <c r="R106" s="146"/>
      <c r="S106" s="146"/>
      <c r="T106" s="146"/>
      <c r="U106" s="146"/>
      <c r="V106" s="146"/>
      <c r="W106" s="146"/>
      <c r="X106" s="146"/>
      <c r="Y106" s="146"/>
      <c r="Z106" s="146"/>
      <c r="AA106" s="146"/>
      <c r="AB106" s="146"/>
      <c r="AC106" s="146"/>
      <c r="AD106" s="146"/>
      <c r="AE106" s="146"/>
      <c r="AF106" s="146"/>
      <c r="AG106" s="146"/>
      <c r="AH106" s="146"/>
      <c r="AI106" s="146"/>
      <c r="AJ106" s="146"/>
      <c r="AM106" s="227"/>
      <c r="AU106" s="146" t="e">
        <f t="shared" ca="1" si="5"/>
        <v>#VALUE!</v>
      </c>
      <c r="AX106" s="535"/>
    </row>
    <row r="107" spans="1:52" s="142" customFormat="1" ht="20.149999999999999" customHeight="1" x14ac:dyDescent="0.3">
      <c r="A107" s="146"/>
      <c r="B107" s="4"/>
      <c r="D107" s="143"/>
      <c r="E107" s="143"/>
      <c r="F107" s="612" t="str">
        <f>Administration!J18</f>
        <v>L B Finance PLC</v>
      </c>
      <c r="G107" s="143"/>
      <c r="H107" s="143"/>
      <c r="I107" s="143"/>
      <c r="J107" s="143"/>
      <c r="K107" s="143"/>
      <c r="L107" s="143"/>
      <c r="M107" s="143"/>
      <c r="N107" s="143"/>
      <c r="O107" s="143"/>
      <c r="Q107" s="146"/>
      <c r="R107" s="146"/>
      <c r="S107" s="146"/>
      <c r="T107" s="146"/>
      <c r="U107" s="146"/>
      <c r="V107" s="146"/>
      <c r="W107" s="146"/>
      <c r="X107" s="146"/>
      <c r="Y107" s="146"/>
      <c r="Z107" s="146"/>
      <c r="AA107" s="146"/>
      <c r="AB107" s="146"/>
      <c r="AC107" s="146"/>
      <c r="AD107" s="146"/>
      <c r="AE107" s="146"/>
      <c r="AF107" s="146"/>
      <c r="AG107" s="146"/>
      <c r="AH107" s="146"/>
      <c r="AI107" s="146"/>
      <c r="AJ107" s="146"/>
      <c r="AM107" s="227"/>
      <c r="AU107" s="146"/>
      <c r="AX107" s="535"/>
    </row>
    <row r="108" spans="1:52" s="142" customFormat="1" ht="20.149999999999999" customHeight="1" x14ac:dyDescent="0.3">
      <c r="A108" s="146"/>
      <c r="B108" s="4"/>
      <c r="D108" s="143"/>
      <c r="E108" s="143"/>
      <c r="F108" s="612" t="str">
        <f>Administration!J19</f>
        <v>Lanka ORIX Finance PLC</v>
      </c>
      <c r="G108" s="143"/>
      <c r="H108" s="143"/>
      <c r="I108" s="143"/>
      <c r="J108" s="143"/>
      <c r="K108" s="143"/>
      <c r="L108" s="143"/>
      <c r="M108" s="143"/>
      <c r="N108" s="143"/>
      <c r="O108" s="143"/>
      <c r="Q108" s="146"/>
      <c r="R108" s="146"/>
      <c r="S108" s="146"/>
      <c r="T108" s="146"/>
      <c r="U108" s="146"/>
      <c r="V108" s="146"/>
      <c r="W108" s="146"/>
      <c r="X108" s="146"/>
      <c r="Y108" s="146"/>
      <c r="Z108" s="146"/>
      <c r="AA108" s="146"/>
      <c r="AB108" s="146"/>
      <c r="AC108" s="146"/>
      <c r="AD108" s="146"/>
      <c r="AE108" s="146"/>
      <c r="AF108" s="146"/>
      <c r="AG108" s="146"/>
      <c r="AH108" s="146"/>
      <c r="AI108" s="146"/>
      <c r="AJ108" s="146"/>
      <c r="AM108" s="227"/>
      <c r="AU108" s="146" t="e">
        <f ca="1">AU106+1</f>
        <v>#VALUE!</v>
      </c>
      <c r="AX108" s="535"/>
    </row>
    <row r="109" spans="1:52" s="142" customFormat="1" ht="28" x14ac:dyDescent="0.3">
      <c r="A109" s="146"/>
      <c r="B109" s="4"/>
      <c r="D109" s="143"/>
      <c r="E109" s="143"/>
      <c r="F109" s="612" t="str">
        <f>Administration!J20</f>
        <v>Matara District Capital Co-op Society Ltd</v>
      </c>
      <c r="G109" s="143"/>
      <c r="H109" s="143"/>
      <c r="I109" s="143"/>
      <c r="J109" s="143"/>
      <c r="K109" s="143"/>
      <c r="L109" s="143"/>
      <c r="M109" s="143"/>
      <c r="N109" s="143"/>
      <c r="O109" s="143"/>
      <c r="Q109" s="146"/>
      <c r="R109" s="146"/>
      <c r="S109" s="146"/>
      <c r="T109" s="146"/>
      <c r="U109" s="146"/>
      <c r="V109" s="146"/>
      <c r="W109" s="146"/>
      <c r="X109" s="146"/>
      <c r="Y109" s="146"/>
      <c r="Z109" s="146"/>
      <c r="AA109" s="146"/>
      <c r="AB109" s="146"/>
      <c r="AC109" s="146"/>
      <c r="AD109" s="146"/>
      <c r="AE109" s="146"/>
      <c r="AF109" s="146"/>
      <c r="AG109" s="146"/>
      <c r="AH109" s="146"/>
      <c r="AI109" s="146"/>
      <c r="AJ109" s="146"/>
      <c r="AM109" s="227"/>
      <c r="AU109" s="146" t="e">
        <f t="shared" ref="AU109:AU153" ca="1" si="6">AU108+1</f>
        <v>#VALUE!</v>
      </c>
      <c r="AX109" s="535"/>
    </row>
    <row r="110" spans="1:52" s="142" customFormat="1" ht="28" x14ac:dyDescent="0.3">
      <c r="A110" s="146"/>
      <c r="B110" s="4"/>
      <c r="D110" s="143"/>
      <c r="E110" s="143"/>
      <c r="F110" s="612" t="str">
        <f>Administration!J21</f>
        <v>Mercantile Investments &amp; Finance PLC</v>
      </c>
      <c r="G110" s="143"/>
      <c r="H110" s="143"/>
      <c r="I110" s="143"/>
      <c r="J110" s="143"/>
      <c r="K110" s="143"/>
      <c r="L110" s="143"/>
      <c r="M110" s="143"/>
      <c r="O110" s="143"/>
      <c r="Q110" s="146"/>
      <c r="R110" s="146"/>
      <c r="S110" s="146"/>
      <c r="T110" s="146"/>
      <c r="U110" s="146"/>
      <c r="V110" s="146"/>
      <c r="W110" s="146"/>
      <c r="X110" s="146"/>
      <c r="Y110" s="146"/>
      <c r="Z110" s="146"/>
      <c r="AA110" s="146"/>
      <c r="AB110" s="146"/>
      <c r="AC110" s="146"/>
      <c r="AD110" s="146"/>
      <c r="AE110" s="146"/>
      <c r="AF110" s="146"/>
      <c r="AG110" s="146"/>
      <c r="AH110" s="146"/>
      <c r="AI110" s="146"/>
      <c r="AJ110" s="146"/>
      <c r="AM110" s="227"/>
      <c r="AU110" s="146" t="e">
        <f t="shared" ca="1" si="6"/>
        <v>#VALUE!</v>
      </c>
      <c r="AX110" s="535"/>
    </row>
    <row r="111" spans="1:52" s="142" customFormat="1" x14ac:dyDescent="0.3">
      <c r="A111" s="146"/>
      <c r="B111" s="4"/>
      <c r="D111" s="143"/>
      <c r="E111" s="143"/>
      <c r="F111" s="612" t="str">
        <f>Administration!J22</f>
        <v>Merchant Bank of Sri Lanka PLC</v>
      </c>
      <c r="G111" s="143"/>
      <c r="H111" s="143"/>
      <c r="I111" s="143"/>
      <c r="J111" s="143"/>
      <c r="K111" s="143"/>
      <c r="L111" s="143"/>
      <c r="M111" s="143"/>
      <c r="O111" s="143"/>
      <c r="Q111" s="146"/>
      <c r="R111" s="146"/>
      <c r="S111" s="146"/>
      <c r="T111" s="146"/>
      <c r="U111" s="146"/>
      <c r="V111" s="146"/>
      <c r="W111" s="146"/>
      <c r="X111" s="146"/>
      <c r="Y111" s="146"/>
      <c r="Z111" s="146"/>
      <c r="AA111" s="146"/>
      <c r="AB111" s="146"/>
      <c r="AC111" s="146"/>
      <c r="AD111" s="146"/>
      <c r="AE111" s="146"/>
      <c r="AF111" s="146"/>
      <c r="AG111" s="146"/>
      <c r="AH111" s="146"/>
      <c r="AI111" s="146"/>
      <c r="AJ111" s="146"/>
      <c r="AM111" s="227"/>
      <c r="AU111" s="146" t="e">
        <f t="shared" ca="1" si="6"/>
        <v>#VALUE!</v>
      </c>
      <c r="AX111" s="535"/>
    </row>
    <row r="112" spans="1:52" s="142" customFormat="1" x14ac:dyDescent="0.3">
      <c r="A112" s="146"/>
      <c r="B112" s="4"/>
      <c r="D112" s="143"/>
      <c r="E112" s="143"/>
      <c r="F112" s="612" t="str">
        <f>Administration!J23</f>
        <v>Merchant Credit of Sri Lanka Ltd</v>
      </c>
      <c r="G112" s="143"/>
      <c r="H112" s="143"/>
      <c r="I112" s="143"/>
      <c r="J112" s="143"/>
      <c r="K112" s="143"/>
      <c r="L112" s="143"/>
      <c r="M112" s="143"/>
      <c r="O112" s="143"/>
      <c r="Q112" s="146"/>
      <c r="R112" s="146"/>
      <c r="S112" s="146"/>
      <c r="T112" s="146"/>
      <c r="U112" s="146"/>
      <c r="V112" s="146"/>
      <c r="W112" s="146"/>
      <c r="X112" s="146"/>
      <c r="Y112" s="146"/>
      <c r="Z112" s="146"/>
      <c r="AA112" s="146"/>
      <c r="AB112" s="146"/>
      <c r="AC112" s="146"/>
      <c r="AD112" s="146"/>
      <c r="AE112" s="146"/>
      <c r="AF112" s="146"/>
      <c r="AG112" s="146"/>
      <c r="AH112" s="146"/>
      <c r="AI112" s="146"/>
      <c r="AJ112" s="146"/>
      <c r="AM112" s="227"/>
      <c r="AU112" s="146" t="e">
        <f t="shared" ca="1" si="6"/>
        <v>#VALUE!</v>
      </c>
      <c r="AX112" s="535"/>
    </row>
    <row r="113" spans="1:50" s="142" customFormat="1" x14ac:dyDescent="0.3">
      <c r="A113" s="146"/>
      <c r="B113" s="4"/>
      <c r="D113" s="143"/>
      <c r="E113" s="143"/>
      <c r="F113" s="612" t="str">
        <f>Administration!J24</f>
        <v>Nations Lanka Finance PLC</v>
      </c>
      <c r="G113" s="143"/>
      <c r="H113" s="143"/>
      <c r="I113" s="143"/>
      <c r="J113" s="143"/>
      <c r="K113" s="143"/>
      <c r="L113" s="143"/>
      <c r="M113" s="143"/>
      <c r="O113" s="143"/>
      <c r="Q113" s="146"/>
      <c r="R113" s="146"/>
      <c r="S113" s="146"/>
      <c r="T113" s="146"/>
      <c r="U113" s="146"/>
      <c r="V113" s="146"/>
      <c r="W113" s="146"/>
      <c r="X113" s="146"/>
      <c r="Y113" s="146"/>
      <c r="Z113" s="146"/>
      <c r="AA113" s="146"/>
      <c r="AB113" s="146"/>
      <c r="AC113" s="146"/>
      <c r="AD113" s="146"/>
      <c r="AE113" s="146"/>
      <c r="AF113" s="146"/>
      <c r="AG113" s="146"/>
      <c r="AH113" s="146"/>
      <c r="AI113" s="146"/>
      <c r="AJ113" s="146"/>
      <c r="AM113" s="227"/>
      <c r="AU113" s="146" t="e">
        <f t="shared" ca="1" si="6"/>
        <v>#VALUE!</v>
      </c>
      <c r="AX113" s="535"/>
    </row>
    <row r="114" spans="1:50" s="142" customFormat="1" x14ac:dyDescent="0.3">
      <c r="A114" s="146"/>
      <c r="B114" s="4"/>
      <c r="D114" s="143"/>
      <c r="E114" s="143"/>
      <c r="F114" s="612" t="str">
        <f>Administration!J25</f>
        <v>Omek Investments</v>
      </c>
      <c r="G114" s="143"/>
      <c r="H114" s="143"/>
      <c r="I114" s="143"/>
      <c r="J114" s="143"/>
      <c r="K114" s="143"/>
      <c r="L114" s="143"/>
      <c r="M114" s="143"/>
      <c r="O114" s="143"/>
      <c r="Q114" s="227"/>
      <c r="AJ114" s="146"/>
      <c r="AM114" s="227"/>
      <c r="AU114" s="146" t="e">
        <f t="shared" ca="1" si="6"/>
        <v>#VALUE!</v>
      </c>
      <c r="AX114" s="535"/>
    </row>
    <row r="115" spans="1:50" s="142" customFormat="1" x14ac:dyDescent="0.3">
      <c r="A115" s="146"/>
      <c r="B115" s="4"/>
      <c r="D115" s="143"/>
      <c r="E115" s="143"/>
      <c r="F115" s="612" t="str">
        <f>Administration!J26</f>
        <v>People's Leasing Company PLC</v>
      </c>
      <c r="G115" s="143"/>
      <c r="H115" s="143"/>
      <c r="I115" s="143"/>
      <c r="J115" s="143"/>
      <c r="K115" s="143"/>
      <c r="L115" s="143"/>
      <c r="M115" s="143"/>
      <c r="O115" s="143"/>
      <c r="Q115" s="227"/>
      <c r="AJ115" s="146"/>
      <c r="AM115" s="227"/>
      <c r="AU115" s="146" t="e">
        <f t="shared" ca="1" si="6"/>
        <v>#VALUE!</v>
      </c>
      <c r="AX115" s="535"/>
    </row>
    <row r="116" spans="1:50" s="142" customFormat="1" x14ac:dyDescent="0.3">
      <c r="A116" s="146"/>
      <c r="B116" s="4"/>
      <c r="D116" s="143"/>
      <c r="E116" s="143"/>
      <c r="F116" s="612" t="str">
        <f>Administration!J27</f>
        <v>Singer Finance (Lanka) PLC</v>
      </c>
      <c r="G116" s="143"/>
      <c r="H116" s="143"/>
      <c r="I116" s="143"/>
      <c r="J116" s="143"/>
      <c r="K116" s="143"/>
      <c r="L116" s="143"/>
      <c r="M116" s="143"/>
      <c r="O116" s="143"/>
      <c r="Q116" s="227"/>
      <c r="AJ116" s="146"/>
      <c r="AM116" s="227"/>
      <c r="AU116" s="146" t="e">
        <f t="shared" ca="1" si="6"/>
        <v>#VALUE!</v>
      </c>
      <c r="AX116" s="535"/>
    </row>
    <row r="117" spans="1:50" s="142" customFormat="1" x14ac:dyDescent="0.3">
      <c r="A117" s="146"/>
      <c r="B117" s="4"/>
      <c r="D117" s="143"/>
      <c r="E117" s="143"/>
      <c r="F117" s="612" t="str">
        <f>Administration!J28</f>
        <v>SN Finance</v>
      </c>
      <c r="G117" s="143"/>
      <c r="H117" s="143"/>
      <c r="I117" s="143"/>
      <c r="J117" s="143"/>
      <c r="K117" s="143"/>
      <c r="L117" s="143"/>
      <c r="M117" s="143"/>
      <c r="O117" s="143"/>
      <c r="Q117" s="227"/>
      <c r="AJ117" s="146"/>
      <c r="AM117" s="227"/>
      <c r="AU117" s="146" t="e">
        <f t="shared" ca="1" si="6"/>
        <v>#VALUE!</v>
      </c>
      <c r="AX117" s="535"/>
    </row>
    <row r="118" spans="1:50" s="142" customFormat="1" x14ac:dyDescent="0.3">
      <c r="A118" s="146"/>
      <c r="B118" s="4"/>
      <c r="F118" s="612" t="str">
        <f>Administration!J29</f>
        <v>Softlogic Finance PLC</v>
      </c>
      <c r="O118" s="143"/>
      <c r="Q118" s="227"/>
      <c r="AJ118" s="146"/>
      <c r="AM118" s="227"/>
      <c r="AU118" s="146" t="e">
        <f t="shared" ca="1" si="6"/>
        <v>#VALUE!</v>
      </c>
      <c r="AX118" s="535"/>
    </row>
    <row r="119" spans="1:50" s="142" customFormat="1" x14ac:dyDescent="0.3">
      <c r="A119" s="146"/>
      <c r="B119" s="4"/>
      <c r="F119" s="612" t="str">
        <f>Administration!J30</f>
        <v>Thamalu Enterprises</v>
      </c>
      <c r="O119" s="143"/>
      <c r="Q119" s="227"/>
      <c r="AJ119" s="146"/>
      <c r="AM119" s="227"/>
      <c r="AU119" s="146" t="e">
        <f t="shared" ca="1" si="6"/>
        <v>#VALUE!</v>
      </c>
      <c r="AX119" s="535"/>
    </row>
    <row r="120" spans="1:50" s="142" customFormat="1" x14ac:dyDescent="0.3">
      <c r="A120" s="146"/>
      <c r="B120" s="4"/>
      <c r="F120" s="612" t="str">
        <f>Administration!J31</f>
        <v>Trade Finance</v>
      </c>
      <c r="O120" s="143"/>
      <c r="Q120" s="227"/>
      <c r="AJ120" s="146"/>
      <c r="AM120" s="227"/>
      <c r="AU120" s="146" t="e">
        <f t="shared" ca="1" si="6"/>
        <v>#VALUE!</v>
      </c>
      <c r="AX120" s="535"/>
    </row>
    <row r="121" spans="1:50" s="142" customFormat="1" x14ac:dyDescent="0.3">
      <c r="A121" s="146"/>
      <c r="B121" s="4"/>
      <c r="F121" s="612" t="str">
        <f>Administration!J32</f>
        <v>UB Finance</v>
      </c>
      <c r="O121" s="143"/>
      <c r="Q121" s="227"/>
      <c r="AJ121" s="146"/>
      <c r="AM121" s="227"/>
      <c r="AU121" s="146" t="e">
        <f t="shared" ca="1" si="6"/>
        <v>#VALUE!</v>
      </c>
      <c r="AX121" s="535"/>
    </row>
    <row r="122" spans="1:50" s="142" customFormat="1" x14ac:dyDescent="0.3">
      <c r="A122" s="146"/>
      <c r="B122" s="4"/>
      <c r="F122" s="612" t="str">
        <f>Administration!J33</f>
        <v>Vallibel Finance PLC</v>
      </c>
      <c r="O122" s="143"/>
      <c r="Q122" s="227"/>
      <c r="AJ122" s="146"/>
      <c r="AM122" s="227"/>
      <c r="AU122" s="146" t="e">
        <f t="shared" ca="1" si="6"/>
        <v>#VALUE!</v>
      </c>
      <c r="AX122" s="535"/>
    </row>
    <row r="123" spans="1:50" s="142" customFormat="1" x14ac:dyDescent="0.3">
      <c r="A123" s="146"/>
      <c r="B123" s="4"/>
      <c r="F123" s="612">
        <f>Administration!J34</f>
        <v>0</v>
      </c>
      <c r="O123" s="143"/>
      <c r="Q123" s="227"/>
      <c r="AJ123" s="146"/>
      <c r="AM123" s="227"/>
      <c r="AU123" s="146" t="e">
        <f t="shared" ca="1" si="6"/>
        <v>#VALUE!</v>
      </c>
      <c r="AX123" s="535"/>
    </row>
    <row r="124" spans="1:50" s="142" customFormat="1" x14ac:dyDescent="0.3">
      <c r="A124" s="146"/>
      <c r="B124" s="4"/>
      <c r="F124" s="612">
        <f>Administration!J35</f>
        <v>0</v>
      </c>
      <c r="O124" s="143"/>
      <c r="Q124" s="227"/>
      <c r="AJ124" s="146"/>
      <c r="AM124" s="227"/>
      <c r="AU124" s="146" t="e">
        <f t="shared" ca="1" si="6"/>
        <v>#VALUE!</v>
      </c>
      <c r="AX124" s="535"/>
    </row>
    <row r="125" spans="1:50" s="142" customFormat="1" x14ac:dyDescent="0.3">
      <c r="A125" s="146"/>
      <c r="B125" s="4"/>
      <c r="F125" s="612">
        <f>Administration!J36</f>
        <v>0</v>
      </c>
      <c r="O125" s="143"/>
      <c r="Q125" s="227"/>
      <c r="AJ125" s="146"/>
      <c r="AM125" s="227"/>
      <c r="AU125" s="146" t="e">
        <f t="shared" ca="1" si="6"/>
        <v>#VALUE!</v>
      </c>
      <c r="AX125" s="535"/>
    </row>
    <row r="126" spans="1:50" s="142" customFormat="1" x14ac:dyDescent="0.3">
      <c r="A126" s="146"/>
      <c r="B126" s="4"/>
      <c r="F126" s="612">
        <f>Administration!J37</f>
        <v>0</v>
      </c>
      <c r="O126" s="143"/>
      <c r="Q126" s="227"/>
      <c r="AJ126" s="146"/>
      <c r="AM126" s="227"/>
      <c r="AU126" s="146" t="e">
        <f t="shared" ca="1" si="6"/>
        <v>#VALUE!</v>
      </c>
      <c r="AX126" s="535"/>
    </row>
    <row r="127" spans="1:50" s="142" customFormat="1" x14ac:dyDescent="0.3">
      <c r="A127" s="146"/>
      <c r="B127" s="4"/>
      <c r="F127" s="612">
        <f>Administration!J38</f>
        <v>0</v>
      </c>
      <c r="O127" s="143"/>
      <c r="Q127" s="227"/>
      <c r="AJ127" s="146"/>
      <c r="AM127" s="227"/>
      <c r="AU127" s="146" t="e">
        <f t="shared" ca="1" si="6"/>
        <v>#VALUE!</v>
      </c>
      <c r="AX127" s="535"/>
    </row>
    <row r="128" spans="1:50" s="142" customFormat="1" x14ac:dyDescent="0.3">
      <c r="A128" s="146"/>
      <c r="B128" s="4"/>
      <c r="F128" s="612">
        <f>Administration!J39</f>
        <v>0</v>
      </c>
      <c r="O128" s="143"/>
      <c r="Q128" s="227"/>
      <c r="AJ128" s="146"/>
      <c r="AM128" s="227"/>
      <c r="AU128" s="146" t="e">
        <f t="shared" ca="1" si="6"/>
        <v>#VALUE!</v>
      </c>
      <c r="AX128" s="535"/>
    </row>
    <row r="129" spans="1:50" s="142" customFormat="1" x14ac:dyDescent="0.3">
      <c r="A129" s="146"/>
      <c r="B129" s="4"/>
      <c r="F129" s="612">
        <f>Administration!J40</f>
        <v>0</v>
      </c>
      <c r="O129" s="143"/>
      <c r="Q129" s="227"/>
      <c r="AJ129" s="146"/>
      <c r="AM129" s="227"/>
      <c r="AU129" s="146" t="e">
        <f t="shared" ca="1" si="6"/>
        <v>#VALUE!</v>
      </c>
      <c r="AX129" s="535"/>
    </row>
    <row r="130" spans="1:50" s="142" customFormat="1" x14ac:dyDescent="0.3">
      <c r="A130" s="146"/>
      <c r="B130" s="4"/>
      <c r="F130" s="612">
        <f>Administration!J41</f>
        <v>0</v>
      </c>
      <c r="O130" s="143"/>
      <c r="Q130" s="227"/>
      <c r="AJ130" s="146"/>
      <c r="AM130" s="227"/>
      <c r="AU130" s="146" t="e">
        <f t="shared" ca="1" si="6"/>
        <v>#VALUE!</v>
      </c>
      <c r="AX130" s="535"/>
    </row>
    <row r="131" spans="1:50" s="142" customFormat="1" x14ac:dyDescent="0.3">
      <c r="A131" s="146"/>
      <c r="B131" s="4"/>
      <c r="F131" s="612">
        <f>Administration!J42</f>
        <v>0</v>
      </c>
      <c r="O131" s="143"/>
      <c r="Q131" s="227"/>
      <c r="AJ131" s="146"/>
      <c r="AM131" s="227"/>
      <c r="AU131" s="146" t="e">
        <f t="shared" ca="1" si="6"/>
        <v>#VALUE!</v>
      </c>
      <c r="AX131" s="535"/>
    </row>
    <row r="132" spans="1:50" s="142" customFormat="1" x14ac:dyDescent="0.3">
      <c r="A132" s="146"/>
      <c r="B132" s="4"/>
      <c r="F132" s="612">
        <f>Administration!J43</f>
        <v>0</v>
      </c>
      <c r="O132" s="143"/>
      <c r="Q132" s="227"/>
      <c r="AJ132" s="146"/>
      <c r="AM132" s="227"/>
      <c r="AU132" s="146" t="e">
        <f t="shared" ca="1" si="6"/>
        <v>#VALUE!</v>
      </c>
      <c r="AX132" s="535"/>
    </row>
    <row r="133" spans="1:50" s="142" customFormat="1" x14ac:dyDescent="0.3">
      <c r="A133" s="146"/>
      <c r="B133" s="4"/>
      <c r="F133" s="612">
        <f>Administration!J44</f>
        <v>0</v>
      </c>
      <c r="O133" s="143"/>
      <c r="Q133" s="227"/>
      <c r="AJ133" s="146"/>
      <c r="AM133" s="227"/>
      <c r="AU133" s="146" t="e">
        <f t="shared" ca="1" si="6"/>
        <v>#VALUE!</v>
      </c>
      <c r="AX133" s="535"/>
    </row>
    <row r="134" spans="1:50" s="142" customFormat="1" x14ac:dyDescent="0.3">
      <c r="A134" s="146"/>
      <c r="B134" s="4"/>
      <c r="F134" s="612">
        <f>Administration!J45</f>
        <v>0</v>
      </c>
      <c r="O134" s="143"/>
      <c r="Q134" s="227"/>
      <c r="AJ134" s="146"/>
      <c r="AM134" s="227"/>
      <c r="AU134" s="146" t="e">
        <f t="shared" ca="1" si="6"/>
        <v>#VALUE!</v>
      </c>
      <c r="AX134" s="535"/>
    </row>
    <row r="135" spans="1:50" s="142" customFormat="1" x14ac:dyDescent="0.3">
      <c r="A135" s="146"/>
      <c r="B135" s="4"/>
      <c r="F135" s="612">
        <f>Administration!J46</f>
        <v>0</v>
      </c>
      <c r="O135" s="143"/>
      <c r="Q135" s="227"/>
      <c r="AJ135" s="146"/>
      <c r="AM135" s="227"/>
      <c r="AU135" s="146" t="e">
        <f t="shared" ca="1" si="6"/>
        <v>#VALUE!</v>
      </c>
      <c r="AX135" s="535"/>
    </row>
    <row r="136" spans="1:50" s="142" customFormat="1" x14ac:dyDescent="0.3">
      <c r="A136" s="146"/>
      <c r="B136" s="4"/>
      <c r="F136" s="612">
        <f>Administration!J47</f>
        <v>0</v>
      </c>
      <c r="O136" s="143"/>
      <c r="Q136" s="227"/>
      <c r="AJ136" s="146"/>
      <c r="AM136" s="227"/>
      <c r="AU136" s="146" t="e">
        <f t="shared" ca="1" si="6"/>
        <v>#VALUE!</v>
      </c>
      <c r="AX136" s="535"/>
    </row>
    <row r="137" spans="1:50" s="142" customFormat="1" x14ac:dyDescent="0.3">
      <c r="A137" s="146"/>
      <c r="B137" s="4"/>
      <c r="F137" s="612">
        <f>Administration!J48</f>
        <v>0</v>
      </c>
      <c r="O137" s="143"/>
      <c r="Q137" s="227"/>
      <c r="AJ137" s="146"/>
      <c r="AM137" s="227"/>
      <c r="AU137" s="146" t="e">
        <f t="shared" ca="1" si="6"/>
        <v>#VALUE!</v>
      </c>
      <c r="AX137" s="535"/>
    </row>
    <row r="138" spans="1:50" s="142" customFormat="1" x14ac:dyDescent="0.3">
      <c r="A138" s="146"/>
      <c r="B138" s="4"/>
      <c r="F138" s="612">
        <f>Administration!J49</f>
        <v>0</v>
      </c>
      <c r="O138" s="143"/>
      <c r="Q138" s="227"/>
      <c r="AJ138" s="146"/>
      <c r="AM138" s="227"/>
      <c r="AU138" s="146" t="e">
        <f t="shared" ca="1" si="6"/>
        <v>#VALUE!</v>
      </c>
      <c r="AX138" s="535"/>
    </row>
    <row r="139" spans="1:50" s="142" customFormat="1" x14ac:dyDescent="0.3">
      <c r="A139" s="146"/>
      <c r="B139" s="4"/>
      <c r="F139" s="612">
        <f>Administration!J50</f>
        <v>0</v>
      </c>
      <c r="O139" s="143"/>
      <c r="Q139" s="227"/>
      <c r="AJ139" s="146"/>
      <c r="AM139" s="227"/>
      <c r="AU139" s="146" t="e">
        <f t="shared" ca="1" si="6"/>
        <v>#VALUE!</v>
      </c>
      <c r="AX139" s="535"/>
    </row>
    <row r="140" spans="1:50" s="142" customFormat="1" x14ac:dyDescent="0.3">
      <c r="A140" s="146"/>
      <c r="B140" s="4"/>
      <c r="F140" s="612">
        <f>Administration!J51</f>
        <v>0</v>
      </c>
      <c r="O140" s="143"/>
      <c r="Q140" s="227"/>
      <c r="AJ140" s="146"/>
      <c r="AM140" s="227"/>
      <c r="AU140" s="146" t="e">
        <f t="shared" ca="1" si="6"/>
        <v>#VALUE!</v>
      </c>
      <c r="AX140" s="535"/>
    </row>
    <row r="141" spans="1:50" s="142" customFormat="1" x14ac:dyDescent="0.3">
      <c r="A141" s="146"/>
      <c r="B141" s="4"/>
      <c r="F141" s="612">
        <f>Administration!J52</f>
        <v>0</v>
      </c>
      <c r="O141" s="143"/>
      <c r="Q141" s="227"/>
      <c r="AJ141" s="146"/>
      <c r="AM141" s="227"/>
      <c r="AU141" s="146" t="e">
        <f t="shared" ca="1" si="6"/>
        <v>#VALUE!</v>
      </c>
      <c r="AX141" s="535"/>
    </row>
    <row r="142" spans="1:50" s="142" customFormat="1" x14ac:dyDescent="0.3">
      <c r="A142" s="146"/>
      <c r="B142" s="4"/>
      <c r="F142" s="612">
        <f>Administration!J53</f>
        <v>0</v>
      </c>
      <c r="O142" s="143"/>
      <c r="Q142" s="227"/>
      <c r="AJ142" s="146"/>
      <c r="AM142" s="227"/>
      <c r="AU142" s="146" t="e">
        <f t="shared" ca="1" si="6"/>
        <v>#VALUE!</v>
      </c>
      <c r="AX142" s="535"/>
    </row>
    <row r="143" spans="1:50" s="142" customFormat="1" x14ac:dyDescent="0.3">
      <c r="A143" s="146"/>
      <c r="B143" s="4"/>
      <c r="F143" s="612">
        <f>Administration!J54</f>
        <v>0</v>
      </c>
      <c r="O143" s="143"/>
      <c r="Q143" s="227"/>
      <c r="AJ143" s="146"/>
      <c r="AM143" s="227"/>
      <c r="AU143" s="146" t="e">
        <f t="shared" ca="1" si="6"/>
        <v>#VALUE!</v>
      </c>
      <c r="AX143" s="535"/>
    </row>
    <row r="144" spans="1:50" s="142" customFormat="1" x14ac:dyDescent="0.3">
      <c r="A144" s="146"/>
      <c r="B144" s="4"/>
      <c r="F144" s="612">
        <f>Administration!J55</f>
        <v>0</v>
      </c>
      <c r="O144" s="143"/>
      <c r="Q144" s="227"/>
      <c r="AJ144" s="146"/>
      <c r="AM144" s="227"/>
      <c r="AU144" s="146" t="e">
        <f t="shared" ca="1" si="6"/>
        <v>#VALUE!</v>
      </c>
      <c r="AX144" s="535"/>
    </row>
    <row r="145" spans="1:50" s="142" customFormat="1" x14ac:dyDescent="0.3">
      <c r="A145" s="146"/>
      <c r="B145" s="4"/>
      <c r="F145" s="612">
        <f>Administration!J56</f>
        <v>0</v>
      </c>
      <c r="O145" s="143"/>
      <c r="Q145" s="227"/>
      <c r="AJ145" s="146"/>
      <c r="AM145" s="227"/>
      <c r="AU145" s="146" t="e">
        <f t="shared" ca="1" si="6"/>
        <v>#VALUE!</v>
      </c>
      <c r="AX145" s="535"/>
    </row>
    <row r="146" spans="1:50" s="142" customFormat="1" x14ac:dyDescent="0.3">
      <c r="A146" s="146"/>
      <c r="B146" s="4"/>
      <c r="F146" s="612">
        <f>Administration!J57</f>
        <v>0</v>
      </c>
      <c r="O146" s="143"/>
      <c r="Q146" s="227"/>
      <c r="AJ146" s="146"/>
      <c r="AM146" s="227"/>
      <c r="AU146" s="146" t="e">
        <f t="shared" ca="1" si="6"/>
        <v>#VALUE!</v>
      </c>
      <c r="AX146" s="535"/>
    </row>
    <row r="147" spans="1:50" s="142" customFormat="1" x14ac:dyDescent="0.3">
      <c r="A147" s="146"/>
      <c r="B147" s="4"/>
      <c r="F147" s="612">
        <f>Administration!J58</f>
        <v>0</v>
      </c>
      <c r="O147" s="143"/>
      <c r="Q147" s="227"/>
      <c r="AJ147" s="146"/>
      <c r="AM147" s="227"/>
      <c r="AU147" s="146" t="e">
        <f t="shared" ca="1" si="6"/>
        <v>#VALUE!</v>
      </c>
      <c r="AX147" s="535"/>
    </row>
    <row r="148" spans="1:50" s="142" customFormat="1" x14ac:dyDescent="0.3">
      <c r="A148" s="146"/>
      <c r="B148" s="4"/>
      <c r="F148" s="612">
        <f>Administration!J59</f>
        <v>0</v>
      </c>
      <c r="O148" s="143"/>
      <c r="Q148" s="227"/>
      <c r="AJ148" s="146"/>
      <c r="AM148" s="227"/>
      <c r="AU148" s="146" t="e">
        <f t="shared" ca="1" si="6"/>
        <v>#VALUE!</v>
      </c>
      <c r="AX148" s="535"/>
    </row>
    <row r="149" spans="1:50" s="142" customFormat="1" x14ac:dyDescent="0.3">
      <c r="A149" s="146"/>
      <c r="B149" s="4"/>
      <c r="F149" s="612">
        <f>Administration!J60</f>
        <v>0</v>
      </c>
      <c r="O149" s="143"/>
      <c r="Q149" s="227"/>
      <c r="AJ149" s="146"/>
      <c r="AM149" s="227"/>
      <c r="AU149" s="146" t="e">
        <f t="shared" ca="1" si="6"/>
        <v>#VALUE!</v>
      </c>
      <c r="AX149" s="535"/>
    </row>
    <row r="150" spans="1:50" s="142" customFormat="1" x14ac:dyDescent="0.3">
      <c r="A150" s="146"/>
      <c r="B150" s="4"/>
      <c r="F150" s="612">
        <f>Administration!J61</f>
        <v>0</v>
      </c>
      <c r="O150" s="143"/>
      <c r="Q150" s="227"/>
      <c r="AJ150" s="146"/>
      <c r="AM150" s="227"/>
      <c r="AU150" s="146" t="e">
        <f t="shared" ca="1" si="6"/>
        <v>#VALUE!</v>
      </c>
      <c r="AX150" s="535"/>
    </row>
    <row r="151" spans="1:50" s="142" customFormat="1" x14ac:dyDescent="0.3">
      <c r="A151" s="146"/>
      <c r="B151" s="4"/>
      <c r="F151" s="612">
        <f>Administration!J62</f>
        <v>0</v>
      </c>
      <c r="O151" s="143"/>
      <c r="Q151" s="227"/>
      <c r="AJ151" s="146"/>
      <c r="AM151" s="227"/>
      <c r="AU151" s="146" t="e">
        <f t="shared" ca="1" si="6"/>
        <v>#VALUE!</v>
      </c>
      <c r="AX151" s="535"/>
    </row>
    <row r="152" spans="1:50" s="142" customFormat="1" x14ac:dyDescent="0.3">
      <c r="A152" s="146"/>
      <c r="B152" s="4"/>
      <c r="F152" s="612">
        <f>Administration!J63</f>
        <v>0</v>
      </c>
      <c r="O152" s="143"/>
      <c r="Q152" s="227"/>
      <c r="AJ152" s="146"/>
      <c r="AM152" s="227"/>
      <c r="AU152" s="146" t="e">
        <f t="shared" ca="1" si="6"/>
        <v>#VALUE!</v>
      </c>
      <c r="AX152" s="535"/>
    </row>
    <row r="153" spans="1:50" s="142" customFormat="1" x14ac:dyDescent="0.3">
      <c r="A153" s="146"/>
      <c r="B153" s="4"/>
      <c r="O153" s="143"/>
      <c r="Q153" s="227"/>
      <c r="AJ153" s="146"/>
      <c r="AM153" s="227"/>
      <c r="AU153" s="146" t="e">
        <f t="shared" ca="1" si="6"/>
        <v>#VALUE!</v>
      </c>
      <c r="AX153" s="535"/>
    </row>
  </sheetData>
  <sheetProtection password="F6CE" sheet="1"/>
  <dataConsolidate/>
  <mergeCells count="45">
    <mergeCell ref="I30:J30"/>
    <mergeCell ref="I37:K37"/>
    <mergeCell ref="I36:K36"/>
    <mergeCell ref="I25:K25"/>
    <mergeCell ref="E61:F67"/>
    <mergeCell ref="R95:T95"/>
    <mergeCell ref="O40:V41"/>
    <mergeCell ref="H46:K46"/>
    <mergeCell ref="M70:M71"/>
    <mergeCell ref="I49:K49"/>
    <mergeCell ref="I52:K52"/>
    <mergeCell ref="N67:O67"/>
    <mergeCell ref="F71:H72"/>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165" priority="13" stopIfTrue="1">
      <formula>H50&gt;0</formula>
    </cfRule>
  </conditionalFormatting>
  <conditionalFormatting sqref="E56 E45">
    <cfRule type="expression" dxfId="164" priority="14" stopIfTrue="1">
      <formula>O45=1</formula>
    </cfRule>
  </conditionalFormatting>
  <conditionalFormatting sqref="E55">
    <cfRule type="expression" dxfId="163" priority="16" stopIfTrue="1">
      <formula>Q55=1</formula>
    </cfRule>
  </conditionalFormatting>
  <conditionalFormatting sqref="F56:G56">
    <cfRule type="expression" dxfId="162" priority="17" stopIfTrue="1">
      <formula>O56=1</formula>
    </cfRule>
  </conditionalFormatting>
  <conditionalFormatting sqref="F55:G55 G40">
    <cfRule type="expression" dxfId="161" priority="18" stopIfTrue="1">
      <formula>Q40=1</formula>
    </cfRule>
  </conditionalFormatting>
  <conditionalFormatting sqref="E44">
    <cfRule type="expression" dxfId="160" priority="19" stopIfTrue="1">
      <formula>M44&gt;1</formula>
    </cfRule>
  </conditionalFormatting>
  <conditionalFormatting sqref="E46">
    <cfRule type="expression" dxfId="159" priority="20" stopIfTrue="1">
      <formula>OR(T46=1,Q48=0)</formula>
    </cfRule>
  </conditionalFormatting>
  <conditionalFormatting sqref="F46:G46">
    <cfRule type="expression" dxfId="158" priority="21" stopIfTrue="1">
      <formula>OR(T46=1,Q48=0)</formula>
    </cfRule>
  </conditionalFormatting>
  <conditionalFormatting sqref="E49">
    <cfRule type="expression" dxfId="157" priority="23" stopIfTrue="1">
      <formula>OR(Q49&gt;0,H49&gt;0)</formula>
    </cfRule>
  </conditionalFormatting>
  <conditionalFormatting sqref="F39:G39">
    <cfRule type="expression" dxfId="156" priority="24" stopIfTrue="1">
      <formula>B39="Yes"</formula>
    </cfRule>
  </conditionalFormatting>
  <conditionalFormatting sqref="E39">
    <cfRule type="expression" dxfId="155" priority="25" stopIfTrue="1">
      <formula>B39="Yes"</formula>
    </cfRule>
  </conditionalFormatting>
  <conditionalFormatting sqref="F23">
    <cfRule type="expression" dxfId="154" priority="26" stopIfTrue="1">
      <formula>M23&lt;0</formula>
    </cfRule>
  </conditionalFormatting>
  <conditionalFormatting sqref="E23">
    <cfRule type="expression" dxfId="153" priority="27" stopIfTrue="1">
      <formula>M23&lt;0</formula>
    </cfRule>
  </conditionalFormatting>
  <conditionalFormatting sqref="F48:G48">
    <cfRule type="expression" dxfId="152" priority="28" stopIfTrue="1">
      <formula>T48=1</formula>
    </cfRule>
  </conditionalFormatting>
  <conditionalFormatting sqref="E48">
    <cfRule type="expression" dxfId="151" priority="29" stopIfTrue="1">
      <formula>T48=1</formula>
    </cfRule>
  </conditionalFormatting>
  <conditionalFormatting sqref="F44:G44">
    <cfRule type="expression" dxfId="150" priority="31" stopIfTrue="1">
      <formula>AND(O45=1,R45=1)</formula>
    </cfRule>
  </conditionalFormatting>
  <conditionalFormatting sqref="F45:G45">
    <cfRule type="expression" dxfId="149" priority="32" stopIfTrue="1">
      <formula>AND(O45=1,R45=1)</formula>
    </cfRule>
  </conditionalFormatting>
  <conditionalFormatting sqref="E20">
    <cfRule type="expression" dxfId="148" priority="33" stopIfTrue="1">
      <formula>H20&gt;0</formula>
    </cfRule>
  </conditionalFormatting>
  <conditionalFormatting sqref="F20:G20">
    <cfRule type="expression" dxfId="147" priority="34" stopIfTrue="1">
      <formula>H20&gt;0</formula>
    </cfRule>
  </conditionalFormatting>
  <conditionalFormatting sqref="F36:F37">
    <cfRule type="expression" dxfId="146" priority="35" stopIfTrue="1">
      <formula>AND(H36&gt;0%,M36&lt;0)</formula>
    </cfRule>
  </conditionalFormatting>
  <conditionalFormatting sqref="E36:E37">
    <cfRule type="expression" dxfId="145" priority="36" stopIfTrue="1">
      <formula>AND(H36&gt;0%,M36&lt;0)</formula>
    </cfRule>
  </conditionalFormatting>
  <conditionalFormatting sqref="E47">
    <cfRule type="expression" dxfId="144" priority="37" stopIfTrue="1">
      <formula>AND(H47&gt;1000,T47=1,Z49=1)</formula>
    </cfRule>
  </conditionalFormatting>
  <conditionalFormatting sqref="F51:G51">
    <cfRule type="expression" dxfId="143" priority="39" stopIfTrue="1">
      <formula>AND($H$51&gt;0,Z49=1,Y49=1)</formula>
    </cfRule>
  </conditionalFormatting>
  <conditionalFormatting sqref="E51">
    <cfRule type="expression" dxfId="142" priority="40" stopIfTrue="1">
      <formula>AND($H$51&gt;0,Z49=1,Y49=1)</formula>
    </cfRule>
  </conditionalFormatting>
  <conditionalFormatting sqref="E60">
    <cfRule type="expression" dxfId="141" priority="41" stopIfTrue="1">
      <formula>C60=1</formula>
    </cfRule>
  </conditionalFormatting>
  <conditionalFormatting sqref="M19:M20 M22 M30 M36:M37 M39:M57">
    <cfRule type="expression" dxfId="140" priority="42" stopIfTrue="1">
      <formula>L19=1</formula>
    </cfRule>
  </conditionalFormatting>
  <conditionalFormatting sqref="M29 M23 M25">
    <cfRule type="expression" dxfId="139" priority="43" stopIfTrue="1">
      <formula>O23=1</formula>
    </cfRule>
  </conditionalFormatting>
  <conditionalFormatting sqref="E58:E59">
    <cfRule type="expression" dxfId="138" priority="45" stopIfTrue="1">
      <formula>O58=1</formula>
    </cfRule>
  </conditionalFormatting>
  <conditionalFormatting sqref="E21">
    <cfRule type="expression" dxfId="137" priority="48" stopIfTrue="1">
      <formula>OR(B21="Free",Q21=1)</formula>
    </cfRule>
  </conditionalFormatting>
  <conditionalFormatting sqref="E25">
    <cfRule type="expression" dxfId="136" priority="50" stopIfTrue="1">
      <formula>OR($R$25&gt;1,AA25=1)</formula>
    </cfRule>
  </conditionalFormatting>
  <conditionalFormatting sqref="I36">
    <cfRule type="expression" dxfId="135" priority="51" stopIfTrue="1">
      <formula>OR(H36&gt;R36,I36="NCB Not Allowed")</formula>
    </cfRule>
  </conditionalFormatting>
  <conditionalFormatting sqref="E57">
    <cfRule type="expression" dxfId="134" priority="54" stopIfTrue="1">
      <formula>M57&gt;1</formula>
    </cfRule>
  </conditionalFormatting>
  <conditionalFormatting sqref="H52:H53">
    <cfRule type="expression" dxfId="133" priority="55" stopIfTrue="1">
      <formula>T47=0</formula>
    </cfRule>
  </conditionalFormatting>
  <conditionalFormatting sqref="F25">
    <cfRule type="expression" dxfId="132" priority="56" stopIfTrue="1">
      <formula>OR($R$25&gt;1,AA25=1)</formula>
    </cfRule>
  </conditionalFormatting>
  <conditionalFormatting sqref="F26">
    <cfRule type="expression" dxfId="131" priority="57" stopIfTrue="1">
      <formula>H25&gt;0</formula>
    </cfRule>
  </conditionalFormatting>
  <conditionalFormatting sqref="H26">
    <cfRule type="expression" dxfId="130" priority="58" stopIfTrue="1">
      <formula>H25&gt;0</formula>
    </cfRule>
  </conditionalFormatting>
  <conditionalFormatting sqref="K26">
    <cfRule type="expression" dxfId="129" priority="59" stopIfTrue="1">
      <formula>H25&gt;0</formula>
    </cfRule>
  </conditionalFormatting>
  <conditionalFormatting sqref="I29:J29">
    <cfRule type="expression" dxfId="128" priority="60" stopIfTrue="1">
      <formula>M29=0</formula>
    </cfRule>
  </conditionalFormatting>
  <conditionalFormatting sqref="I27">
    <cfRule type="expression" dxfId="127" priority="62" stopIfTrue="1">
      <formula>OR($R$25&gt;1,AA25=1)</formula>
    </cfRule>
  </conditionalFormatting>
  <conditionalFormatting sqref="L25">
    <cfRule type="expression" dxfId="126" priority="63" stopIfTrue="1">
      <formula>OR($R$25&gt;1,AA25=1)</formula>
    </cfRule>
  </conditionalFormatting>
  <conditionalFormatting sqref="G42">
    <cfRule type="expression" dxfId="125" priority="64" stopIfTrue="1">
      <formula>AND(R41=1,R40=1)</formula>
    </cfRule>
  </conditionalFormatting>
  <conditionalFormatting sqref="E40">
    <cfRule type="expression" dxfId="124" priority="65" stopIfTrue="1">
      <formula>Q38=1</formula>
    </cfRule>
  </conditionalFormatting>
  <conditionalFormatting sqref="F40">
    <cfRule type="expression" dxfId="123" priority="66" stopIfTrue="1">
      <formula>Q38=1</formula>
    </cfRule>
  </conditionalFormatting>
  <conditionalFormatting sqref="E42">
    <cfRule type="expression" dxfId="122" priority="67" stopIfTrue="1">
      <formula>AND(Q39=1,Q38=1)</formula>
    </cfRule>
  </conditionalFormatting>
  <conditionalFormatting sqref="F42">
    <cfRule type="expression" dxfId="121" priority="68" stopIfTrue="1">
      <formula>AND(Q39=1,Q38=1)</formula>
    </cfRule>
  </conditionalFormatting>
  <conditionalFormatting sqref="F52:F53">
    <cfRule type="expression" dxfId="120" priority="78" stopIfTrue="1">
      <formula>AND($H$52&gt;0,T47=1,Z49=1,O52=1)</formula>
    </cfRule>
  </conditionalFormatting>
  <conditionalFormatting sqref="E52:E53">
    <cfRule type="expression" dxfId="119" priority="79" stopIfTrue="1">
      <formula>AND(H52&gt;1000,T47=1,Z49=1,O52=1)</formula>
    </cfRule>
  </conditionalFormatting>
  <conditionalFormatting sqref="G4">
    <cfRule type="expression" dxfId="118" priority="86" stopIfTrue="1">
      <formula>D3=1</formula>
    </cfRule>
  </conditionalFormatting>
  <conditionalFormatting sqref="H4">
    <cfRule type="expression" dxfId="117" priority="87" stopIfTrue="1">
      <formula>D3=1</formula>
    </cfRule>
  </conditionalFormatting>
  <conditionalFormatting sqref="I4:J4">
    <cfRule type="expression" dxfId="116" priority="88" stopIfTrue="1">
      <formula>D3=1</formula>
    </cfRule>
  </conditionalFormatting>
  <conditionalFormatting sqref="G5">
    <cfRule type="expression" dxfId="115" priority="89" stopIfTrue="1">
      <formula>D3=1</formula>
    </cfRule>
  </conditionalFormatting>
  <conditionalFormatting sqref="I5:J5">
    <cfRule type="expression" dxfId="114" priority="90" stopIfTrue="1">
      <formula>D3=1</formula>
    </cfRule>
  </conditionalFormatting>
  <conditionalFormatting sqref="H5">
    <cfRule type="expression" dxfId="113" priority="91" stopIfTrue="1">
      <formula>D3=1</formula>
    </cfRule>
  </conditionalFormatting>
  <conditionalFormatting sqref="M5">
    <cfRule type="expression" dxfId="112" priority="92" stopIfTrue="1">
      <formula>D3=1</formula>
    </cfRule>
  </conditionalFormatting>
  <conditionalFormatting sqref="I3:J3">
    <cfRule type="expression" dxfId="111" priority="93" stopIfTrue="1">
      <formula>D3=1</formula>
    </cfRule>
  </conditionalFormatting>
  <conditionalFormatting sqref="E22">
    <cfRule type="expression" dxfId="110" priority="94" stopIfTrue="1">
      <formula>I22&gt;1000</formula>
    </cfRule>
  </conditionalFormatting>
  <conditionalFormatting sqref="F22">
    <cfRule type="expression" dxfId="109" priority="96" stopIfTrue="1">
      <formula>I22&gt;1</formula>
    </cfRule>
  </conditionalFormatting>
  <conditionalFormatting sqref="K8">
    <cfRule type="expression" dxfId="108" priority="85" stopIfTrue="1">
      <formula>M8=L8</formula>
    </cfRule>
  </conditionalFormatting>
  <conditionalFormatting sqref="I24:J24">
    <cfRule type="expression" dxfId="107" priority="178" stopIfTrue="1">
      <formula>AND(C24=1,U23=0)</formula>
    </cfRule>
  </conditionalFormatting>
  <conditionalFormatting sqref="F49:G49">
    <cfRule type="expression" dxfId="106" priority="22" stopIfTrue="1">
      <formula>OR(Q49&gt;0,H49&gt;0)</formula>
    </cfRule>
  </conditionalFormatting>
  <conditionalFormatting sqref="F47:G47">
    <cfRule type="expression" dxfId="105" priority="38" stopIfTrue="1">
      <formula>AND(H47&gt;1,T47=1,Z49=1)</formula>
    </cfRule>
  </conditionalFormatting>
  <conditionalFormatting sqref="F21:G21">
    <cfRule type="expression" dxfId="104" priority="49" stopIfTrue="1">
      <formula>OR(B21="Free",Q21=1)</formula>
    </cfRule>
  </conditionalFormatting>
  <conditionalFormatting sqref="E29">
    <cfRule type="expression" dxfId="103" priority="52" stopIfTrue="1">
      <formula>AND(R29&gt;1,Z49=1,Y49=1)</formula>
    </cfRule>
  </conditionalFormatting>
  <conditionalFormatting sqref="F29:G29">
    <cfRule type="expression" dxfId="102" priority="53" stopIfTrue="1">
      <formula>AND(R29&gt;1,Z49=1,Y49=1)</formula>
    </cfRule>
  </conditionalFormatting>
  <conditionalFormatting sqref="E41">
    <cfRule type="expression" dxfId="101" priority="184" stopIfTrue="1">
      <formula>AND($C$40=1,D41=1)</formula>
    </cfRule>
  </conditionalFormatting>
  <conditionalFormatting sqref="G41">
    <cfRule type="expression" dxfId="100" priority="185" stopIfTrue="1">
      <formula>AND($C$40=1,M30&gt;0)</formula>
    </cfRule>
  </conditionalFormatting>
  <conditionalFormatting sqref="F41">
    <cfRule type="expression" dxfId="99" priority="186" stopIfTrue="1">
      <formula>E41=1</formula>
    </cfRule>
  </conditionalFormatting>
  <conditionalFormatting sqref="K41">
    <cfRule type="expression" dxfId="98" priority="187" stopIfTrue="1">
      <formula>AND(Z42&gt;0,J41=1)</formula>
    </cfRule>
  </conditionalFormatting>
  <conditionalFormatting sqref="J41">
    <cfRule type="expression" dxfId="97" priority="188" stopIfTrue="1">
      <formula>AND($C$40=1,OR(H50&gt;0,H51&gt;0))</formula>
    </cfRule>
  </conditionalFormatting>
  <conditionalFormatting sqref="F43 K43">
    <cfRule type="expression" dxfId="96" priority="189" stopIfTrue="1">
      <formula>AND(E43=1,E41=1)</formula>
    </cfRule>
  </conditionalFormatting>
  <conditionalFormatting sqref="G43">
    <cfRule type="expression" dxfId="95" priority="190" stopIfTrue="1">
      <formula>AND($C$40=1,$C$42=1,M30&gt;0)</formula>
    </cfRule>
  </conditionalFormatting>
  <conditionalFormatting sqref="E43">
    <cfRule type="expression" dxfId="94" priority="191" stopIfTrue="1">
      <formula>AND($C$40=1,$C$42=1,D41=1)</formula>
    </cfRule>
  </conditionalFormatting>
  <conditionalFormatting sqref="J43">
    <cfRule type="expression" dxfId="93" priority="192" stopIfTrue="1">
      <formula>AND($C$40=1,$C$42=1,OR(H50&gt;0,H51&gt;0))</formula>
    </cfRule>
  </conditionalFormatting>
  <conditionalFormatting sqref="H58:H59">
    <cfRule type="expression" dxfId="92" priority="195" stopIfTrue="1">
      <formula>AND(C58=1,F58="")</formula>
    </cfRule>
  </conditionalFormatting>
  <conditionalFormatting sqref="H24">
    <cfRule type="expression" dxfId="91" priority="196" stopIfTrue="1">
      <formula>U23=0</formula>
    </cfRule>
  </conditionalFormatting>
  <conditionalFormatting sqref="I37:K37">
    <cfRule type="expression" dxfId="90" priority="197" stopIfTrue="1">
      <formula>OR(H37&gt;R37,I37="NCB Not Allowed")</formula>
    </cfRule>
    <cfRule type="cellIs" dxfId="89" priority="198" stopIfTrue="1" operator="equal">
      <formula>"False"</formula>
    </cfRule>
  </conditionalFormatting>
  <conditionalFormatting sqref="I16:M17">
    <cfRule type="expression" dxfId="88" priority="200" stopIfTrue="1">
      <formula>R15=0</formula>
    </cfRule>
  </conditionalFormatting>
  <conditionalFormatting sqref="H41">
    <cfRule type="expression" dxfId="87" priority="209" stopIfTrue="1">
      <formula>AND($C$40=1,M30&gt;0,G41=1)</formula>
    </cfRule>
  </conditionalFormatting>
  <conditionalFormatting sqref="H43">
    <cfRule type="expression" dxfId="86" priority="210" stopIfTrue="1">
      <formula>AND($C$40=1,M30&gt;0,G43=1,G41=1)</formula>
    </cfRule>
  </conditionalFormatting>
  <conditionalFormatting sqref="O25 L22 L36:L37 L30 O23 L19:L20 O29 L39:L59">
    <cfRule type="expression" dxfId="85" priority="101" stopIfTrue="1">
      <formula>$C$2="Yes"</formula>
    </cfRule>
  </conditionalFormatting>
  <conditionalFormatting sqref="I41">
    <cfRule type="expression" dxfId="84" priority="82" stopIfTrue="1">
      <formula>AND(B40="Yes",T42="Yes",H25&gt;0,L27&gt;0)</formula>
    </cfRule>
  </conditionalFormatting>
  <conditionalFormatting sqref="I43">
    <cfRule type="expression" dxfId="83" priority="83" stopIfTrue="1">
      <formula>AND(B40="Yes",T42="Yes",H25&gt;0,L27&gt;0,B41="Yes",T43="Yes")</formula>
    </cfRule>
  </conditionalFormatting>
  <conditionalFormatting sqref="E30">
    <cfRule type="expression" dxfId="82" priority="98" stopIfTrue="1">
      <formula>AND(H30&gt;1,C30="Yes",AA2=1,Z49=1,Y49=1)</formula>
    </cfRule>
  </conditionalFormatting>
  <conditionalFormatting sqref="H42 I49:J49 H44 K42 K44">
    <cfRule type="cellIs" dxfId="81" priority="105" stopIfTrue="1" operator="equal">
      <formula>0</formula>
    </cfRule>
  </conditionalFormatting>
  <conditionalFormatting sqref="K47">
    <cfRule type="cellIs" dxfId="80" priority="100" stopIfTrue="1" operator="equal">
      <formula>0</formula>
    </cfRule>
  </conditionalFormatting>
  <conditionalFormatting sqref="F54:G54">
    <cfRule type="expression" dxfId="79" priority="103" stopIfTrue="1">
      <formula>$H$54&gt;0</formula>
    </cfRule>
  </conditionalFormatting>
  <conditionalFormatting sqref="F50:G50">
    <cfRule type="expression" dxfId="78" priority="104" stopIfTrue="1">
      <formula>$H$50&gt;0</formula>
    </cfRule>
  </conditionalFormatting>
  <conditionalFormatting sqref="F57:G60">
    <cfRule type="cellIs" dxfId="77" priority="106" stopIfTrue="1" operator="equal">
      <formula>"."</formula>
    </cfRule>
  </conditionalFormatting>
  <conditionalFormatting sqref="K48">
    <cfRule type="cellIs" dxfId="76" priority="107" stopIfTrue="1" operator="equal">
      <formula>0</formula>
    </cfRule>
  </conditionalFormatting>
  <conditionalFormatting sqref="I52:K53">
    <cfRule type="cellIs" dxfId="75" priority="116" stopIfTrue="1" operator="equal">
      <formula>"Enter Number of Air Bags"</formula>
    </cfRule>
  </conditionalFormatting>
  <conditionalFormatting sqref="K15">
    <cfRule type="cellIs" dxfId="74" priority="222" stopIfTrue="1" operator="equal">
      <formula>"Chinese Vehicles Covered"</formula>
    </cfRule>
  </conditionalFormatting>
  <conditionalFormatting sqref="K9:M9">
    <cfRule type="expression" dxfId="73" priority="114" stopIfTrue="1">
      <formula>OR($T$2=3,$W$2=0)</formula>
    </cfRule>
  </conditionalFormatting>
  <conditionalFormatting sqref="G22:G23">
    <cfRule type="expression" dxfId="72" priority="95" stopIfTrue="1">
      <formula>#REF!&gt;1</formula>
    </cfRule>
  </conditionalFormatting>
  <conditionalFormatting sqref="N25 N19:N20 N22:N23 N29:N30 N36:N37 N39:N57">
    <cfRule type="expression" dxfId="71" priority="102" stopIfTrue="1">
      <formula>$C$2="Yes"</formula>
    </cfRule>
  </conditionalFormatting>
  <conditionalFormatting sqref="H19">
    <cfRule type="cellIs" dxfId="70" priority="108" stopIfTrue="1" operator="equal">
      <formula>"This Quotation system is not valid anymore"</formula>
    </cfRule>
  </conditionalFormatting>
  <conditionalFormatting sqref="E26 G26 L26">
    <cfRule type="expression" dxfId="69" priority="109" stopIfTrue="1">
      <formula>$H$25&gt;0</formula>
    </cfRule>
  </conditionalFormatting>
  <conditionalFormatting sqref="I31:I34">
    <cfRule type="expression" dxfId="68" priority="112" stopIfTrue="1">
      <formula>$H$30=0</formula>
    </cfRule>
  </conditionalFormatting>
  <conditionalFormatting sqref="E32:E34">
    <cfRule type="expression" dxfId="67" priority="113" stopIfTrue="1">
      <formula>AND($H$30&gt;0,$O$31=1)</formula>
    </cfRule>
  </conditionalFormatting>
  <conditionalFormatting sqref="K22">
    <cfRule type="expression" dxfId="66" priority="117" stopIfTrue="1">
      <formula>$C$2="Yes"</formula>
    </cfRule>
  </conditionalFormatting>
  <conditionalFormatting sqref="K14:M14">
    <cfRule type="expression" dxfId="65" priority="233" stopIfTrue="1">
      <formula>$H$14="Yes"</formula>
    </cfRule>
  </conditionalFormatting>
  <conditionalFormatting sqref="K30">
    <cfRule type="expression" dxfId="64" priority="234" stopIfTrue="1">
      <formula>AND($H$30&gt;0,$O$31&gt;0)</formula>
    </cfRule>
  </conditionalFormatting>
  <conditionalFormatting sqref="F30">
    <cfRule type="expression" dxfId="63" priority="235" stopIfTrue="1">
      <formula>AND(H30&gt;1,C30="Yes",AA2=1,Z49=1,Y49=1)</formula>
    </cfRule>
  </conditionalFormatting>
  <conditionalFormatting sqref="I30:J30">
    <cfRule type="expression" dxfId="62" priority="236" stopIfTrue="1">
      <formula>AND($H$30&gt;0,$O$31&gt;0)</formula>
    </cfRule>
  </conditionalFormatting>
  <conditionalFormatting sqref="I25:K25">
    <cfRule type="expression" dxfId="61" priority="12" stopIfTrue="1">
      <formula>$H$25=0</formula>
    </cfRule>
  </conditionalFormatting>
  <conditionalFormatting sqref="E16:H17">
    <cfRule type="notContainsBlanks" dxfId="60" priority="238" stopIfTrue="1">
      <formula>LEN(TRIM(E16))&gt;0</formula>
    </cfRule>
  </conditionalFormatting>
  <conditionalFormatting sqref="E15:F15">
    <cfRule type="cellIs" dxfId="59" priority="10" stopIfTrue="1" operator="equal">
      <formula>"SUM COVERED - Above Retention"</formula>
    </cfRule>
  </conditionalFormatting>
  <conditionalFormatting sqref="M13">
    <cfRule type="expression" dxfId="58" priority="239" stopIfTrue="1">
      <formula>OR(L13="",L13=0)</formula>
    </cfRule>
  </conditionalFormatting>
  <conditionalFormatting sqref="AA1">
    <cfRule type="expression" dxfId="57" priority="7" stopIfTrue="1">
      <formula>AND($H$12="HYBRID",$H$14="No")</formula>
    </cfRule>
  </conditionalFormatting>
  <conditionalFormatting sqref="M12">
    <cfRule type="expression" dxfId="56" priority="3" stopIfTrue="1">
      <formula>AND(H12="Hybrid",H14="No")</formula>
    </cfRule>
  </conditionalFormatting>
  <conditionalFormatting sqref="M12">
    <cfRule type="expression" dxfId="55" priority="2" stopIfTrue="1">
      <formula>AND(H12="Hybrid",H14="No")</formula>
    </cfRule>
  </conditionalFormatting>
  <conditionalFormatting sqref="M12">
    <cfRule type="expression" dxfId="54" priority="1" stopIfTrue="1">
      <formula>H8="Motor Cycle"</formula>
    </cfRule>
  </conditionalFormatting>
  <dataValidations xWindow="423" yWindow="431" count="59">
    <dataValidation type="whole" operator="greaterThanOrEqual" showInputMessage="1" showErrorMessage="1" errorTitle="Free Towing Facility" error="Enter above free towing facility limit_x000a_" sqref="H49" xr:uid="{00000000-0002-0000-0300-000000000000}">
      <formula1>Q49</formula1>
    </dataValidation>
    <dataValidation type="whole" operator="lessThanOrEqual" allowBlank="1" showInputMessage="1" showErrorMessage="1" error="Limit Exceeded._x000a_M/R Not Allowed" sqref="H20" xr:uid="{00000000-0002-0000-0300-000001000000}">
      <formula1>T20</formula1>
    </dataValidation>
    <dataValidation type="whole" showInputMessage="1" showErrorMessage="1" sqref="H30" xr:uid="{00000000-0002-0000-0300-000002000000}">
      <formula1>0</formula1>
      <formula2>U30</formula2>
    </dataValidation>
    <dataValidation type="decimal" operator="lessThanOrEqual" showErrorMessage="1" promptTitle="MAXIMUM NCB ALLOWED" prompt="for Private Cars  - 75%_x000a_for Commercial    - 65%_x000a_for Motor Cycles - 35%" sqref="H36" xr:uid="{00000000-0002-0000-0300-000003000000}">
      <formula1>R36</formula1>
    </dataValidation>
    <dataValidation type="decimal" operator="lessThanOrEqual" allowBlank="1" showInputMessage="1" showErrorMessage="1" error="Limit Exceeded._x000a_M/R Not Allowed" sqref="H23" xr:uid="{00000000-0002-0000-0300-000004000000}">
      <formula1>T23</formula1>
    </dataValidation>
    <dataValidation type="whole" operator="lessThan" showInputMessage="1" showErrorMessage="1" sqref="H18" xr:uid="{00000000-0002-0000-0300-000005000000}">
      <formula1>O16+1</formula1>
    </dataValidation>
    <dataValidation type="decimal" allowBlank="1" showInputMessage="1" showErrorMessage="1" error="MAXIMUM  60%" sqref="I24:J24" xr:uid="{00000000-0002-0000-0300-000006000000}">
      <formula1>0</formula1>
      <formula2>Q23</formula2>
    </dataValidation>
    <dataValidation type="whole" operator="lessThan" showInputMessage="1" showErrorMessage="1" sqref="I18:J18" xr:uid="{00000000-0002-0000-0300-000007000000}">
      <formula1>H15/2</formula1>
    </dataValidation>
    <dataValidation type="whole" operator="lessThan" showInputMessage="1" showErrorMessage="1" sqref="H15" xr:uid="{00000000-0002-0000-0300-000008000000}">
      <formula1>O15+1</formula1>
    </dataValidation>
    <dataValidation type="whole" allowBlank="1" showInputMessage="1" showErrorMessage="1" sqref="H52" xr:uid="{00000000-0002-0000-0300-000009000000}">
      <formula1>-1</formula1>
      <formula2>H15/4</formula2>
    </dataValidation>
    <dataValidation type="whole" errorStyle="warning" allowBlank="1" showInputMessage="1" showErrorMessage="1" error="Enter Value between Rs.2000/- and 50% of vehicle value" sqref="K22" xr:uid="{00000000-0002-0000-0300-00000A000000}">
      <formula1>10000</formula1>
      <formula2>H15/2</formula2>
    </dataValidation>
    <dataValidation type="list" operator="lessThan" showInputMessage="1" showErrorMessage="1" sqref="H13" xr:uid="{00000000-0002-0000-0300-00000B000000}">
      <formula1>AU45:AU54</formula1>
    </dataValidation>
    <dataValidation type="decimal" showErrorMessage="1" promptTitle="MAXIMUM NCB ALLOWED" prompt="for Private Cars  - 75%_x000a_for Commercial    - 65%_x000a_for Motor Cycles - 35%" sqref="H37" xr:uid="{00000000-0002-0000-0300-00000C000000}">
      <formula1>0</formula1>
      <formula2>R36</formula2>
    </dataValidation>
    <dataValidation type="whole" allowBlank="1" showInputMessage="1" showErrorMessage="1" sqref="H53" xr:uid="{00000000-0002-0000-0300-00000D000000}">
      <formula1>-1</formula1>
      <formula2>H15/4</formula2>
    </dataValidation>
    <dataValidation type="whole" operator="lessThanOrEqual" allowBlank="1" showInputMessage="1" showErrorMessage="1" error="Should Net Exceed Number of Persons PAB cover required._x000a_" sqref="I27" xr:uid="{00000000-0002-0000-0300-00000E000000}">
      <formula1>L25</formula1>
    </dataValidation>
    <dataValidation type="list" showInputMessage="1" showErrorMessage="1" sqref="H29" xr:uid="{00000000-0002-0000-0300-00000F000000}">
      <formula1>"0,2000,10000,20000,50000,100000,200000,500000"</formula1>
    </dataValidation>
    <dataValidation type="list" showInputMessage="1" showErrorMessage="1" sqref="L13" xr:uid="{00000000-0002-0000-0300-000010000000}">
      <formula1>"1,2,3,4,5"</formula1>
    </dataValidation>
    <dataValidation type="list" allowBlank="1" showInputMessage="1" showErrorMessage="1" sqref="AA1" xr:uid="{00000000-0002-0000-0300-000011000000}">
      <formula1>"Born Hybrid,non-born Hybrid"</formula1>
    </dataValidation>
    <dataValidation type="list" allowBlank="1" showInputMessage="1" showErrorMessage="1" sqref="O25 C58:C60 C55:C56 C46 G43 E43 J43 E41 C39:C40 G41 L30 L22 O23 L36:L37 O29 E32:E34 L19:L20 L39:L59 J41 C42 C45" xr:uid="{00000000-0002-0000-0300-000012000000}">
      <formula1>"0,1"</formula1>
    </dataValidation>
    <dataValidation type="whole" showInputMessage="1" showErrorMessage="1" error="Should Not Exceed Number of Seats" sqref="G53" xr:uid="{00000000-0002-0000-0300-000013000000}">
      <formula1>0</formula1>
      <formula2>25</formula2>
    </dataValidation>
    <dataValidation type="whole" showInputMessage="1" showErrorMessage="1" error="Should Not Exceed Number of Seats" sqref="G52" xr:uid="{00000000-0002-0000-0300-000014000000}">
      <formula1>0</formula1>
      <formula2>2</formula2>
    </dataValidation>
    <dataValidation type="list" allowBlank="1" showInputMessage="1" showErrorMessage="1" sqref="J11" xr:uid="{00000000-0002-0000-0300-000015000000}">
      <formula1>"BRAND NEW,RECONDITIONED,REGISTERED"</formula1>
    </dataValidation>
    <dataValidation type="whole" allowBlank="1" showInputMessage="1" showErrorMessage="1" sqref="E42 E44:E60 I43 E20:E23 E25 E39:E40 I41 E29:E30 E36:E37 T28:V28 G31:G34" xr:uid="{00000000-0002-0000-0300-000016000000}">
      <formula1>0</formula1>
      <formula2>1</formula2>
    </dataValidation>
    <dataValidation type="list" allowBlank="1" showInputMessage="1" showErrorMessage="1" sqref="B55:B56 Q42:Q43 B46 T42:T43 W42:W43 M5 C30 B39:B41 C2:C5 H14" xr:uid="{00000000-0002-0000-0300-000017000000}">
      <formula1>"Yes,No"</formula1>
    </dataValidation>
    <dataValidation type="decimal" allowBlank="1" showInputMessage="1" showErrorMessage="1" sqref="N58:N60" xr:uid="{00000000-0002-0000-0300-000018000000}">
      <formula1>-100000</formula1>
      <formula2>100000</formula2>
    </dataValidation>
    <dataValidation type="decimal" operator="greaterThanOrEqual" allowBlank="1" showInputMessage="1" showErrorMessage="1" sqref="M49" xr:uid="{00000000-0002-0000-0300-000019000000}">
      <formula1>0</formula1>
    </dataValidation>
    <dataValidation type="whole" showInputMessage="1" showErrorMessage="1" sqref="H54" xr:uid="{00000000-0002-0000-0300-00001A000000}">
      <formula1>-1</formula1>
      <formula2>10</formula2>
    </dataValidation>
    <dataValidation type="whole" operator="greaterThan" allowBlank="1" showInputMessage="1" showErrorMessage="1" sqref="H47 H51" xr:uid="{00000000-0002-0000-0300-00001B000000}">
      <formula1>-1</formula1>
    </dataValidation>
    <dataValidation type="list" operator="notBetween" allowBlank="1" showInputMessage="1" showErrorMessage="1" sqref="H48" xr:uid="{00000000-0002-0000-0300-00001C000000}">
      <formula1>"15000,100000,300000,500000,1000000"</formula1>
    </dataValidation>
    <dataValidation type="whole" allowBlank="1" showInputMessage="1" showErrorMessage="1" sqref="H50" xr:uid="{00000000-0002-0000-0300-00001D000000}">
      <formula1>-1</formula1>
      <formula2>10</formula2>
    </dataValidation>
    <dataValidation type="textLength" allowBlank="1" showInputMessage="1" showErrorMessage="1" sqref="F59:G59" xr:uid="{00000000-0002-0000-0300-00001E000000}">
      <formula1>0</formula1>
      <formula2>21</formula2>
    </dataValidation>
    <dataValidation type="textLength" allowBlank="1" showInputMessage="1" showErrorMessage="1" error="Should Enter Between _x000a_2 to 14 Digits only_x000a__x000a_" sqref="L10:M10" xr:uid="{00000000-0002-0000-0300-00001F000000}">
      <formula1>2</formula1>
      <formula2>14</formula2>
    </dataValidation>
    <dataValidation type="textLength" showInputMessage="1" showErrorMessage="1" sqref="L6 E12" xr:uid="{00000000-0002-0000-0300-000020000000}">
      <formula1>0</formula1>
      <formula2>25</formula2>
    </dataValidation>
    <dataValidation type="list" allowBlank="1" showInputMessage="1" showErrorMessage="1" sqref="H6" xr:uid="{00000000-0002-0000-0300-000021000000}">
      <formula1>"Mr.,Mrs.,Miss,Madam,Sir,Sir/Madam"</formula1>
    </dataValidation>
    <dataValidation type="list" allowBlank="1" showInputMessage="1" showErrorMessage="1" sqref="K8" xr:uid="{00000000-0002-0000-0300-000022000000}">
      <formula1>"1.25%,2%"</formula1>
    </dataValidation>
    <dataValidation type="list" showInputMessage="1" showErrorMessage="1" sqref="H12" xr:uid="{00000000-0002-0000-0300-000023000000}">
      <formula1>"PETROL (non hybrid),DIESEL (non hybrid),HYBRID,ELECTRIC"</formula1>
    </dataValidation>
    <dataValidation type="list" operator="equal" showInputMessage="1" showErrorMessage="1" sqref="H22" xr:uid="{00000000-0002-0000-0300-000024000000}">
      <formula1>"0,2000,5000,10000"</formula1>
    </dataValidation>
    <dataValidation type="list" allowBlank="1" showInputMessage="1" showErrorMessage="1" sqref="I38:J38" xr:uid="{00000000-0002-0000-0300-000025000000}">
      <formula1>"Conceal,Reveal"</formula1>
    </dataValidation>
    <dataValidation type="decimal" allowBlank="1" showInputMessage="1" showErrorMessage="1" sqref="N25 N46:N57 N39:N43 N19:N20 N29:N30" xr:uid="{00000000-0002-0000-0300-000026000000}">
      <formula1>0</formula1>
      <formula2>1000000</formula2>
    </dataValidation>
    <dataValidation allowBlank="1" showInputMessage="1" showErrorMessage="1" error="Should not exceed number of seats _x000a_(excluding driver's seat)_x000a_" sqref="I29:J29" xr:uid="{00000000-0002-0000-0300-000027000000}"/>
    <dataValidation type="list" allowBlank="1" showInputMessage="1" showErrorMessage="1" sqref="B31:C31" xr:uid="{00000000-0002-0000-0300-000028000000}">
      <formula1>"1"</formula1>
    </dataValidation>
    <dataValidation type="list" showInputMessage="1" showErrorMessage="1" sqref="H25" xr:uid="{00000000-0002-0000-0300-000029000000}">
      <formula1>PAB</formula1>
    </dataValidation>
    <dataValidation type="list" allowBlank="1" showInputMessage="1" showErrorMessage="1" sqref="B21" xr:uid="{00000000-0002-0000-0300-00002A000000}">
      <formula1>"Yes,No,Free"</formula1>
    </dataValidation>
    <dataValidation type="list" allowBlank="1" showInputMessage="1" showErrorMessage="1" sqref="C21" xr:uid="{00000000-0002-0000-0300-00002B000000}">
      <formula1>"0,1,2"</formula1>
    </dataValidation>
    <dataValidation type="decimal" allowBlank="1" showInputMessage="1" showErrorMessage="1" sqref="N22:N23 N36:N37" xr:uid="{00000000-0002-0000-0300-00002C000000}">
      <formula1>-10000000</formula1>
      <formula2>0</formula2>
    </dataValidation>
    <dataValidation type="list" allowBlank="1" showInputMessage="1" showErrorMessage="1" sqref="E26 L26 G26" xr:uid="{00000000-0002-0000-0300-00002D000000}">
      <formula1>"1,0"</formula1>
    </dataValidation>
    <dataValidation type="list" allowBlank="1" showInputMessage="1" showErrorMessage="1" sqref="H38" xr:uid="{00000000-0002-0000-0300-00002E000000}">
      <formula1>"Earned NCB,Upfront NCB"</formula1>
    </dataValidation>
    <dataValidation type="list" allowBlank="1" showInputMessage="1" showErrorMessage="1" sqref="I4:I5" xr:uid="{00000000-0002-0000-0300-00002F000000}">
      <formula1>"2010,2011,2012,2013,2014,2015"</formula1>
    </dataValidation>
    <dataValidation type="list" allowBlank="1" showInputMessage="1" showErrorMessage="1" sqref="H4:H5" xr:uid="{00000000-0002-0000-0300-000030000000}">
      <formula1>"January,February,March,April,May,June,July,August,September,October,November,December"</formula1>
    </dataValidation>
    <dataValidation type="list" allowBlank="1" showInputMessage="1" showErrorMessage="1" sqref="G4:G5" xr:uid="{00000000-0002-0000-0300-000031000000}">
      <formula1>"1,2,3,4,5,6,7,8,9,10,11,12,13,14,15,16,17,18,19,20,21,22,23,24,25,26,27,28,29,30,31"</formula1>
    </dataValidation>
    <dataValidation type="list" allowBlank="1" showInputMessage="1" showErrorMessage="1" sqref="H3" xr:uid="{00000000-0002-0000-0300-000032000000}">
      <formula1>"One Year,Pro Rata, Short Period"</formula1>
    </dataValidation>
    <dataValidation type="textLength" allowBlank="1" showInputMessage="1" showErrorMessage="1" error="Enter Above 5 letters_x000a_" sqref="F58:G58" xr:uid="{00000000-0002-0000-0300-000033000000}">
      <formula1>5</formula1>
      <formula2>21</formula2>
    </dataValidation>
    <dataValidation type="list" allowBlank="1" showInputMessage="1" showErrorMessage="1" sqref="H11:I11" xr:uid="{00000000-0002-0000-0300-000034000000}">
      <formula1>"NON chinese/korean,CHINESE,KOREAN,JAPANESE,INDIAN,MALAYSIAN,GERMAN,SRI LANKAN"</formula1>
    </dataValidation>
    <dataValidation type="decimal" allowBlank="1" showInputMessage="1" showErrorMessage="1" sqref="N44:N45" xr:uid="{00000000-0002-0000-0300-000035000000}">
      <formula1>0</formula1>
      <formula2>100</formula2>
    </dataValidation>
    <dataValidation type="list" showInputMessage="1" showErrorMessage="1" sqref="I25" xr:uid="{00000000-0002-0000-0300-000036000000}">
      <formula1>"Full Seating Capacity,Participant Only,Driver Only,Participant &amp; Driver Only"</formula1>
    </dataValidation>
    <dataValidation type="list" showInputMessage="1" showErrorMessage="1" sqref="I30" xr:uid="{00000000-0002-0000-0300-000037000000}">
      <formula1>"Non-Hazardous,Hazardous,Extra Hazardous"</formula1>
    </dataValidation>
    <dataValidation type="list" allowBlank="1" showInputMessage="1" showErrorMessage="1" sqref="K30" xr:uid="{00000000-0002-0000-0300-000038000000}">
      <formula1>"With Fire,Without Fire"</formula1>
    </dataValidation>
    <dataValidation type="list" allowBlank="1" showInputMessage="1" showErrorMessage="1" sqref="M12" xr:uid="{00000000-0002-0000-0300-000039000000}">
      <formula1>"Above 250cc,Below 250cc"</formula1>
    </dataValidation>
    <dataValidation type="list" allowBlank="1" showInputMessage="1" showErrorMessage="1" sqref="K14:M14" xr:uid="{00000000-0002-0000-0300-00003A000000}">
      <formula1>$F$94:$F$122</formula1>
    </dataValidation>
  </dataValidations>
  <hyperlinks>
    <hyperlink ref="AZ79" r:id="rId1" display="mailto:info@amanabank.lk" xr:uid="{00000000-0004-0000-0300-000000000000}"/>
    <hyperlink ref="AZ82" r:id="rId2" display="mailto:boc@boc.lk" xr:uid="{00000000-0004-0000-0300-000001000000}"/>
    <hyperlink ref="AZ85" r:id="rId3" display="mailto:email@combank.net" xr:uid="{00000000-0004-0000-0300-000002000000}"/>
    <hyperlink ref="AZ89" r:id="rId4" display="mailto:info@dfccvardhanabank.com" xr:uid="{00000000-0004-0000-0300-000003000000}"/>
    <hyperlink ref="AZ90" r:id="rId5" display="http://www.dfccvardhanabank.com/" xr:uid="{00000000-0004-0000-0300-000004000000}"/>
    <hyperlink ref="AZ92" r:id="rId6" display="mailto:moreinfo@hnb.net" xr:uid="{00000000-0004-0000-0300-000005000000}"/>
    <hyperlink ref="AZ93" r:id="rId7" display="http://www.hnb.net/" xr:uid="{00000000-0004-0000-0300-000006000000}"/>
    <hyperlink ref="AZ95" r:id="rId8" display="mailto:azfar.nomani@mcb.com.lk" xr:uid="{00000000-0004-0000-0300-000007000000}"/>
    <hyperlink ref="AZ98" r:id="rId9" display="mailto:contact@ndbbank.com" xr:uid="{00000000-0004-0000-0300-000008000000}"/>
    <hyperlink ref="AZ99" r:id="rId10" display="http://www.ndbbank.com/" xr:uid="{00000000-0004-0000-0300-000009000000}"/>
    <hyperlink ref="AZ101" r:id="rId11" display="mailto:info@nationstrust.com" xr:uid="{00000000-0004-0000-0300-00000A000000}"/>
    <hyperlink ref="AZ104" r:id="rId12" display="mailto:pabc@pabcbank.com" xr:uid="{00000000-0004-0000-0300-00000B000000}"/>
    <hyperlink ref="AZ105" r:id="rId13" display="http://www.pabcbank.com/" xr:uid="{00000000-0004-0000-0300-00000C000000}"/>
    <hyperlink ref="AZ107" r:id="rId14" display="mailto:info@peoplesbank.lk" xr:uid="{00000000-0004-0000-0300-00000D000000}"/>
    <hyperlink ref="AZ110" r:id="rId15" display="mailto:oper.mgr@sampath.lk" xr:uid="{00000000-0004-0000-0300-00000E000000}"/>
    <hyperlink ref="AZ113" r:id="rId16" display="mailto:info@seylan.lk" xr:uid="{00000000-0004-0000-0300-00000F000000}"/>
    <hyperlink ref="AZ114" r:id="rId17" display="http://www.eseylan.com/" xr:uid="{00000000-0004-0000-0300-000010000000}"/>
    <hyperlink ref="AZ116" r:id="rId18" display="mailto:ubc@unionb.com" xr:uid="{00000000-0004-0000-0300-000011000000}"/>
    <hyperlink ref="AZ119" r:id="rId19" display="mailto:info@dfccbank.com" xr:uid="{00000000-0004-0000-0300-000012000000}"/>
    <hyperlink ref="AZ122" r:id="rId20" display="mailto:info@lankaputhra.lk" xr:uid="{00000000-0004-0000-0300-000013000000}"/>
    <hyperlink ref="AZ123" r:id="rId21" display="http://www.lankaputhra.lk/" xr:uid="{00000000-0004-0000-0300-000014000000}"/>
    <hyperlink ref="AZ125" r:id="rId22" display="mailto:savingsbank@mbslsavingsbank.com" xr:uid="{00000000-0004-0000-0300-000015000000}"/>
    <hyperlink ref="AZ126" r:id="rId23" display="http://www.mbslsavingsbank.com/" xr:uid="{00000000-0004-0000-0300-000016000000}"/>
    <hyperlink ref="AZ128" r:id="rId24" display="mailto:siriwardener@rdb.lk" xr:uid="{00000000-0004-0000-0300-000017000000}"/>
    <hyperlink ref="AZ129" r:id="rId25" display="http://www.rdb.lk/" xr:uid="{00000000-0004-0000-0300-000018000000}"/>
    <hyperlink ref="AZ131" r:id="rId26" display="mailto:info@sdb.lk" xr:uid="{00000000-0004-0000-0300-000019000000}"/>
    <hyperlink ref="AZ132" r:id="rId27" display="http://www.sdb.lk/" xr:uid="{00000000-0004-0000-0300-00001A000000}"/>
    <hyperlink ref="AZ134" r:id="rId28" display="mailto:slsbl@sltnet.lk" xr:uid="{00000000-0004-0000-0300-00001B000000}"/>
    <hyperlink ref="AZ135" r:id="rId29" display="http://www.sdb.lk/" xr:uid="{00000000-0004-0000-0300-00001C000000}"/>
    <hyperlink ref="AZ137" r:id="rId30" display="mailto:aban@abansgroup.com" xr:uid="{00000000-0004-0000-0300-00001D000000}"/>
    <hyperlink ref="AZ138" r:id="rId31" display="http://www.abansgroup.com/" xr:uid="{00000000-0004-0000-0300-00001E000000}"/>
    <hyperlink ref="AZ140" r:id="rId32" display="mailto:info@alliancefinance.lk" xr:uid="{00000000-0004-0000-0300-00001F000000}"/>
    <hyperlink ref="AZ141" r:id="rId33" display="http://www.alliancefinance.lk/" xr:uid="{00000000-0004-0000-0300-000020000000}"/>
    <hyperlink ref="AZ144" r:id="rId34" display="http://www.amwltd.lk/" xr:uid="{00000000-0004-0000-0300-000021000000}"/>
    <hyperlink ref="AZ146" r:id="rId35" display="mailto:bedej@arpicofinance.com" xr:uid="{00000000-0004-0000-0300-000022000000}"/>
    <hyperlink ref="AZ147" r:id="rId36" display="http://www.arpicofinance.lk/" xr:uid="{00000000-0004-0000-0300-000023000000}"/>
    <hyperlink ref="AZ149" r:id="rId37" display="mailto:info@asiaassetfinance.lk" xr:uid="{00000000-0004-0000-0300-000024000000}"/>
    <hyperlink ref="AZ152" r:id="rId38" display="mailto:afl@asianfinance.lk" xr:uid="{00000000-0004-0000-0300-000025000000}"/>
    <hyperlink ref="AZ155" r:id="rId39" display="mailto:amfcoltd@sltnet.lk" xr:uid="{00000000-0004-0000-0300-000026000000}"/>
    <hyperlink ref="AZ158" r:id="rId40" display="mailto:bartfsl@bartleet.com" xr:uid="{00000000-0004-0000-0300-000027000000}"/>
    <hyperlink ref="AZ159" r:id="rId41" display="http://www.batrleetgroup.com/" xr:uid="{00000000-0004-0000-0300-000028000000}"/>
    <hyperlink ref="AZ161" r:id="rId42" display="mailto:bimputhlanka@daya-group.com" xr:uid="{00000000-0004-0000-0300-000029000000}"/>
    <hyperlink ref="AZ162" r:id="rId43" display="http://www.dayagroupofcompanies.com/" xr:uid="{00000000-0004-0000-0300-00002A000000}"/>
    <hyperlink ref="AZ164" r:id="rId44" display="mailto:silvereenkandy@sltnet.lk" xr:uid="{00000000-0004-0000-0300-00002B000000}"/>
    <hyperlink ref="AZ165" r:id="rId45" display="http://www.cbsl.gov.lk/htm/english/05_fss/popup/" xr:uid="{00000000-0004-0000-0300-00002C000000}"/>
    <hyperlink ref="AZ167" r:id="rId46" display="mailto:cenfin@cf.lk" xr:uid="{00000000-0004-0000-0300-00002D000000}"/>
    <hyperlink ref="AZ168" r:id="rId47" display="http://www.cf.lk/" xr:uid="{00000000-0004-0000-0300-00002E000000}"/>
    <hyperlink ref="AZ170" r:id="rId48" display="mailto:cifl@cifl.lk" xr:uid="{00000000-0004-0000-0300-00002F000000}"/>
    <hyperlink ref="AZ171" r:id="rId49" display="http://www.cifl.lk/" xr:uid="{00000000-0004-0000-0300-000030000000}"/>
    <hyperlink ref="AZ173" r:id="rId50" display="mailto:chifinco@gmail.com" xr:uid="{00000000-0004-0000-0300-000031000000}"/>
    <hyperlink ref="AZ176" r:id="rId51" display="mailto:cdb@cdb.lk" xr:uid="{00000000-0004-0000-0300-000032000000}"/>
    <hyperlink ref="AZ177" r:id="rId52" display="http://www.cdb.lk/" xr:uid="{00000000-0004-0000-0300-000033000000}"/>
    <hyperlink ref="AZ179" r:id="rId53" display="mailto:infoifl@infinltd.lk" xr:uid="{00000000-0004-0000-0300-000034000000}"/>
    <hyperlink ref="AZ180" r:id="rId54" display="http://www.ifl.lk/" xr:uid="{00000000-0004-0000-0300-000035000000}"/>
    <hyperlink ref="AZ182" r:id="rId55" display="mailto:ccl@cclk.lk" xr:uid="{00000000-0004-0000-0300-000036000000}"/>
    <hyperlink ref="AZ183" r:id="rId56" display="http://www.cclk.lk/" xr:uid="{00000000-0004-0000-0300-000037000000}"/>
    <hyperlink ref="AZ185" r:id="rId57" display="mailto:clc@.lk" xr:uid="{00000000-0004-0000-0300-000038000000}"/>
    <hyperlink ref="AZ186" r:id="rId58" display="http://www.clc.lk/" xr:uid="{00000000-0004-0000-0300-000039000000}"/>
    <hyperlink ref="AZ188" r:id="rId59" display="mailto:info@divasafinance.lk" xr:uid="{00000000-0004-0000-0300-00003A000000}"/>
    <hyperlink ref="AZ189" r:id="rId60" display="http://www.divasafinance.lk/" xr:uid="{00000000-0004-0000-0300-00003B000000}"/>
    <hyperlink ref="AZ191" r:id="rId61" display="mailto:info@eti.lk" xr:uid="{00000000-0004-0000-0300-00003C000000}"/>
    <hyperlink ref="AZ192" r:id="rId62" display="http://www.eti.lk/" xr:uid="{00000000-0004-0000-0300-00003D000000}"/>
    <hyperlink ref="AZ194" r:id="rId63" display="mailto:chandrin@kanrich.lk" xr:uid="{00000000-0004-0000-0300-00003E000000}"/>
    <hyperlink ref="AZ195" r:id="rId64" display="http://www.kanrich.lk/" xr:uid="{00000000-0004-0000-0300-00003F000000}"/>
    <hyperlink ref="AZ197" r:id="rId65" display="mailto:mail@lbfinance.lk" xr:uid="{00000000-0004-0000-0300-000040000000}"/>
    <hyperlink ref="AZ198" r:id="rId66" display="http://www.lbfinance.com/" xr:uid="{00000000-0004-0000-0300-000041000000}"/>
    <hyperlink ref="AZ200" r:id="rId67" display="mailto:lofin@lankaorix.com" xr:uid="{00000000-0004-0000-0300-000042000000}"/>
    <hyperlink ref="AZ201" r:id="rId68" display="http://www.lankaorix.com/" xr:uid="{00000000-0004-0000-0300-000043000000}"/>
    <hyperlink ref="AZ203" r:id="rId69" display="mailto:mercantile@mi.com.lk" xr:uid="{00000000-0004-0000-0300-000044000000}"/>
    <hyperlink ref="AZ204" r:id="rId70" display="http://www.mi.com.lk/" xr:uid="{00000000-0004-0000-0300-000045000000}"/>
    <hyperlink ref="AZ206" r:id="rId71" display="mailto:mcsl@mbslbank.com" xr:uid="{00000000-0004-0000-0300-000046000000}"/>
    <hyperlink ref="AZ207" r:id="rId72" display="http://www.mcsl.lk/" xr:uid="{00000000-0004-0000-0300-000047000000}"/>
    <hyperlink ref="AZ209" r:id="rId73" display="mailto:info@themultifinance.com" xr:uid="{00000000-0004-0000-0300-000048000000}"/>
    <hyperlink ref="AZ210" r:id="rId74" display="http://www.mcsl.lk/" xr:uid="{00000000-0004-0000-0300-000049000000}"/>
    <hyperlink ref="AZ212" r:id="rId75" display="mailto:info@nifl.lk" xr:uid="{00000000-0004-0000-0300-00004A000000}"/>
    <hyperlink ref="AZ215" r:id="rId76" display="mailto:bede@nflplc.com" xr:uid="{00000000-0004-0000-0300-00004B000000}"/>
    <hyperlink ref="AZ216" r:id="rId77" display="http://www.cbsl.gov.lk/htm/english/05_fss/popup/www.nflplc.lk/" xr:uid="{00000000-0004-0000-0300-00004C000000}"/>
    <hyperlink ref="AZ218" r:id="rId78" display="mailto:dinindus@plc.lk" xr:uid="{00000000-0004-0000-0300-00004D000000}"/>
    <hyperlink ref="AZ221" r:id="rId79" display="mailto:senk@senfin.com" xr:uid="{00000000-0004-0000-0300-00004E000000}"/>
    <hyperlink ref="AZ222" r:id="rId80" display="http://www.senfin.com/" xr:uid="{00000000-0004-0000-0300-00004F000000}"/>
    <hyperlink ref="AZ224" r:id="rId81" display="mailto:financecompany@singersl.com" xr:uid="{00000000-0004-0000-0300-000050000000}"/>
    <hyperlink ref="AZ225" r:id="rId82" display="http://www.singersl.com/" xr:uid="{00000000-0004-0000-0300-000051000000}"/>
    <hyperlink ref="AZ227" r:id="rId83" display="mailto:info@sinhaputhra.lk" xr:uid="{00000000-0004-0000-0300-000052000000}"/>
    <hyperlink ref="AZ228" r:id="rId84" display="http://www.sinhaputhra.lk/" xr:uid="{00000000-0004-0000-0300-000053000000}"/>
    <hyperlink ref="AZ230" r:id="rId85" display="mailto:info@softlogicfinance.lk" xr:uid="{00000000-0004-0000-0300-000054000000}"/>
    <hyperlink ref="AZ231" r:id="rId86" display="http://www.softlogicfinance.lk/" xr:uid="{00000000-0004-0000-0300-000055000000}"/>
    <hyperlink ref="AZ233" r:id="rId87" display="mailto:info@sfs.lk" xr:uid="{00000000-0004-0000-0300-000056000000}"/>
    <hyperlink ref="AZ234" r:id="rId88" display="http://www.sfs.lk/" xr:uid="{00000000-0004-0000-0300-000057000000}"/>
    <hyperlink ref="AZ236" r:id="rId89" display="mailto:info@fglk.com" xr:uid="{00000000-0004-0000-0300-000058000000}"/>
    <hyperlink ref="AZ237" r:id="rId90" display="http://www.fglk.com/" xr:uid="{00000000-0004-0000-0300-000059000000}"/>
    <hyperlink ref="AZ239" r:id="rId91" display="mailto:smi@thefinance.lk" xr:uid="{00000000-0004-0000-0300-00005A000000}"/>
    <hyperlink ref="AZ240" r:id="rId92" display="http://www.thefinance.lk/" xr:uid="{00000000-0004-0000-0300-00005B000000}"/>
    <hyperlink ref="AZ243" r:id="rId93" display="mailto:infomail@cir.lk" xr:uid="{00000000-0004-0000-0300-00005C000000}"/>
    <hyperlink ref="AZ246" r:id="rId94" display="mailto:tradefi@lankabiz.net" xr:uid="{00000000-0004-0000-0300-00005D000000}"/>
    <hyperlink ref="AZ249" r:id="rId95" display="mailto:info@vallibelfinance.com" xr:uid="{00000000-0004-0000-0300-00005E000000}"/>
    <hyperlink ref="AZ252" r:id="rId96" display="mailto:kushantha@dpmco.com" xr:uid="{00000000-0004-0000-0300-00005F000000}"/>
    <hyperlink ref="AZ253" r:id="rId97" display="http://www.assetline.lk/" xr:uid="{00000000-0004-0000-0300-000060000000}"/>
    <hyperlink ref="AZ255" r:id="rId98" display="mailto:%20ceylease@ceylease.lk" xr:uid="{00000000-0004-0000-0300-000061000000}"/>
    <hyperlink ref="AZ258" r:id="rId99" display="mailto:info@cooplease.com" xr:uid="{00000000-0004-0000-0300-000062000000}"/>
    <hyperlink ref="AZ259" r:id="rId100" display="http://www.cooplease.com./" xr:uid="{00000000-0004-0000-0300-000063000000}"/>
    <hyperlink ref="AZ261" r:id="rId101" display="mailto:indrafinance@sltnet.lk" xr:uid="{00000000-0004-0000-0300-000064000000}"/>
    <hyperlink ref="AZ264" r:id="rId102" display="mailto:lmewijesuriya@gmail.lk" xr:uid="{00000000-0004-0000-0300-000065000000}"/>
    <hyperlink ref="AZ267" r:id="rId103" display="mailto:koshilea@sltnet.lk" xr:uid="{00000000-0004-0000-0300-000066000000}"/>
    <hyperlink ref="AZ270" r:id="rId104" display="mailto:lisvin@lisvin.com" xr:uid="{00000000-0004-0000-0300-000067000000}"/>
    <hyperlink ref="AZ273" r:id="rId105" display="mailto:chrishathi@lankaorix.com" xr:uid="{00000000-0004-0000-0300-000068000000}"/>
    <hyperlink ref="AZ276" r:id="rId106" display="mailto:mbslbank@mbslbank.com" xr:uid="{00000000-0004-0000-0300-000069000000}"/>
    <hyperlink ref="AZ279" r:id="rId107" display="mailto:orientleasing@sltnet.lk" xr:uid="{00000000-0004-0000-0300-00006A000000}"/>
    <hyperlink ref="AZ282" r:id="rId108" display="mailto:dpkumarage@plc.lk" xr:uid="{00000000-0004-0000-0300-00006B000000}"/>
    <hyperlink ref="AZ285" r:id="rId109" display="mailto:info@pmb.lk" xr:uid="{00000000-0004-0000-0300-00006C000000}"/>
    <hyperlink ref="AZ286" r:id="rId110" display="http://www.peoplesmerchantbank.lk/" xr:uid="{00000000-0004-0000-0300-00006D000000}"/>
    <hyperlink ref="AZ288" r:id="rId111" display="mailto:roshan@sampath-slfl.lk" xr:uid="{00000000-0004-0000-0300-00006E000000}"/>
    <hyperlink ref="AZ291" r:id="rId112" display="mailto:smbhed@sltnet.lk" xr:uid="{00000000-0004-0000-0300-00006F000000}"/>
    <hyperlink ref="AZ292" r:id="rId113" display="http://www.smblk.com/" xr:uid="{00000000-0004-0000-0300-000070000000}"/>
    <hyperlink ref="AZ294" r:id="rId114" display="mailto:credit@softlogicfinance.lk" xr:uid="{00000000-0004-0000-03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indexed="40"/>
    <pageSetUpPr fitToPage="1"/>
  </sheetPr>
  <dimension ref="A1:IV156"/>
  <sheetViews>
    <sheetView showGridLines="0" showOutlineSymbols="0" zoomScale="85" zoomScaleNormal="85" workbookViewId="0">
      <selection activeCell="R21" sqref="R21"/>
    </sheetView>
  </sheetViews>
  <sheetFormatPr defaultColWidth="0" defaultRowHeight="12.5" zeroHeight="1" x14ac:dyDescent="0.25"/>
  <cols>
    <col min="1" max="1" width="3.81640625" style="146" customWidth="1"/>
    <col min="2" max="2" width="1.453125" style="146" customWidth="1"/>
    <col min="3" max="3" width="4.453125" style="146" customWidth="1"/>
    <col min="4" max="4" width="10.453125" style="146" customWidth="1"/>
    <col min="5" max="5" width="6" style="146" customWidth="1"/>
    <col min="6" max="6" width="10.54296875" style="146" customWidth="1"/>
    <col min="7" max="7" width="4.453125" style="146" customWidth="1"/>
    <col min="8" max="8" width="1.54296875" style="146" customWidth="1"/>
    <col min="9" max="9" width="16.81640625" style="146" customWidth="1"/>
    <col min="10" max="11" width="1.81640625" style="146" customWidth="1"/>
    <col min="12" max="12" width="4.81640625" style="146" customWidth="1"/>
    <col min="13" max="13" width="9.81640625" style="146" customWidth="1"/>
    <col min="14" max="14" width="5.1796875" style="146" customWidth="1"/>
    <col min="15" max="15" width="8.54296875" style="146" customWidth="1"/>
    <col min="16" max="16" width="3.54296875" style="146" customWidth="1"/>
    <col min="17" max="17" width="5.1796875" style="146" customWidth="1"/>
    <col min="18" max="18" width="26.453125" style="146" customWidth="1"/>
    <col min="19" max="19" width="4.453125" style="146" customWidth="1"/>
    <col min="20" max="20" width="10.54296875" style="146" customWidth="1"/>
    <col min="21" max="21" width="3.54296875" style="146" hidden="1" customWidth="1"/>
    <col min="22" max="22" width="6.81640625" style="146" hidden="1" customWidth="1"/>
    <col min="23" max="24" width="6.453125" style="146" hidden="1" customWidth="1"/>
    <col min="25" max="25" width="4.453125" style="146" hidden="1" customWidth="1"/>
    <col min="26" max="26" width="6.81640625" style="146" hidden="1" customWidth="1"/>
    <col min="27" max="27" width="3.453125" style="146" hidden="1" customWidth="1"/>
    <col min="28" max="254" width="9.1796875" style="146" hidden="1" customWidth="1"/>
    <col min="255" max="255" width="4.453125" style="146" hidden="1" customWidth="1"/>
    <col min="256" max="16384" width="7.54296875" style="146" hidden="1"/>
  </cols>
  <sheetData>
    <row r="1" spans="1:256" ht="45" customHeight="1" thickTop="1" x14ac:dyDescent="0.25">
      <c r="A1" s="2"/>
      <c r="B1" s="124"/>
      <c r="C1" s="3"/>
      <c r="D1" s="3"/>
      <c r="E1" s="3"/>
      <c r="F1" s="3"/>
      <c r="G1" s="3"/>
      <c r="H1" s="3"/>
      <c r="I1" s="3"/>
      <c r="J1" s="3"/>
      <c r="K1" s="3"/>
      <c r="L1" s="3"/>
      <c r="M1" s="917" t="str">
        <f ca="1">CONCATENATE('Data Entry'!H2," - (QI Code - ", X4,"-",W4,"-",Y4,"-",Z4,"-",AA4,"-", AB4)</f>
        <v>GUD/2016/Special/005 - (QI Code - 0-70.2702-000-0-0-ATI)</v>
      </c>
      <c r="N1" s="917"/>
      <c r="O1" s="917"/>
      <c r="P1" s="917"/>
      <c r="Q1" s="917"/>
      <c r="R1" s="917"/>
      <c r="S1" s="918"/>
    </row>
    <row r="2" spans="1:256" ht="33.75" customHeight="1" x14ac:dyDescent="0.25">
      <c r="A2" s="125"/>
      <c r="B2" s="16"/>
      <c r="C2" s="17"/>
      <c r="D2" s="17"/>
      <c r="E2" s="17"/>
      <c r="F2" s="17"/>
      <c r="G2" s="17"/>
      <c r="H2" s="17"/>
      <c r="I2" s="17"/>
      <c r="J2" s="17"/>
      <c r="K2" s="17"/>
      <c r="L2" s="17"/>
      <c r="M2" s="919"/>
      <c r="N2" s="919"/>
      <c r="O2" s="919"/>
      <c r="P2" s="919"/>
      <c r="Q2" s="919"/>
      <c r="R2" s="919"/>
      <c r="S2" s="126"/>
    </row>
    <row r="3" spans="1:256" ht="13" customHeight="1" x14ac:dyDescent="0.35">
      <c r="A3" s="125"/>
      <c r="B3" s="7"/>
      <c r="C3" s="76"/>
      <c r="D3" s="11"/>
      <c r="E3" s="11"/>
      <c r="F3" s="364" t="str">
        <f ca="1">IF('Data Entry'!$C$70=0,"This Quotation system is not valid anymore","")</f>
        <v/>
      </c>
      <c r="G3" s="10"/>
      <c r="H3" s="10"/>
      <c r="I3" s="10"/>
      <c r="J3" s="10"/>
      <c r="K3" s="10"/>
      <c r="L3" s="12"/>
      <c r="M3" s="352"/>
      <c r="N3" s="352"/>
      <c r="O3" s="361"/>
      <c r="P3" s="361"/>
      <c r="Q3" s="365"/>
      <c r="R3" s="362"/>
      <c r="S3" s="127"/>
      <c r="U3" s="146">
        <f>IF('Data Entry'!Y48="Commercial Vehicle Policy",1,0)</f>
        <v>1</v>
      </c>
    </row>
    <row r="4" spans="1:256" ht="17.149999999999999" customHeight="1" x14ac:dyDescent="0.35">
      <c r="A4" s="125"/>
      <c r="B4" s="7"/>
      <c r="C4" s="361" t="str">
        <f>IF(OR('Data Entry'!H6="Sir/Madam",'Data Entry'!H6="Sir"),CONCATENATE("Dear ",'Data Entry'!H6,","),CONCATENATE("Dear ",'Data Entry'!H6," ",PROPER('Data Entry'!L6),","))</f>
        <v>Dear Sir,</v>
      </c>
      <c r="D4" s="10"/>
      <c r="E4" s="320"/>
      <c r="F4" s="385"/>
      <c r="G4" s="7"/>
      <c r="H4" s="10"/>
      <c r="I4" s="10"/>
      <c r="J4" s="10"/>
      <c r="K4" s="10"/>
      <c r="L4" s="12"/>
      <c r="M4" s="352"/>
      <c r="N4" s="352"/>
      <c r="O4" s="361"/>
      <c r="P4" s="934">
        <f ca="1">TODAY()</f>
        <v>45346</v>
      </c>
      <c r="Q4" s="934"/>
      <c r="R4" s="934"/>
      <c r="S4" s="127"/>
      <c r="W4" s="309">
        <f ca="1">IF('Data Entry'!$M$37&lt;0,'Data Entry'!$G$37*2,0)</f>
        <v>70.270200000000003</v>
      </c>
      <c r="X4" s="309">
        <f ca="1">IF('Data Entry'!$M$36&lt;0,'Data Entry'!$H$36*2,0)</f>
        <v>0</v>
      </c>
      <c r="Y4" s="310" t="str">
        <f>IF('Data Entry'!$B$21="Free","000","111")</f>
        <v>000</v>
      </c>
      <c r="Z4" s="311">
        <f ca="1">IF('Data Entry'!$M$23&lt;0,'Data Entry'!$H$23*2,0)</f>
        <v>0</v>
      </c>
      <c r="AA4" s="312">
        <f>'Data Entry'!$N$60</f>
        <v>0</v>
      </c>
      <c r="AB4" s="146" t="str">
        <f>IF('Data Entry'!$C$2="Yes","GUD)","ATI)")</f>
        <v>ATI)</v>
      </c>
    </row>
    <row r="5" spans="1:256" ht="17.149999999999999" customHeight="1" x14ac:dyDescent="0.3">
      <c r="A5" s="125"/>
      <c r="B5" s="7"/>
      <c r="C5" s="673" t="s">
        <v>451</v>
      </c>
      <c r="D5" s="320"/>
      <c r="E5" s="320"/>
      <c r="F5" s="385"/>
      <c r="G5" s="7"/>
      <c r="H5" s="7"/>
      <c r="I5" s="7"/>
      <c r="J5" s="7"/>
      <c r="K5" s="7"/>
      <c r="L5" s="7"/>
      <c r="M5" s="352"/>
      <c r="N5" s="352"/>
      <c r="O5" s="361"/>
      <c r="P5" s="361"/>
      <c r="Q5" s="365"/>
      <c r="R5" s="363"/>
      <c r="S5" s="129"/>
      <c r="V5" s="143"/>
      <c r="W5" s="143"/>
      <c r="X5" s="537"/>
      <c r="Y5" s="538"/>
      <c r="Z5" s="539"/>
      <c r="AA5" s="540"/>
      <c r="AB5" s="143"/>
      <c r="AC5" s="143"/>
    </row>
    <row r="6" spans="1:256" ht="5.15" customHeight="1" x14ac:dyDescent="0.35">
      <c r="A6" s="125"/>
      <c r="B6" s="7"/>
      <c r="C6" s="18"/>
      <c r="D6" s="19"/>
      <c r="E6" s="19"/>
      <c r="F6" s="19"/>
      <c r="G6" s="19"/>
      <c r="H6" s="19"/>
      <c r="I6" s="19"/>
      <c r="J6" s="19"/>
      <c r="K6" s="19"/>
      <c r="L6" s="19"/>
      <c r="M6" s="351"/>
      <c r="N6" s="351"/>
      <c r="O6" s="351"/>
      <c r="P6" s="351"/>
      <c r="Q6" s="351"/>
      <c r="R6" s="351"/>
      <c r="S6" s="129"/>
    </row>
    <row r="7" spans="1:256" ht="18" customHeight="1" x14ac:dyDescent="0.3">
      <c r="A7" s="125"/>
      <c r="B7" s="7"/>
      <c r="C7" s="357" t="s">
        <v>297</v>
      </c>
      <c r="D7" s="82"/>
      <c r="E7" s="82"/>
      <c r="F7" s="82"/>
      <c r="G7" s="82"/>
      <c r="H7" s="82"/>
      <c r="I7" s="82"/>
      <c r="J7" s="82"/>
      <c r="K7" s="10"/>
      <c r="L7" s="303" t="s">
        <v>27</v>
      </c>
      <c r="M7" s="271"/>
      <c r="N7" s="10"/>
      <c r="O7" s="10"/>
      <c r="P7" s="944" t="s">
        <v>524</v>
      </c>
      <c r="Q7" s="945"/>
      <c r="R7" s="946"/>
      <c r="S7" s="719"/>
    </row>
    <row r="8" spans="1:256" ht="18" customHeight="1" x14ac:dyDescent="0.3">
      <c r="A8" s="125"/>
      <c r="B8" s="7"/>
      <c r="C8" s="926" t="s">
        <v>458</v>
      </c>
      <c r="D8" s="927"/>
      <c r="E8" s="927"/>
      <c r="F8" s="927"/>
      <c r="G8" s="927"/>
      <c r="H8" s="927"/>
      <c r="I8" s="927"/>
      <c r="J8" s="928"/>
      <c r="K8" s="287"/>
      <c r="L8" s="303" t="s">
        <v>109</v>
      </c>
      <c r="M8" s="271"/>
      <c r="N8" s="106"/>
      <c r="O8" s="106"/>
      <c r="P8" s="926" t="s">
        <v>458</v>
      </c>
      <c r="Q8" s="927"/>
      <c r="R8" s="928"/>
      <c r="S8" s="719"/>
    </row>
    <row r="9" spans="1:256" ht="18" customHeight="1" x14ac:dyDescent="0.3">
      <c r="A9" s="125"/>
      <c r="B9" s="7"/>
      <c r="C9" s="522" t="str">
        <f>IF(AND('Data Entry'!H12="HYBRID",'Data Entry'!H14="No",'Data Entry'!B12="Corporate"),CONCATENATE("(",'Data Entry'!B12," CUSTOMER)"),"")</f>
        <v/>
      </c>
      <c r="D9" s="501"/>
      <c r="E9" s="501"/>
      <c r="F9" s="501"/>
      <c r="G9" s="501"/>
      <c r="H9" s="501"/>
      <c r="I9" s="501"/>
      <c r="J9" s="501"/>
      <c r="K9" s="287"/>
      <c r="L9" s="303" t="s">
        <v>374</v>
      </c>
      <c r="M9" s="271"/>
      <c r="N9" s="106"/>
      <c r="O9" s="106"/>
      <c r="P9" s="929" t="s">
        <v>456</v>
      </c>
      <c r="Q9" s="929"/>
      <c r="R9" s="929"/>
      <c r="S9" s="719"/>
    </row>
    <row r="10" spans="1:256" ht="18" customHeight="1" x14ac:dyDescent="0.3">
      <c r="A10" s="125"/>
      <c r="B10" s="7"/>
      <c r="C10" s="357" t="s">
        <v>296</v>
      </c>
      <c r="D10" s="82"/>
      <c r="E10" s="82"/>
      <c r="F10" s="82"/>
      <c r="G10" s="379"/>
      <c r="H10" s="379"/>
      <c r="I10" s="379"/>
      <c r="J10" s="379"/>
      <c r="K10" s="105"/>
      <c r="L10" s="303" t="s">
        <v>354</v>
      </c>
      <c r="M10" s="271"/>
      <c r="N10" s="107"/>
      <c r="O10" s="107"/>
      <c r="P10" s="929" t="s">
        <v>457</v>
      </c>
      <c r="Q10" s="929"/>
      <c r="R10" s="929"/>
      <c r="S10" s="381"/>
    </row>
    <row r="11" spans="1:256" ht="18" customHeight="1" x14ac:dyDescent="0.25">
      <c r="A11" s="125"/>
      <c r="B11" s="7"/>
      <c r="C11" s="923" t="s">
        <v>523</v>
      </c>
      <c r="D11" s="924"/>
      <c r="E11" s="924"/>
      <c r="F11" s="924"/>
      <c r="G11" s="924"/>
      <c r="H11" s="924"/>
      <c r="I11" s="924"/>
      <c r="J11" s="925"/>
      <c r="K11" s="287"/>
      <c r="L11" s="303" t="s">
        <v>37</v>
      </c>
      <c r="M11" s="271"/>
      <c r="N11" s="108"/>
      <c r="O11" s="107"/>
      <c r="P11" s="920" t="s">
        <v>458</v>
      </c>
      <c r="Q11" s="921"/>
      <c r="R11" s="922"/>
      <c r="S11" s="382"/>
    </row>
    <row r="12" spans="1:256" ht="18" customHeight="1" x14ac:dyDescent="0.3">
      <c r="A12" s="125"/>
      <c r="B12" s="7"/>
      <c r="C12" s="358" t="s">
        <v>454</v>
      </c>
      <c r="D12" s="82"/>
      <c r="E12" s="82"/>
      <c r="F12" s="82"/>
      <c r="G12" s="380"/>
      <c r="H12" s="380"/>
      <c r="I12" s="380"/>
      <c r="J12" s="380"/>
      <c r="K12" s="130"/>
      <c r="L12" s="720" t="str">
        <f>IF(AND(Rates!D81="Yes",'Data Entry'!H8=Administration!C12),"STATUS","USAGE")</f>
        <v>USAGE</v>
      </c>
      <c r="M12" s="679"/>
      <c r="N12" s="680"/>
      <c r="O12" s="680"/>
      <c r="P12" s="937" t="s">
        <v>549</v>
      </c>
      <c r="Q12" s="938"/>
      <c r="R12" s="939"/>
      <c r="S12" s="383"/>
      <c r="V12" s="146" t="str">
        <f>IF('Data Entry'!H9="Private Use","Private Use Only",'Data Entry'!H9)</f>
        <v>HIRING</v>
      </c>
    </row>
    <row r="13" spans="1:256" ht="18" customHeight="1" x14ac:dyDescent="0.3">
      <c r="A13" s="125"/>
      <c r="B13" s="7"/>
      <c r="C13" s="926" t="s">
        <v>458</v>
      </c>
      <c r="D13" s="927"/>
      <c r="E13" s="927"/>
      <c r="F13" s="927"/>
      <c r="G13" s="927"/>
      <c r="H13" s="927"/>
      <c r="I13" s="927"/>
      <c r="J13" s="928"/>
      <c r="K13" s="288"/>
      <c r="L13" s="303" t="s">
        <v>404</v>
      </c>
      <c r="M13" s="271"/>
      <c r="N13" s="109"/>
      <c r="O13" s="109"/>
      <c r="P13" s="932">
        <v>2022</v>
      </c>
      <c r="Q13" s="933"/>
      <c r="R13" s="335">
        <f>IF(U3=1,'Data Entry'!T12,"")</f>
        <v>4</v>
      </c>
      <c r="S13" s="383"/>
      <c r="V13" s="146" t="str">
        <f>IF(AND('Data Entry'!K14="",'Data Entry'!B21="No"),"NOT APPLICABLE",IF(AND('Data Entry'!K14="",OR('Data Entry'!B21="Yes",'Data Entry'!B21="Free")),"APPLICABLE  - TO BE ADVISED",'Data Entry'!K14))</f>
        <v>Asia Asset Finance Ltd</v>
      </c>
    </row>
    <row r="14" spans="1:256" ht="6" customHeight="1" x14ac:dyDescent="0.3">
      <c r="A14" s="125"/>
      <c r="B14" s="7"/>
      <c r="C14" s="20"/>
      <c r="D14" s="20"/>
      <c r="E14" s="20"/>
      <c r="F14" s="20"/>
      <c r="G14" s="20"/>
      <c r="H14" s="20"/>
      <c r="I14" s="20"/>
      <c r="J14" s="21"/>
      <c r="K14" s="21"/>
      <c r="L14" s="20"/>
      <c r="M14" s="20"/>
      <c r="N14" s="20"/>
      <c r="O14" s="20"/>
      <c r="P14" s="20"/>
      <c r="Q14" s="20"/>
      <c r="R14" s="20"/>
      <c r="S14" s="131"/>
    </row>
    <row r="15" spans="1:256" ht="6.75" customHeight="1" thickBot="1" x14ac:dyDescent="0.35">
      <c r="A15" s="125"/>
      <c r="B15" s="7"/>
      <c r="C15" s="7"/>
      <c r="D15" s="7"/>
      <c r="E15" s="7"/>
      <c r="F15" s="7"/>
      <c r="G15" s="7"/>
      <c r="H15" s="7"/>
      <c r="I15" s="7"/>
      <c r="J15" s="10"/>
      <c r="K15" s="10"/>
      <c r="L15" s="7"/>
      <c r="M15" s="7"/>
      <c r="N15" s="7"/>
      <c r="O15" s="7"/>
      <c r="P15" s="7"/>
      <c r="Q15" s="7"/>
      <c r="R15" s="7"/>
      <c r="S15" s="132"/>
    </row>
    <row r="16" spans="1:256" ht="24.65" customHeight="1" thickBot="1" x14ac:dyDescent="0.35">
      <c r="A16" s="125"/>
      <c r="B16" s="7"/>
      <c r="C16" s="406" t="s">
        <v>299</v>
      </c>
      <c r="D16" s="271"/>
      <c r="E16" s="271"/>
      <c r="F16" s="74" t="str">
        <f>IF('Data Entry'!H3="One Year",": One Year",CONCATENATE(": ",Calculation!H9," Days"))</f>
        <v>: One Year</v>
      </c>
      <c r="G16" s="271"/>
      <c r="H16" s="271"/>
      <c r="I16" s="291" t="str">
        <f>IF('Data Entry'!H3="One Year","",CONCATENATE("(",'Data Entry'!H3," Basis)"))</f>
        <v/>
      </c>
      <c r="J16" s="274"/>
      <c r="K16" s="274"/>
      <c r="L16" s="76" t="s">
        <v>168</v>
      </c>
      <c r="M16" s="271"/>
      <c r="N16" s="7"/>
      <c r="O16" s="7"/>
      <c r="P16" s="7"/>
      <c r="Q16" s="930">
        <v>1050000</v>
      </c>
      <c r="R16" s="931"/>
      <c r="S16" s="132"/>
      <c r="IQ16" s="141"/>
      <c r="IR16" s="313"/>
      <c r="IS16" s="313"/>
      <c r="IT16" s="313"/>
      <c r="IU16" s="313"/>
      <c r="IV16" s="313"/>
    </row>
    <row r="17" spans="1:255" ht="17.149999999999999" customHeight="1" x14ac:dyDescent="0.35">
      <c r="A17" s="125"/>
      <c r="B17" s="7"/>
      <c r="C17" s="950" t="str">
        <f>IF('Data Entry'!H3="One Year","",CONCATENATE("(From ",'Data Entry'!G4," ",'Data Entry'!H4," ",'Data Entry'!I4," to ",'Data Entry'!G5," ",'Data Entry'!H5," ",'Data Entry'!I5,")"))</f>
        <v/>
      </c>
      <c r="D17" s="950"/>
      <c r="E17" s="950"/>
      <c r="F17" s="950"/>
      <c r="G17" s="950"/>
      <c r="H17" s="950"/>
      <c r="I17" s="950"/>
      <c r="J17" s="10"/>
      <c r="K17" s="10"/>
      <c r="L17" s="78" t="s">
        <v>15</v>
      </c>
      <c r="M17" s="271"/>
      <c r="N17" s="7"/>
      <c r="O17" s="7"/>
      <c r="P17" s="7"/>
      <c r="Q17" s="118" t="s">
        <v>28</v>
      </c>
      <c r="R17" s="279">
        <f ca="1">IF(U3=1,'Data Entry'!O61,"")</f>
        <v>22352.034110000001</v>
      </c>
      <c r="S17" s="132"/>
      <c r="IQ17" s="141"/>
      <c r="IR17" s="314"/>
      <c r="IS17" s="314"/>
      <c r="IU17" s="315"/>
    </row>
    <row r="18" spans="1:255" ht="15" customHeight="1" x14ac:dyDescent="0.35">
      <c r="A18" s="125"/>
      <c r="B18" s="7"/>
      <c r="C18" s="732" t="s">
        <v>461</v>
      </c>
      <c r="D18" s="593"/>
      <c r="E18" s="593"/>
      <c r="F18" s="593"/>
      <c r="G18" s="593"/>
      <c r="H18" s="593"/>
      <c r="I18" s="593"/>
      <c r="J18" s="10"/>
      <c r="K18" s="10"/>
      <c r="L18" s="78" t="s">
        <v>25</v>
      </c>
      <c r="M18" s="271"/>
      <c r="N18" s="7"/>
      <c r="O18" s="7"/>
      <c r="P18" s="7"/>
      <c r="Q18" s="118" t="s">
        <v>28</v>
      </c>
      <c r="R18" s="279">
        <f>IF(U3=1,'Data Entry'!M40+'Data Entry'!M41,"")</f>
        <v>2737.5</v>
      </c>
      <c r="S18" s="132"/>
      <c r="T18" s="717" t="s">
        <v>60</v>
      </c>
      <c r="IQ18" s="314"/>
      <c r="IR18" s="314"/>
      <c r="IS18" s="314"/>
      <c r="IU18" s="315"/>
    </row>
    <row r="19" spans="1:255" ht="17.149999999999999" customHeight="1" x14ac:dyDescent="0.35">
      <c r="A19" s="125"/>
      <c r="B19" s="7"/>
      <c r="C19" s="947" t="s">
        <v>460</v>
      </c>
      <c r="D19" s="947"/>
      <c r="E19" s="947"/>
      <c r="F19" s="947"/>
      <c r="G19" s="947"/>
      <c r="H19" s="947"/>
      <c r="I19" s="947"/>
      <c r="J19" s="733"/>
      <c r="K19" s="10"/>
      <c r="L19" s="278" t="s">
        <v>26</v>
      </c>
      <c r="M19" s="271"/>
      <c r="N19" s="7"/>
      <c r="O19" s="7"/>
      <c r="P19" s="7"/>
      <c r="Q19" s="118" t="s">
        <v>28</v>
      </c>
      <c r="R19" s="279">
        <f>IF(U3=1,'Data Entry'!M42+'Data Entry'!M43,"")</f>
        <v>656.25</v>
      </c>
      <c r="S19" s="132"/>
      <c r="T19" s="718" t="s">
        <v>79</v>
      </c>
      <c r="IQ19" s="316"/>
      <c r="IR19" s="316"/>
      <c r="IS19" s="316"/>
      <c r="IU19" s="315"/>
    </row>
    <row r="20" spans="1:255" ht="17.149999999999999" customHeight="1" x14ac:dyDescent="0.35">
      <c r="A20" s="125"/>
      <c r="B20" s="7"/>
      <c r="C20" s="947"/>
      <c r="D20" s="947"/>
      <c r="E20" s="947"/>
      <c r="F20" s="947"/>
      <c r="G20" s="947"/>
      <c r="H20" s="947"/>
      <c r="I20" s="947"/>
      <c r="J20" s="734"/>
      <c r="K20" s="10"/>
      <c r="L20" s="278" t="s">
        <v>146</v>
      </c>
      <c r="M20" s="271"/>
      <c r="N20" s="7"/>
      <c r="O20" s="7"/>
      <c r="P20" s="7"/>
      <c r="Q20" s="118" t="s">
        <v>28</v>
      </c>
      <c r="R20" s="279">
        <f ca="1">IF(U3=1,'Data Entry'!M62+'Data Entry'!M65,"")</f>
        <v>1668.6446027500001</v>
      </c>
      <c r="S20" s="132"/>
      <c r="IQ20" s="317"/>
      <c r="IR20" s="317"/>
      <c r="IS20" s="317"/>
      <c r="IU20" s="315"/>
    </row>
    <row r="21" spans="1:255" ht="17.149999999999999" customHeight="1" x14ac:dyDescent="0.35">
      <c r="A21" s="125"/>
      <c r="B21" s="7"/>
      <c r="C21" s="947"/>
      <c r="D21" s="947"/>
      <c r="E21" s="947"/>
      <c r="F21" s="947"/>
      <c r="G21" s="947"/>
      <c r="H21" s="947"/>
      <c r="I21" s="947"/>
      <c r="J21" s="734"/>
      <c r="K21" s="10"/>
      <c r="L21" s="278" t="str">
        <f>IF(Rates!$F$20="Yes","Nation Building Levy (NBL)","VAT")</f>
        <v>VAT</v>
      </c>
      <c r="M21" s="271"/>
      <c r="N21" s="7"/>
      <c r="O21" s="7"/>
      <c r="P21" s="7"/>
      <c r="Q21" s="118" t="s">
        <v>28</v>
      </c>
      <c r="R21" s="279">
        <f ca="1">IF(AND(Rates!$F$20="Yes",$U$3=1),'Data Entry'!$M$64*'Data Entry'!$C$70,IF($U$3=1,'Data Entry'!$M$66*'Data Entry'!$C$70,""))</f>
        <v>4934.5971682949994</v>
      </c>
      <c r="S21" s="132"/>
      <c r="IQ21" s="317"/>
      <c r="IR21" s="317"/>
      <c r="IS21" s="317"/>
      <c r="IU21" s="315"/>
    </row>
    <row r="22" spans="1:255" ht="17.149999999999999" customHeight="1" thickBot="1" x14ac:dyDescent="0.4">
      <c r="A22" s="125"/>
      <c r="B22" s="7"/>
      <c r="C22" s="947"/>
      <c r="D22" s="947"/>
      <c r="E22" s="947"/>
      <c r="F22" s="947"/>
      <c r="G22" s="947"/>
      <c r="H22" s="947"/>
      <c r="I22" s="947"/>
      <c r="J22" s="734"/>
      <c r="K22" s="10"/>
      <c r="L22" s="78" t="str">
        <f>IF(Rates!$F$20="Yes","VAT","Total Contribution")</f>
        <v>Total Contribution</v>
      </c>
      <c r="M22" s="271"/>
      <c r="N22" s="7"/>
      <c r="O22" s="7"/>
      <c r="P22" s="7"/>
      <c r="Q22" s="118" t="s">
        <v>28</v>
      </c>
      <c r="R22" s="767">
        <f ca="1">IF(AND(Rates!$F$20="Yes",U3=1),'Data Entry'!$M$66*'Data Entry'!$C$70,IF(U3=1,'Data Entry'!$M$67,""))</f>
        <v>32349.025881045</v>
      </c>
      <c r="S22" s="132"/>
      <c r="IQ22" s="314"/>
      <c r="IR22" s="314"/>
      <c r="IS22" s="314"/>
      <c r="IU22" s="315"/>
    </row>
    <row r="23" spans="1:255" ht="17.149999999999999" customHeight="1" thickTop="1" x14ac:dyDescent="0.3">
      <c r="A23" s="125"/>
      <c r="B23" s="7"/>
      <c r="C23" s="947"/>
      <c r="D23" s="947"/>
      <c r="E23" s="947"/>
      <c r="F23" s="947"/>
      <c r="G23" s="947"/>
      <c r="H23" s="947"/>
      <c r="I23" s="947"/>
      <c r="J23" s="734"/>
      <c r="K23" s="10"/>
      <c r="L23" s="76" t="str">
        <f>IF(Rates!$F$20="Yes","Total Contribution","")</f>
        <v/>
      </c>
      <c r="M23" s="271"/>
      <c r="N23" s="7"/>
      <c r="O23" s="7"/>
      <c r="P23" s="7"/>
      <c r="Q23" s="118" t="str">
        <f>IF(Rates!$F$20="Yes","Rs.","")</f>
        <v/>
      </c>
      <c r="R23" s="768" t="str">
        <f>IF(AND($U$3=1,Rates!$F$20="Yes"),'Data Entry'!$M$67,"")</f>
        <v/>
      </c>
      <c r="S23" s="132"/>
      <c r="IQ23" s="313"/>
      <c r="IR23" s="313"/>
      <c r="IS23" s="313"/>
      <c r="IU23" s="315"/>
    </row>
    <row r="24" spans="1:255" ht="18.75" customHeight="1" x14ac:dyDescent="0.3">
      <c r="A24" s="125"/>
      <c r="B24" s="7"/>
      <c r="C24" s="734"/>
      <c r="D24" s="734"/>
      <c r="E24" s="734"/>
      <c r="F24" s="734"/>
      <c r="G24" s="734"/>
      <c r="H24" s="734"/>
      <c r="I24" s="734"/>
      <c r="J24" s="734"/>
      <c r="K24" s="10"/>
      <c r="L24" s="948" t="str">
        <f>IF(OR(C13="",C13="Not Applicable"),"","NB : - Not Applicable for Ijara Leasing Facility")</f>
        <v>NB : - Not Applicable for Ijara Leasing Facility</v>
      </c>
      <c r="M24" s="948"/>
      <c r="N24" s="948"/>
      <c r="O24" s="948"/>
      <c r="P24" s="948"/>
      <c r="Q24" s="948"/>
      <c r="R24" s="948"/>
      <c r="S24" s="132"/>
      <c r="V24" s="614"/>
      <c r="W24" s="614"/>
      <c r="X24" s="614"/>
      <c r="Y24" s="614"/>
      <c r="Z24" s="614"/>
      <c r="AA24" s="614"/>
    </row>
    <row r="25" spans="1:255" ht="14.25" hidden="1" customHeight="1" x14ac:dyDescent="0.3">
      <c r="A25" s="125"/>
      <c r="B25" s="7"/>
      <c r="C25" s="360"/>
      <c r="D25" s="360"/>
      <c r="E25" s="360"/>
      <c r="F25" s="360"/>
      <c r="G25" s="360"/>
      <c r="H25" s="360"/>
      <c r="I25" s="360"/>
      <c r="J25" s="360"/>
      <c r="K25" s="360"/>
      <c r="L25" s="360"/>
      <c r="M25" s="360"/>
      <c r="N25" s="360"/>
      <c r="O25" s="360"/>
      <c r="P25" s="360"/>
      <c r="Q25" s="360"/>
      <c r="R25" s="360"/>
      <c r="S25" s="132"/>
      <c r="V25" s="614"/>
      <c r="W25" s="614"/>
      <c r="X25" s="614"/>
      <c r="Y25" s="614"/>
      <c r="Z25" s="614"/>
      <c r="AA25" s="614"/>
    </row>
    <row r="26" spans="1:255" ht="14.25" hidden="1" customHeight="1" x14ac:dyDescent="0.3">
      <c r="A26" s="125"/>
      <c r="B26" s="7"/>
      <c r="C26" s="360"/>
      <c r="D26" s="360"/>
      <c r="E26" s="360"/>
      <c r="F26" s="360"/>
      <c r="G26" s="360"/>
      <c r="H26" s="360"/>
      <c r="I26" s="360"/>
      <c r="J26" s="360"/>
      <c r="K26" s="360"/>
      <c r="L26" s="360"/>
      <c r="M26" s="360"/>
      <c r="N26" s="360"/>
      <c r="O26" s="360"/>
      <c r="P26" s="360"/>
      <c r="Q26" s="360"/>
      <c r="R26" s="360"/>
      <c r="S26" s="134"/>
      <c r="V26" s="614"/>
      <c r="W26" s="614"/>
      <c r="X26" s="614"/>
      <c r="Y26" s="614"/>
      <c r="Z26" s="614"/>
      <c r="AA26" s="614"/>
    </row>
    <row r="27" spans="1:255" ht="18" customHeight="1" x14ac:dyDescent="0.3">
      <c r="A27" s="125"/>
      <c r="B27" s="7"/>
      <c r="C27" s="350" t="s">
        <v>452</v>
      </c>
      <c r="D27" s="359"/>
      <c r="E27" s="359"/>
      <c r="F27" s="359"/>
      <c r="G27" s="359"/>
      <c r="H27" s="359"/>
      <c r="I27" s="359"/>
      <c r="J27" s="359"/>
      <c r="K27" s="359"/>
      <c r="L27" s="359"/>
      <c r="M27" s="359"/>
      <c r="N27" s="359"/>
      <c r="O27" s="359"/>
      <c r="P27" s="359"/>
      <c r="Q27" s="359"/>
      <c r="R27" s="721" t="str">
        <f>IF(AND(U3=1,'Data Entry'!U2=1),'Data Entry'!H11,"ERROR")</f>
        <v>INDIAN</v>
      </c>
      <c r="S27" s="134"/>
      <c r="V27" s="614"/>
      <c r="W27" s="614"/>
      <c r="X27" s="614"/>
      <c r="Y27" s="614"/>
      <c r="Z27" s="614"/>
      <c r="AA27" s="614"/>
    </row>
    <row r="28" spans="1:255" ht="18" customHeight="1" x14ac:dyDescent="0.3">
      <c r="A28" s="125"/>
      <c r="B28" s="7"/>
      <c r="C28" s="353" t="s">
        <v>292</v>
      </c>
      <c r="D28" s="355" t="str">
        <f>IF(AA41=0,"Loss or Damage to Vehicle - by Accidental External Means, Theft and Fire (Excludes theft of parts)","Loss or Damage to Vehicle - by Accidental External Means, Theft and Fire")</f>
        <v>Loss or Damage to Vehicle - by Accidental External Means, Theft and Fire (Excludes theft of parts)</v>
      </c>
      <c r="E28" s="360"/>
      <c r="F28" s="360"/>
      <c r="G28" s="360"/>
      <c r="H28" s="360"/>
      <c r="I28" s="360"/>
      <c r="J28" s="360"/>
      <c r="K28" s="360"/>
      <c r="L28" s="360"/>
      <c r="M28" s="360"/>
      <c r="N28" s="360"/>
      <c r="O28" s="360"/>
      <c r="P28" s="360"/>
      <c r="Q28" s="360"/>
      <c r="R28" s="722" t="str">
        <f>IF(AND(U3=1,'Data Entry'!U2=1),'Data Entry'!J11,"ERROR")</f>
        <v>REGISTERED</v>
      </c>
      <c r="S28" s="134"/>
      <c r="V28" s="614"/>
      <c r="W28" s="614"/>
      <c r="X28" s="614"/>
      <c r="Y28" s="614"/>
      <c r="Z28" s="614"/>
      <c r="AA28" s="614"/>
    </row>
    <row r="29" spans="1:255" ht="18" customHeight="1" x14ac:dyDescent="0.3">
      <c r="A29" s="125"/>
      <c r="B29" s="7"/>
      <c r="C29" s="353" t="s">
        <v>293</v>
      </c>
      <c r="D29" s="355" t="str">
        <f>CONCATENATE("Third Party Liability cover"," (Property Damage limited to Rs.",FIXED(MAX(Rates!B55,I35),0),")")</f>
        <v>Third Party Liability cover (Property Damage limited to Rs.300,000)</v>
      </c>
      <c r="E29" s="360"/>
      <c r="F29" s="360"/>
      <c r="G29" s="360"/>
      <c r="H29" s="360"/>
      <c r="I29" s="360"/>
      <c r="J29" s="360"/>
      <c r="K29" s="360"/>
      <c r="L29" s="360"/>
      <c r="M29" s="360"/>
      <c r="N29" s="360"/>
      <c r="O29" s="360"/>
      <c r="P29" s="360"/>
      <c r="Q29" s="360"/>
      <c r="R29" s="722" t="str">
        <f>IF(AND(U3=1,'Data Entry'!V2=1),CONCATENATE('Data Entry'!H8," (",'Data Entry'!C12,")"),"ERROR")</f>
        <v>QUADRICYCLE (Petrol)</v>
      </c>
      <c r="S29" s="134"/>
      <c r="V29" s="614" t="s">
        <v>528</v>
      </c>
      <c r="W29" s="614">
        <f>IF('Data Entry'!M55&gt;0,1,0)</f>
        <v>1</v>
      </c>
      <c r="X29" s="614"/>
      <c r="Y29" s="614"/>
      <c r="Z29" s="614"/>
      <c r="AA29" s="614"/>
    </row>
    <row r="30" spans="1:255" ht="18" customHeight="1" x14ac:dyDescent="0.3">
      <c r="A30" s="125"/>
      <c r="B30" s="7"/>
      <c r="C30" s="353" t="s">
        <v>291</v>
      </c>
      <c r="D30" s="355" t="s">
        <v>298</v>
      </c>
      <c r="E30" s="360"/>
      <c r="F30" s="360"/>
      <c r="G30" s="360"/>
      <c r="H30" s="360"/>
      <c r="I30" s="360"/>
      <c r="J30" s="360"/>
      <c r="K30" s="360"/>
      <c r="L30" s="360"/>
      <c r="M30" s="360"/>
      <c r="N30" s="360"/>
      <c r="O30" s="360"/>
      <c r="P30" s="360"/>
      <c r="Q30" s="360"/>
      <c r="R30" s="695" t="str">
        <f>CONCATENATE("- ",'Data Entry'!H9," -")</f>
        <v>- HIRING -</v>
      </c>
      <c r="S30" s="134"/>
      <c r="V30" s="736" t="str">
        <f>IF(I34=Rates!B36,"(Free)","")</f>
        <v>(Free)</v>
      </c>
      <c r="W30" s="614"/>
      <c r="X30" s="614"/>
      <c r="Y30" s="614" t="s">
        <v>453</v>
      </c>
      <c r="Z30" s="614"/>
      <c r="AA30" s="614"/>
    </row>
    <row r="31" spans="1:255" ht="19" customHeight="1" x14ac:dyDescent="0.4">
      <c r="A31" s="125"/>
      <c r="B31" s="7"/>
      <c r="C31" s="724" t="s">
        <v>462</v>
      </c>
      <c r="D31" s="684"/>
      <c r="E31" s="10"/>
      <c r="F31" s="10"/>
      <c r="G31" s="128"/>
      <c r="H31" s="119" t="str">
        <f>IF('Data Entry'!B21="Free","FREE",IF('Data Entry'!B21="No","N/A","Yes"))</f>
        <v>FREE</v>
      </c>
      <c r="I31" s="10"/>
      <c r="J31" s="301"/>
      <c r="K31" s="10"/>
      <c r="L31" s="723" t="s">
        <v>463</v>
      </c>
      <c r="M31" s="684"/>
      <c r="N31" s="689"/>
      <c r="O31" s="690"/>
      <c r="P31" s="688"/>
      <c r="Q31" s="128"/>
      <c r="R31" s="696"/>
      <c r="S31" s="133"/>
      <c r="T31" s="146" t="s">
        <v>29</v>
      </c>
      <c r="U31" s="304" t="str">
        <f>'Data Entry'!B21</f>
        <v>Free</v>
      </c>
      <c r="V31" s="614" t="s">
        <v>19</v>
      </c>
      <c r="W31" s="737">
        <f>IF(OR('Data Entry'!R25=2,'Data Entry'!AA25=1),1,0)</f>
        <v>0</v>
      </c>
      <c r="X31" s="614"/>
      <c r="Y31" s="614"/>
      <c r="Z31" s="738">
        <f>IF(AND('Data Entry'!AA25=1,'Data Entry'!R25=2),MAX('Data Entry'!H25,Rates!C40),IF(AND('Data Entry'!AA25=1,'Data Entry'!R25&lt;2),Rates!C40,IF(AND('Data Entry'!AA25=0,'Data Entry'!R25=2),'Data Entry'!H25,0)))</f>
        <v>0</v>
      </c>
      <c r="AA31" s="614"/>
    </row>
    <row r="32" spans="1:255" ht="19" customHeight="1" x14ac:dyDescent="0.35">
      <c r="A32" s="125"/>
      <c r="B32" s="7"/>
      <c r="C32" s="22" t="s">
        <v>11</v>
      </c>
      <c r="D32" s="78" t="s">
        <v>270</v>
      </c>
      <c r="E32" s="10"/>
      <c r="F32" s="10"/>
      <c r="G32" s="10"/>
      <c r="H32" s="10"/>
      <c r="I32" s="10"/>
      <c r="J32" s="301"/>
      <c r="K32" s="10"/>
      <c r="L32" s="22" t="s">
        <v>11</v>
      </c>
      <c r="M32" s="78" t="s">
        <v>448</v>
      </c>
      <c r="N32" s="80"/>
      <c r="O32" s="80"/>
      <c r="P32" s="10"/>
      <c r="Q32" s="7"/>
      <c r="R32" s="409">
        <f>IF('Data Entry'!T47=1,'Data Entry'!H47,"Not Applicable")</f>
        <v>300000</v>
      </c>
      <c r="S32" s="131"/>
      <c r="T32" s="146" t="s">
        <v>30</v>
      </c>
      <c r="U32" s="304" t="str">
        <f>'Data Entry'!B39</f>
        <v>Yes</v>
      </c>
      <c r="V32" s="614" t="s">
        <v>41</v>
      </c>
      <c r="W32" s="737">
        <f>'Data Entry'!R29</f>
        <v>2</v>
      </c>
      <c r="X32" s="614">
        <f>'Data Entry'!Q66</f>
        <v>1</v>
      </c>
      <c r="Y32" s="614"/>
      <c r="Z32" s="614"/>
      <c r="AA32" s="614"/>
    </row>
    <row r="33" spans="1:30" ht="19" customHeight="1" thickBot="1" x14ac:dyDescent="0.4">
      <c r="A33" s="125"/>
      <c r="B33" s="7"/>
      <c r="C33" s="22" t="s">
        <v>11</v>
      </c>
      <c r="D33" s="78" t="s">
        <v>265</v>
      </c>
      <c r="E33" s="10"/>
      <c r="F33" s="10"/>
      <c r="G33" s="10"/>
      <c r="H33" s="10"/>
      <c r="I33" s="10"/>
      <c r="J33" s="301"/>
      <c r="K33" s="10"/>
      <c r="L33" s="22" t="s">
        <v>11</v>
      </c>
      <c r="M33" s="78" t="s">
        <v>527</v>
      </c>
      <c r="N33" s="8"/>
      <c r="O33" s="12"/>
      <c r="P33" s="12"/>
      <c r="Q33" s="12"/>
      <c r="R33" s="413">
        <v>300000</v>
      </c>
      <c r="S33" s="131"/>
      <c r="T33" s="146" t="s">
        <v>0</v>
      </c>
      <c r="U33" s="304" t="str">
        <f>'Data Entry'!B40</f>
        <v>Yes</v>
      </c>
      <c r="V33" s="614" t="s">
        <v>40</v>
      </c>
      <c r="W33" s="737">
        <f>'Data Entry'!T48</f>
        <v>1</v>
      </c>
      <c r="X33" s="614"/>
      <c r="Y33" s="614"/>
      <c r="Z33" s="614"/>
      <c r="AA33" s="614"/>
    </row>
    <row r="34" spans="1:30" ht="19" customHeight="1" thickBot="1" x14ac:dyDescent="0.4">
      <c r="A34" s="125"/>
      <c r="B34" s="7"/>
      <c r="C34" s="22" t="s">
        <v>11</v>
      </c>
      <c r="D34" s="78" t="s">
        <v>14</v>
      </c>
      <c r="E34" s="70"/>
      <c r="F34" s="77"/>
      <c r="G34" s="729" t="str">
        <f>IF(I34=1000,"Free Cover","")</f>
        <v/>
      </c>
      <c r="H34" s="23"/>
      <c r="I34" s="730">
        <f>IF(P7="THREE WHEELER",1000,7500)</f>
        <v>7500</v>
      </c>
      <c r="J34" s="301"/>
      <c r="K34" s="10"/>
      <c r="L34" s="22" t="s">
        <v>11</v>
      </c>
      <c r="M34" s="725" t="s">
        <v>544</v>
      </c>
      <c r="N34" s="8"/>
      <c r="O34" s="12"/>
      <c r="P34" s="12"/>
      <c r="Q34" s="12"/>
      <c r="R34" s="413">
        <v>300000</v>
      </c>
      <c r="S34" s="131"/>
      <c r="T34" s="146" t="s">
        <v>19</v>
      </c>
      <c r="U34" s="304">
        <f>IF('Data Entry'!Y42&gt;0,1,0)</f>
        <v>0</v>
      </c>
      <c r="V34" s="614" t="s">
        <v>20</v>
      </c>
      <c r="W34" s="737">
        <f>IF('Data Entry'!Z42&gt;0,1,0)</f>
        <v>0</v>
      </c>
      <c r="X34" s="614" t="s">
        <v>18</v>
      </c>
      <c r="Y34" s="737">
        <f>IF('Data Entry'!X42&gt;0,1,0)</f>
        <v>0</v>
      </c>
      <c r="Z34" s="614" t="s">
        <v>36</v>
      </c>
      <c r="AA34" s="737">
        <f>IF('Data Entry'!T47=0,0,'Data Entry'!O47)</f>
        <v>1</v>
      </c>
      <c r="AB34" s="614"/>
      <c r="AC34" s="614"/>
      <c r="AD34" s="628">
        <v>1</v>
      </c>
    </row>
    <row r="35" spans="1:30" ht="19" customHeight="1" thickBot="1" x14ac:dyDescent="0.4">
      <c r="A35" s="125"/>
      <c r="B35" s="7"/>
      <c r="C35" s="22" t="s">
        <v>11</v>
      </c>
      <c r="D35" s="78" t="s">
        <v>7</v>
      </c>
      <c r="E35" s="24"/>
      <c r="F35" s="10"/>
      <c r="G35" s="24"/>
      <c r="H35" s="10"/>
      <c r="I35" s="766">
        <v>300000</v>
      </c>
      <c r="J35" s="301"/>
      <c r="K35" s="10"/>
      <c r="L35" s="22" t="s">
        <v>11</v>
      </c>
      <c r="M35" s="83" t="str">
        <f>IF('Data Entry'!AA2=1,"Critical Illness Cover ","")</f>
        <v xml:space="preserve">Critical Illness Cover </v>
      </c>
      <c r="N35" s="12"/>
      <c r="O35" s="82"/>
      <c r="P35" s="12"/>
      <c r="Q35" s="12"/>
      <c r="R35" s="410">
        <v>100000</v>
      </c>
      <c r="S35" s="134"/>
      <c r="T35" s="146" t="s">
        <v>31</v>
      </c>
      <c r="U35" s="304" t="str">
        <f>'Data Entry'!B41</f>
        <v>Yes</v>
      </c>
      <c r="V35" s="614" t="s">
        <v>35</v>
      </c>
      <c r="W35" s="737">
        <f>'Data Entry'!O52</f>
        <v>1</v>
      </c>
      <c r="X35" s="739">
        <v>1</v>
      </c>
      <c r="Y35" s="737"/>
      <c r="Z35" s="614"/>
      <c r="AA35" s="737"/>
      <c r="AB35" s="614"/>
      <c r="AC35" s="614"/>
    </row>
    <row r="36" spans="1:30" ht="19" customHeight="1" x14ac:dyDescent="0.35">
      <c r="A36" s="125"/>
      <c r="B36" s="7"/>
      <c r="C36" s="22" t="s">
        <v>11</v>
      </c>
      <c r="D36" s="78" t="s">
        <v>13</v>
      </c>
      <c r="E36" s="683"/>
      <c r="F36" s="681"/>
      <c r="G36" s="682"/>
      <c r="H36" s="682"/>
      <c r="I36" s="684"/>
      <c r="J36" s="301"/>
      <c r="K36" s="10"/>
      <c r="L36" s="703" t="s">
        <v>11</v>
      </c>
      <c r="M36" s="761" t="s">
        <v>465</v>
      </c>
      <c r="N36" s="686"/>
      <c r="O36" s="763"/>
      <c r="P36" s="684"/>
      <c r="Q36" s="762"/>
      <c r="R36" s="674">
        <v>4000</v>
      </c>
      <c r="S36" s="134"/>
      <c r="T36" s="146" t="s">
        <v>19</v>
      </c>
      <c r="U36" s="304">
        <f>IF('Data Entry'!Y43&gt;0,1,0)</f>
        <v>0</v>
      </c>
      <c r="V36" s="614" t="s">
        <v>35</v>
      </c>
      <c r="W36" s="737">
        <f>IF('Data Entry'!Z43&gt;0,1,0)</f>
        <v>0</v>
      </c>
      <c r="X36" s="614"/>
      <c r="Y36" s="614"/>
      <c r="Z36" s="614" t="s">
        <v>34</v>
      </c>
      <c r="AA36" s="737">
        <f>IF(OR('Data Entry'!Q49&gt;0,'Data Entry'!H49&gt;0),1,0)</f>
        <v>1</v>
      </c>
      <c r="AB36" s="614">
        <f>IF(AND('Data Entry'!T47=1,'Data Entry'!H49&lt;7500),7500,'Data Entry'!H49)</f>
        <v>7500</v>
      </c>
      <c r="AC36" s="614"/>
    </row>
    <row r="37" spans="1:30" ht="19" customHeight="1" x14ac:dyDescent="0.35">
      <c r="A37" s="125"/>
      <c r="B37" s="7"/>
      <c r="C37" s="22" t="s">
        <v>11</v>
      </c>
      <c r="D37" s="78" t="str">
        <f ca="1">IF(AND('Data Entry'!$M$36&lt;0,'Data Entry'!$I$38="Reveal"),CONCATENATE(B40," - ",MIN('Data Entry'!$H$36%,'Data Entry'!$R$36%)*100,"%"),B40)</f>
        <v>No Claim Bonus (*)</v>
      </c>
      <c r="E37" s="25"/>
      <c r="F37" s="12"/>
      <c r="G37" s="10"/>
      <c r="H37" s="10"/>
      <c r="I37" s="684"/>
      <c r="J37" s="301"/>
      <c r="K37" s="10"/>
      <c r="L37" s="684"/>
      <c r="M37" s="765" t="s">
        <v>466</v>
      </c>
      <c r="N37" s="684"/>
      <c r="O37" s="684"/>
      <c r="P37" s="704"/>
      <c r="Q37" s="686"/>
      <c r="R37" s="705"/>
      <c r="S37" s="134"/>
      <c r="T37" s="146" t="s">
        <v>20</v>
      </c>
      <c r="U37" s="304">
        <f>'Data Entry'!O50</f>
        <v>0</v>
      </c>
      <c r="V37" s="614" t="s">
        <v>33</v>
      </c>
      <c r="W37" s="737">
        <f ca="1">'Data Entry'!P23</f>
        <v>0</v>
      </c>
      <c r="X37" s="614"/>
      <c r="Y37" s="614"/>
      <c r="Z37" s="614"/>
      <c r="AA37" s="614"/>
      <c r="AB37" s="614"/>
      <c r="AC37" s="614"/>
    </row>
    <row r="38" spans="1:30" ht="19" customHeight="1" thickBot="1" x14ac:dyDescent="0.4">
      <c r="A38" s="678">
        <v>1</v>
      </c>
      <c r="B38" s="7"/>
      <c r="C38" s="22" t="s">
        <v>11</v>
      </c>
      <c r="D38" s="78" t="s">
        <v>266</v>
      </c>
      <c r="E38" s="25"/>
      <c r="F38" s="117"/>
      <c r="G38" s="83"/>
      <c r="H38" s="270"/>
      <c r="I38" s="118"/>
      <c r="J38" s="301"/>
      <c r="K38" s="10"/>
      <c r="L38" s="22" t="s">
        <v>11</v>
      </c>
      <c r="M38" s="652" t="s">
        <v>467</v>
      </c>
      <c r="N38" s="692"/>
      <c r="O38" s="686"/>
      <c r="P38" s="686"/>
      <c r="Q38" s="731" t="s">
        <v>468</v>
      </c>
      <c r="R38" s="409">
        <f>IF(AND('Data Entry'!G52=0,'Data Entry'!G53=0),0,IF(AND('Data Entry'!G52=0,'Data Entry'!G53&lt;&gt;0),'Data Entry'!H53,IF(AND('Data Entry'!G52&lt;&gt;0,'Data Entry'!G53=0),'Data Entry'!H52,IF('Data Entry'!T47=1,FIXED('Data Entry'!H52+'Data Entry'!H53,2),"Not Applicable"))))</f>
        <v>7500</v>
      </c>
      <c r="S38" s="134"/>
      <c r="T38" s="146" t="s">
        <v>20</v>
      </c>
      <c r="U38" s="304">
        <f>'Data Entry'!O51</f>
        <v>0</v>
      </c>
      <c r="V38" s="614" t="s">
        <v>35</v>
      </c>
      <c r="W38" s="737">
        <f>'Data Entry'!O22</f>
        <v>0</v>
      </c>
      <c r="X38" s="614"/>
      <c r="Y38" s="614"/>
      <c r="Z38" s="614"/>
      <c r="AA38" s="614"/>
      <c r="AB38" s="614"/>
      <c r="AC38" s="614"/>
    </row>
    <row r="39" spans="1:30" ht="19" customHeight="1" thickBot="1" x14ac:dyDescent="0.4">
      <c r="A39" s="125"/>
      <c r="B39" s="7"/>
      <c r="C39" s="22" t="s">
        <v>11</v>
      </c>
      <c r="D39" s="78" t="str">
        <f>IF(AND('Data Entry'!T29&gt;0,'Data Entry'!K29&gt;0),CONCATENATE("LLP for ",'Data Entry'!T29," passenger(s)"),IF(X32=0,CONCATENATE("LLP for ",'Data Entry'!I29," Passenger(s)"),"Legal Liability to Passengers"))</f>
        <v>LLP for 3 passenger(s)</v>
      </c>
      <c r="E39" s="271"/>
      <c r="F39" s="298"/>
      <c r="G39" s="110"/>
      <c r="H39" s="10"/>
      <c r="I39" s="769">
        <v>100000</v>
      </c>
      <c r="J39" s="301"/>
      <c r="K39" s="10"/>
      <c r="L39" s="22" t="s">
        <v>11</v>
      </c>
      <c r="M39" s="76" t="s">
        <v>464</v>
      </c>
      <c r="N39" s="128"/>
      <c r="O39" s="688"/>
      <c r="P39" s="688"/>
      <c r="Q39" s="687"/>
      <c r="R39" s="674">
        <v>25000</v>
      </c>
      <c r="S39" s="134"/>
      <c r="T39" s="146" t="s">
        <v>32</v>
      </c>
      <c r="U39" s="304">
        <f>'Data Entry'!O54</f>
        <v>0</v>
      </c>
      <c r="V39" s="146" t="s">
        <v>35</v>
      </c>
      <c r="W39" s="304">
        <f ca="1">'Data Entry'!O36</f>
        <v>1</v>
      </c>
    </row>
    <row r="40" spans="1:30" ht="19" customHeight="1" x14ac:dyDescent="0.35">
      <c r="A40" s="125"/>
      <c r="B40" s="682" t="str">
        <f ca="1">IF('Data Entry'!M37&lt;0,"No Claim Bonus (*)","Earned No Claim Bonus")</f>
        <v>No Claim Bonus (*)</v>
      </c>
      <c r="C40" s="22" t="s">
        <v>11</v>
      </c>
      <c r="D40" s="118" t="str">
        <f>IF('Data Entry'!H54&gt;0,CONCATENATE("Learner Driver Cover for"," ",'Data Entry'!H54,"  ","Person(s)"),"Learner Driver Cover")</f>
        <v>Learner Driver Cover</v>
      </c>
      <c r="E40" s="10"/>
      <c r="F40" s="684"/>
      <c r="G40" s="684"/>
      <c r="H40" s="685"/>
      <c r="I40" s="684"/>
      <c r="J40" s="301"/>
      <c r="K40" s="10"/>
      <c r="L40" s="761"/>
      <c r="M40" s="727" t="s">
        <v>545</v>
      </c>
      <c r="N40" s="694"/>
      <c r="O40" s="694"/>
      <c r="P40" s="694"/>
      <c r="Q40" s="684"/>
      <c r="R40" s="684"/>
      <c r="S40" s="9"/>
      <c r="T40" s="146" t="s">
        <v>46</v>
      </c>
      <c r="U40" s="304">
        <f>IF('Data Entry'!B55="Yes",1,0)</f>
        <v>1</v>
      </c>
      <c r="V40" s="146" t="s">
        <v>35</v>
      </c>
      <c r="W40" s="304">
        <v>0</v>
      </c>
      <c r="X40" s="146" t="s">
        <v>45</v>
      </c>
      <c r="Y40" s="739">
        <f>'Data Entry'!O45</f>
        <v>1</v>
      </c>
    </row>
    <row r="41" spans="1:30" ht="19" hidden="1" customHeight="1" x14ac:dyDescent="0.3">
      <c r="A41" s="125"/>
      <c r="B41" s="684"/>
      <c r="C41" s="684"/>
      <c r="D41" s="684"/>
      <c r="E41" s="684"/>
      <c r="F41" s="684"/>
      <c r="G41" s="684"/>
      <c r="H41" s="684"/>
      <c r="I41" s="684"/>
      <c r="J41" s="302"/>
      <c r="K41" s="275"/>
      <c r="L41" s="684"/>
      <c r="M41" s="684"/>
      <c r="N41" s="694"/>
      <c r="O41" s="694"/>
      <c r="P41" s="694"/>
      <c r="Q41" s="128"/>
      <c r="R41" s="684"/>
      <c r="S41" s="134"/>
      <c r="T41" s="146" t="s">
        <v>18</v>
      </c>
      <c r="U41" s="691">
        <f>'Data Entry'!O30</f>
        <v>0</v>
      </c>
      <c r="V41" s="628" t="s">
        <v>35</v>
      </c>
      <c r="W41" s="691">
        <f>'Data Entry'!E34</f>
        <v>1</v>
      </c>
      <c r="X41" s="628" t="s">
        <v>50</v>
      </c>
      <c r="Y41" s="628" t="str">
        <f>'Data Entry'!B46</f>
        <v>No</v>
      </c>
      <c r="Z41" s="628" t="s">
        <v>50</v>
      </c>
      <c r="AA41" s="628">
        <f>IF('Data Entry'!Q48=0,1,'Data Entry'!T46)</f>
        <v>0</v>
      </c>
      <c r="AB41" s="628">
        <f>IF(AND('Data Entry'!M8="Motor Coach",'Data Entry'!H9="SLTB Route"),1,0)</f>
        <v>0</v>
      </c>
      <c r="AC41" s="628">
        <f>IF('Data Entry'!AA2=1,1,0)</f>
        <v>1</v>
      </c>
    </row>
    <row r="42" spans="1:30" ht="18" hidden="1" customHeight="1" x14ac:dyDescent="0.35">
      <c r="A42" s="125"/>
      <c r="B42" s="7"/>
      <c r="C42" s="7"/>
      <c r="D42" s="118" t="str">
        <f>IF(AND(U41=1,W41=1,AC41=1),"- Includes damage by fire; but excludes Burglary",IF(AND(U41=1,'Data Entry'!AA2=1),"- Excludes loss/Damage to Goods by Fire &amp; Burglary",""))</f>
        <v/>
      </c>
      <c r="E42" s="271"/>
      <c r="F42" s="941"/>
      <c r="G42" s="942"/>
      <c r="H42" s="7"/>
      <c r="I42" s="7"/>
      <c r="J42" s="301"/>
      <c r="K42" s="10"/>
      <c r="L42" s="687"/>
      <c r="M42" s="136" t="str">
        <f>IF($U$43=1,PROPER('Data Entry'!$F$59),"")</f>
        <v/>
      </c>
      <c r="N42" s="12"/>
      <c r="O42" s="12"/>
      <c r="P42" s="12"/>
      <c r="Q42" s="12"/>
      <c r="R42" s="75"/>
      <c r="S42" s="134"/>
      <c r="T42" s="146" t="s">
        <v>132</v>
      </c>
      <c r="U42" s="305">
        <f>IF(AND('Data Entry'!M8=Administration!C10,'Data Entry'!H9=Administration!C23),1,0)</f>
        <v>0</v>
      </c>
      <c r="V42" s="146" t="s">
        <v>35</v>
      </c>
      <c r="W42" s="304">
        <f>'Data Entry'!O56</f>
        <v>0</v>
      </c>
    </row>
    <row r="43" spans="1:30" ht="20.149999999999999" customHeight="1" x14ac:dyDescent="0.3">
      <c r="A43" s="125"/>
      <c r="B43" s="7"/>
      <c r="C43" s="943" t="s">
        <v>469</v>
      </c>
      <c r="D43" s="943"/>
      <c r="E43" s="943"/>
      <c r="F43" s="943"/>
      <c r="G43" s="943"/>
      <c r="H43" s="943"/>
      <c r="I43" s="943"/>
      <c r="J43" s="943"/>
      <c r="K43" s="943"/>
      <c r="L43" s="943"/>
      <c r="M43" s="943"/>
      <c r="N43" s="943"/>
      <c r="O43" s="943"/>
      <c r="P43" s="943"/>
      <c r="Q43" s="943"/>
      <c r="R43" s="943"/>
      <c r="S43" s="131"/>
      <c r="T43" s="306">
        <f>'Data Entry'!$O$58</f>
        <v>0</v>
      </c>
      <c r="U43" s="306">
        <f>'Data Entry'!$O$59</f>
        <v>0</v>
      </c>
      <c r="V43" s="146" t="s">
        <v>35</v>
      </c>
    </row>
    <row r="44" spans="1:30" ht="18" customHeight="1" x14ac:dyDescent="0.3">
      <c r="A44" s="125"/>
      <c r="B44" s="7"/>
      <c r="C44" s="281" t="s">
        <v>321</v>
      </c>
      <c r="D44" s="299"/>
      <c r="E44" s="299"/>
      <c r="F44" s="299"/>
      <c r="G44" s="82" t="s">
        <v>322</v>
      </c>
      <c r="H44" s="299"/>
      <c r="I44" s="299"/>
      <c r="J44" s="299"/>
      <c r="K44" s="299"/>
      <c r="L44" s="299"/>
      <c r="M44" s="299"/>
      <c r="N44" s="299"/>
      <c r="O44" s="299"/>
      <c r="P44" s="299"/>
      <c r="Q44" s="299"/>
      <c r="R44" s="299"/>
      <c r="S44" s="131"/>
      <c r="W44" s="146">
        <f ca="1">IF('Data Entry'!M36&lt;0,1,0)</f>
        <v>0</v>
      </c>
    </row>
    <row r="45" spans="1:30" ht="18" customHeight="1" x14ac:dyDescent="0.3">
      <c r="A45" s="125"/>
      <c r="B45" s="7">
        <f>IF(AND(Rates!D71="Yes",'Data Entry'!H12="Hybrid"),1,0)</f>
        <v>0</v>
      </c>
      <c r="C45" s="295" t="s">
        <v>402</v>
      </c>
      <c r="D45" s="296"/>
      <c r="E45" s="296"/>
      <c r="F45" s="296"/>
      <c r="G45" s="296"/>
      <c r="H45" s="285" t="s">
        <v>53</v>
      </c>
      <c r="I45" s="594" t="str">
        <f>IF(AND(P13&lt;2010,P7="THRE WHEELER"),"Rs.4,500/-",IF(P12="Private Use Only","Nil",IF(P12="HIRING","Rs.1,000/-","Rs.3,000/-")))</f>
        <v>Rs.1,000/-</v>
      </c>
      <c r="J45" s="387"/>
      <c r="K45" s="296"/>
      <c r="L45" s="297" t="str">
        <f>IF(OR('Data Entry'!U57=1,'Data Entry'!T46=1),"• Theft of Parts","")</f>
        <v/>
      </c>
      <c r="M45" s="296"/>
      <c r="N45" s="300" t="str">
        <f>IF(OR('Data Entry'!U57=1,'Data Entry'!T46=1),"-","")</f>
        <v/>
      </c>
      <c r="O45" s="594" t="str">
        <f>IF(U3=0,"-",IF(OR('Data Entry'!U57=1,'Data Entry'!T46=1),CONCATENATE("Rs.",FIXED('Data Entry'!R99,0),"/-"),""))</f>
        <v/>
      </c>
      <c r="P45" s="297"/>
      <c r="Q45" s="297"/>
      <c r="R45" s="296"/>
      <c r="S45" s="131"/>
    </row>
    <row r="46" spans="1:30" ht="18" customHeight="1" x14ac:dyDescent="0.3">
      <c r="A46" s="125"/>
      <c r="B46" s="7"/>
      <c r="C46" s="297" t="str">
        <f>IF(U32="Yes","• Flood &amp; Natural Disaster","")</f>
        <v>• Flood &amp; Natural Disaster</v>
      </c>
      <c r="D46" s="296"/>
      <c r="E46" s="296"/>
      <c r="F46" s="296"/>
      <c r="G46" s="296"/>
      <c r="H46" s="290" t="str">
        <f>IF(U32="Yes","-","")</f>
        <v>-</v>
      </c>
      <c r="I46" s="595" t="str">
        <f>IF(P7="THREE WHEELER","Rs.3,000","Nil")</f>
        <v>Nil</v>
      </c>
      <c r="J46" s="387"/>
      <c r="K46" s="296"/>
      <c r="L46" s="297" t="str">
        <f>IF(OR('Data Entry'!H54&gt;0,'Data Entry'!M54&gt;0),"• Learner Driver","")</f>
        <v/>
      </c>
      <c r="M46" s="296"/>
      <c r="N46" s="300" t="str">
        <f>IF(OR('Data Entry'!H54&gt;0,'Data Entry'!M54&gt;0),"-","")</f>
        <v/>
      </c>
      <c r="O46" s="594" t="str">
        <f>IF(U3=0,"-",IF(OR('Data Entry'!H54&gt;0,'Data Entry'!M54&gt;0),CONCATENATE("Rs.",FIXED('Data Entry'!R98,0),"/-"),""))</f>
        <v/>
      </c>
      <c r="P46" s="296"/>
      <c r="Q46" s="296"/>
      <c r="R46" s="296"/>
      <c r="S46" s="131"/>
    </row>
    <row r="47" spans="1:30" ht="18" customHeight="1" x14ac:dyDescent="0.3">
      <c r="A47" s="125"/>
      <c r="B47" s="7"/>
      <c r="C47" s="533" t="str">
        <f>IF(AND(Rates!D67="Yes",'Data Entry'!H12="Hybrid"),"• Excess on Battery as below (Based on Y.O.M)","")</f>
        <v/>
      </c>
      <c r="D47" s="296"/>
      <c r="E47" s="296"/>
      <c r="F47" s="296"/>
      <c r="G47" s="296"/>
      <c r="H47" s="290"/>
      <c r="I47" s="594"/>
      <c r="J47" s="387"/>
      <c r="K47" s="296"/>
      <c r="L47" s="297" t="str">
        <f>IF('Data Entry'!X43&gt;0,"• Goods Cover (by Terrorism)","")</f>
        <v/>
      </c>
      <c r="M47" s="296"/>
      <c r="N47" s="296"/>
      <c r="O47" s="296"/>
      <c r="P47" s="296"/>
      <c r="Q47" s="290" t="str">
        <f>IF('Data Entry'!X43&gt;0,"-","")</f>
        <v/>
      </c>
      <c r="R47" s="290" t="str">
        <f>IF(U3=0,"-",IF('Data Entry'!X43&gt;0,CONCATENATE("Rs.",FIXED('Data Entry'!R95,0),"/-"),""))</f>
        <v/>
      </c>
      <c r="S47" s="131"/>
    </row>
    <row r="48" spans="1:30" ht="18" customHeight="1" x14ac:dyDescent="0.3">
      <c r="A48" s="125"/>
      <c r="B48" s="7"/>
      <c r="C48" s="602" t="str">
        <f>IF(AND(Rates!D67="Yes",'Data Entry'!H12="Hybrid"),CONCATENATE("   ",Rates!A68),"")</f>
        <v/>
      </c>
      <c r="D48" s="596"/>
      <c r="E48" s="596"/>
      <c r="F48" s="596"/>
      <c r="G48" s="596"/>
      <c r="H48" s="596"/>
      <c r="I48" s="596"/>
      <c r="J48" s="597"/>
      <c r="K48" s="531"/>
      <c r="L48" s="531"/>
      <c r="M48" s="531"/>
      <c r="N48" s="531"/>
      <c r="O48" s="531"/>
      <c r="P48" s="531"/>
      <c r="Q48" s="531"/>
      <c r="R48" s="593"/>
      <c r="S48" s="131"/>
    </row>
    <row r="49" spans="1:60" ht="14.15" customHeight="1" x14ac:dyDescent="0.3">
      <c r="A49" s="125"/>
      <c r="B49" s="7"/>
      <c r="C49" s="936" t="s">
        <v>406</v>
      </c>
      <c r="D49" s="936"/>
      <c r="E49" s="936"/>
      <c r="F49" s="936"/>
      <c r="G49" s="936"/>
      <c r="H49" s="936"/>
      <c r="I49" s="936"/>
      <c r="J49" s="936"/>
      <c r="K49" s="936"/>
      <c r="L49" s="936"/>
      <c r="M49" s="936"/>
      <c r="N49" s="936"/>
      <c r="O49" s="936"/>
      <c r="P49" s="936"/>
      <c r="Q49" s="936"/>
      <c r="R49" s="936"/>
      <c r="S49" s="131"/>
    </row>
    <row r="50" spans="1:60" ht="37.5" customHeight="1" x14ac:dyDescent="0.3">
      <c r="A50" s="125"/>
      <c r="B50" s="7"/>
      <c r="C50" s="940" t="str">
        <f ca="1">CONCATENATE(A67,Y50)</f>
        <v>This quotation is offered based on the information provided by the Proposer and is subject to revision upon changes to the risk. Further, this quotation is valid only for 30 days from the date of issue and is subject to revision of government taxes.</v>
      </c>
      <c r="D50" s="940"/>
      <c r="E50" s="940"/>
      <c r="F50" s="940"/>
      <c r="G50" s="940"/>
      <c r="H50" s="940"/>
      <c r="I50" s="940"/>
      <c r="J50" s="940"/>
      <c r="K50" s="940"/>
      <c r="L50" s="940"/>
      <c r="M50" s="940"/>
      <c r="N50" s="940"/>
      <c r="O50" s="940"/>
      <c r="P50" s="940"/>
      <c r="Q50" s="940"/>
      <c r="R50" s="940"/>
      <c r="S50" s="131"/>
      <c r="Y50" s="146" t="str">
        <f ca="1">IF(W44=1," NCB allowed is subject to documentary evidence.","")</f>
        <v/>
      </c>
      <c r="AD50" s="550"/>
      <c r="AE50" s="550"/>
      <c r="AF50" s="550"/>
      <c r="AG50" s="550"/>
      <c r="AH50" s="550"/>
      <c r="AI50" s="550"/>
      <c r="AJ50" s="550"/>
      <c r="AK50" s="550"/>
      <c r="AL50" s="550"/>
      <c r="AM50" s="550"/>
      <c r="AN50" s="550"/>
      <c r="AO50" s="550"/>
      <c r="AP50" s="550"/>
      <c r="AQ50" s="550"/>
      <c r="AR50" s="550"/>
      <c r="AT50" s="935"/>
      <c r="AU50" s="935"/>
      <c r="AV50" s="935"/>
      <c r="AW50" s="935"/>
      <c r="AX50" s="935"/>
      <c r="AY50" s="935"/>
      <c r="AZ50" s="935"/>
      <c r="BA50" s="935"/>
      <c r="BB50" s="935"/>
      <c r="BC50" s="935"/>
      <c r="BD50" s="935"/>
      <c r="BE50" s="935"/>
      <c r="BF50" s="935"/>
      <c r="BG50" s="935"/>
      <c r="BH50" s="935"/>
    </row>
    <row r="51" spans="1:60" ht="17.25" customHeight="1" x14ac:dyDescent="0.3">
      <c r="A51" s="125"/>
      <c r="B51" s="7"/>
      <c r="C51" s="81" t="s">
        <v>10</v>
      </c>
      <c r="D51" s="82"/>
      <c r="E51" s="82"/>
      <c r="F51" s="82"/>
      <c r="G51" s="82"/>
      <c r="H51" s="82"/>
      <c r="I51" s="82"/>
      <c r="J51" s="82"/>
      <c r="K51" s="82"/>
      <c r="L51" s="82"/>
      <c r="M51" s="82"/>
      <c r="N51" s="82"/>
      <c r="O51" s="82"/>
      <c r="P51" s="82"/>
      <c r="Q51" s="82"/>
      <c r="R51" s="82"/>
      <c r="S51" s="131"/>
    </row>
    <row r="52" spans="1:60" ht="14.25" customHeight="1" x14ac:dyDescent="0.3">
      <c r="A52" s="125"/>
      <c r="B52" s="7"/>
      <c r="C52" s="954" t="s">
        <v>138</v>
      </c>
      <c r="D52" s="954"/>
      <c r="E52" s="954"/>
      <c r="F52" s="954"/>
      <c r="G52" s="954"/>
      <c r="H52" s="954"/>
      <c r="I52" s="954"/>
      <c r="J52" s="954"/>
      <c r="K52" s="954"/>
      <c r="L52" s="954"/>
      <c r="M52" s="954"/>
      <c r="N52" s="954"/>
      <c r="O52" s="954"/>
      <c r="P52" s="954"/>
      <c r="Q52" s="954"/>
      <c r="R52" s="954"/>
      <c r="S52" s="131"/>
    </row>
    <row r="53" spans="1:60" ht="29.25" customHeight="1" x14ac:dyDescent="0.3">
      <c r="A53" s="125"/>
      <c r="B53" s="7"/>
      <c r="C53" s="954"/>
      <c r="D53" s="954"/>
      <c r="E53" s="954"/>
      <c r="F53" s="954"/>
      <c r="G53" s="954"/>
      <c r="H53" s="954"/>
      <c r="I53" s="954"/>
      <c r="J53" s="954"/>
      <c r="K53" s="954"/>
      <c r="L53" s="954"/>
      <c r="M53" s="954"/>
      <c r="N53" s="954"/>
      <c r="O53" s="954"/>
      <c r="P53" s="954"/>
      <c r="Q53" s="954"/>
      <c r="R53" s="954"/>
      <c r="S53" s="134"/>
    </row>
    <row r="54" spans="1:60" ht="20.149999999999999" customHeight="1" x14ac:dyDescent="0.3">
      <c r="A54" s="125"/>
      <c r="B54" s="7"/>
      <c r="C54" s="277" t="str">
        <f>IF(V56=0,"Special Remarks","If you need further clarifications please feel free to contact us.")</f>
        <v>If you need further clarifications please feel free to contact us.</v>
      </c>
      <c r="D54" s="289"/>
      <c r="E54" s="289"/>
      <c r="F54" s="289"/>
      <c r="G54" s="289"/>
      <c r="H54" s="289"/>
      <c r="I54" s="289"/>
      <c r="J54" s="237"/>
      <c r="K54" s="237"/>
      <c r="L54" s="237"/>
      <c r="M54" s="237"/>
      <c r="N54" s="237"/>
      <c r="O54" s="237"/>
      <c r="P54" s="237"/>
      <c r="Q54" s="237"/>
      <c r="R54" s="237"/>
      <c r="S54" s="134"/>
    </row>
    <row r="55" spans="1:60" ht="21" customHeight="1" x14ac:dyDescent="0.3">
      <c r="A55" s="125"/>
      <c r="B55" s="7"/>
      <c r="C55" s="956" t="str">
        <f ca="1">IF('Data Entry'!$C$70=0,"This Quotation system is not valid anymore",IF(V51=0,PROPER('Data Entry'!E61),""))</f>
        <v/>
      </c>
      <c r="D55" s="956"/>
      <c r="E55" s="956"/>
      <c r="F55" s="956"/>
      <c r="G55" s="956"/>
      <c r="H55" s="956"/>
      <c r="I55" s="956"/>
      <c r="J55" s="956"/>
      <c r="K55" s="956"/>
      <c r="L55" s="956"/>
      <c r="M55" s="956"/>
      <c r="N55" s="293"/>
      <c r="O55" s="293"/>
      <c r="P55" s="293"/>
      <c r="Q55" s="293"/>
      <c r="R55" s="293"/>
      <c r="S55" s="134"/>
    </row>
    <row r="56" spans="1:60" ht="26.25" customHeight="1" x14ac:dyDescent="0.3">
      <c r="A56" s="125"/>
      <c r="B56" s="7"/>
      <c r="C56" s="956"/>
      <c r="D56" s="956"/>
      <c r="E56" s="956"/>
      <c r="F56" s="956"/>
      <c r="G56" s="956"/>
      <c r="H56" s="956"/>
      <c r="I56" s="956"/>
      <c r="J56" s="956"/>
      <c r="K56" s="956"/>
      <c r="L56" s="956"/>
      <c r="M56" s="956"/>
      <c r="N56" s="955" t="str">
        <f>CONCATENATE("Issued by ",C11)</f>
        <v>Issued by ASSETLINE INSURANCE BROKERS</v>
      </c>
      <c r="O56" s="955"/>
      <c r="P56" s="955"/>
      <c r="Q56" s="955"/>
      <c r="R56" s="955"/>
      <c r="S56" s="134"/>
      <c r="V56" s="146">
        <f>IF(OR('Data Entry'!E61=0,'Data Entry'!E61=""),1,0)</f>
        <v>1</v>
      </c>
    </row>
    <row r="57" spans="1:60" ht="15" hidden="1" customHeight="1" x14ac:dyDescent="0.3">
      <c r="A57" s="125"/>
      <c r="B57" s="7"/>
      <c r="C57" s="953" t="str">
        <f>IF(Administration!$F$31="Yes","Declaration","")</f>
        <v>Declaration</v>
      </c>
      <c r="D57" s="953"/>
      <c r="E57" s="953"/>
      <c r="F57" s="953"/>
      <c r="G57" s="349"/>
      <c r="H57" s="349"/>
      <c r="I57" s="349"/>
      <c r="J57" s="349"/>
      <c r="K57" s="349"/>
      <c r="L57" s="349"/>
      <c r="M57" s="349"/>
      <c r="N57" s="349"/>
      <c r="O57" s="349"/>
      <c r="P57" s="349"/>
      <c r="Q57" s="349"/>
      <c r="R57" s="349"/>
      <c r="S57" s="134"/>
    </row>
    <row r="58" spans="1:60" ht="17.149999999999999" hidden="1" customHeight="1" x14ac:dyDescent="0.3">
      <c r="A58" s="125"/>
      <c r="B58" s="7"/>
      <c r="C58" s="952" t="str">
        <f>Administration!$A$32</f>
        <v>I hereby declare that I have read and understood the terms and conditions of the covers provided under this quote and agree to them.</v>
      </c>
      <c r="D58" s="952"/>
      <c r="E58" s="952"/>
      <c r="F58" s="952"/>
      <c r="G58" s="952"/>
      <c r="H58" s="952"/>
      <c r="I58" s="952"/>
      <c r="J58" s="952"/>
      <c r="K58" s="952"/>
      <c r="L58" s="952"/>
      <c r="M58" s="952"/>
      <c r="N58" s="952"/>
      <c r="O58" s="952"/>
      <c r="P58" s="952"/>
      <c r="Q58" s="952"/>
      <c r="R58" s="952"/>
      <c r="S58" s="134"/>
    </row>
    <row r="59" spans="1:60" ht="18" hidden="1" customHeight="1" x14ac:dyDescent="0.3">
      <c r="A59" s="125"/>
      <c r="B59" s="7"/>
      <c r="C59" s="952"/>
      <c r="D59" s="952"/>
      <c r="E59" s="952"/>
      <c r="F59" s="952"/>
      <c r="G59" s="952"/>
      <c r="H59" s="952"/>
      <c r="I59" s="952"/>
      <c r="J59" s="952"/>
      <c r="K59" s="952"/>
      <c r="L59" s="952"/>
      <c r="M59" s="952"/>
      <c r="N59" s="952"/>
      <c r="O59" s="952"/>
      <c r="P59" s="952"/>
      <c r="Q59" s="952"/>
      <c r="R59" s="952"/>
      <c r="S59" s="134"/>
    </row>
    <row r="60" spans="1:60" ht="16.399999999999999" hidden="1" customHeight="1" x14ac:dyDescent="0.3">
      <c r="A60" s="125"/>
      <c r="B60" s="7"/>
      <c r="C60" s="951"/>
      <c r="D60" s="951"/>
      <c r="E60" s="951"/>
      <c r="F60" s="951"/>
      <c r="G60" s="951"/>
      <c r="H60" s="951"/>
      <c r="I60" s="951"/>
      <c r="J60" s="294"/>
      <c r="K60" s="294"/>
      <c r="L60" s="294"/>
      <c r="M60" s="15"/>
      <c r="N60" s="271"/>
      <c r="O60" s="271"/>
      <c r="P60" s="271"/>
      <c r="Q60" s="271"/>
      <c r="R60" s="271"/>
      <c r="S60" s="135"/>
    </row>
    <row r="61" spans="1:60" ht="27" hidden="1" customHeight="1" x14ac:dyDescent="0.3">
      <c r="A61" s="125"/>
      <c r="B61" s="7"/>
      <c r="C61" s="957" t="str">
        <f>IF(Administration!$F$31="Yes","Proposer :- …………..……………..","")</f>
        <v>Proposer :- …………..……………..</v>
      </c>
      <c r="D61" s="957"/>
      <c r="E61" s="957"/>
      <c r="F61" s="957"/>
      <c r="G61" s="957"/>
      <c r="H61" s="957"/>
      <c r="I61" s="957"/>
      <c r="J61" s="7"/>
      <c r="K61" s="7"/>
      <c r="L61" s="15"/>
      <c r="M61" s="15"/>
      <c r="N61" s="15"/>
      <c r="O61" s="15"/>
      <c r="P61" s="15"/>
      <c r="Q61" s="15"/>
      <c r="R61" s="15"/>
      <c r="S61" s="135"/>
    </row>
    <row r="62" spans="1:60" ht="19.5" customHeight="1" thickBot="1" x14ac:dyDescent="0.3">
      <c r="A62" s="644"/>
      <c r="B62" s="645"/>
      <c r="C62" s="646"/>
      <c r="D62" s="645"/>
      <c r="E62" s="645"/>
      <c r="F62" s="645"/>
      <c r="G62" s="645"/>
      <c r="H62" s="645"/>
      <c r="I62" s="645"/>
      <c r="J62" s="645"/>
      <c r="K62" s="645"/>
      <c r="L62" s="645"/>
      <c r="M62" s="645"/>
      <c r="N62" s="645"/>
      <c r="O62" s="647"/>
      <c r="P62" s="648"/>
      <c r="Q62" s="649"/>
      <c r="R62" s="650"/>
      <c r="S62" s="651"/>
    </row>
    <row r="63" spans="1:60" ht="16" hidden="1" thickTop="1" x14ac:dyDescent="0.35">
      <c r="A63" s="307"/>
      <c r="D63" s="238"/>
      <c r="E63" s="238"/>
      <c r="F63" s="238"/>
      <c r="G63" s="238"/>
      <c r="H63" s="238"/>
      <c r="J63" s="308"/>
      <c r="K63" s="308"/>
      <c r="L63" s="308"/>
      <c r="M63" s="308"/>
      <c r="N63" s="308"/>
      <c r="O63" s="308"/>
      <c r="P63" s="308"/>
      <c r="S63" s="308"/>
    </row>
    <row r="67" spans="1:19" ht="12.75" hidden="1" customHeight="1" x14ac:dyDescent="0.25">
      <c r="A67" s="949" t="str">
        <f>CONCATENATE("This quotation is offered based on the information provided by the Proposer and is subject to revision upon changes to the risk. Further, this quotation is valid only for 30 days from the date of issue and is subject to revision of government taxes",B74)</f>
        <v>This quotation is offered based on the information provided by the Proposer and is subject to revision upon changes to the risk. Further, this quotation is valid only for 30 days from the date of issue and is subject to revision of government taxes.</v>
      </c>
      <c r="B67" s="949"/>
      <c r="C67" s="949"/>
      <c r="D67" s="949"/>
      <c r="E67" s="949"/>
      <c r="F67" s="949"/>
      <c r="G67" s="949"/>
      <c r="H67" s="949"/>
      <c r="I67" s="949"/>
      <c r="J67" s="949"/>
      <c r="K67" s="949"/>
      <c r="L67" s="949"/>
      <c r="M67" s="949"/>
      <c r="N67" s="949"/>
      <c r="O67" s="949"/>
      <c r="P67" s="949"/>
      <c r="Q67" s="949"/>
      <c r="R67" s="949"/>
      <c r="S67" s="949"/>
    </row>
    <row r="68" spans="1:19" hidden="1" x14ac:dyDescent="0.25">
      <c r="A68" s="949"/>
      <c r="B68" s="949"/>
      <c r="C68" s="949"/>
      <c r="D68" s="949"/>
      <c r="E68" s="949"/>
      <c r="F68" s="949"/>
      <c r="G68" s="949"/>
      <c r="H68" s="949"/>
      <c r="I68" s="949"/>
      <c r="J68" s="949"/>
      <c r="K68" s="949"/>
      <c r="L68" s="949"/>
      <c r="M68" s="949"/>
      <c r="N68" s="949"/>
      <c r="O68" s="949"/>
      <c r="P68" s="949"/>
      <c r="Q68" s="949"/>
      <c r="R68" s="949"/>
      <c r="S68" s="949"/>
    </row>
    <row r="69" spans="1:19" hidden="1" x14ac:dyDescent="0.25">
      <c r="A69" s="949"/>
      <c r="B69" s="949"/>
      <c r="C69" s="949"/>
      <c r="D69" s="949"/>
      <c r="E69" s="949"/>
      <c r="F69" s="949"/>
      <c r="G69" s="949"/>
      <c r="H69" s="949"/>
      <c r="I69" s="949"/>
      <c r="J69" s="949"/>
      <c r="K69" s="949"/>
      <c r="L69" s="949"/>
      <c r="M69" s="949"/>
      <c r="N69" s="949"/>
      <c r="O69" s="949"/>
      <c r="P69" s="949"/>
      <c r="Q69" s="949"/>
      <c r="R69" s="949"/>
      <c r="S69" s="949"/>
    </row>
    <row r="70" spans="1:19" hidden="1" x14ac:dyDescent="0.25">
      <c r="A70" s="949"/>
      <c r="B70" s="949"/>
      <c r="C70" s="949"/>
      <c r="D70" s="949"/>
      <c r="E70" s="949"/>
      <c r="F70" s="949"/>
      <c r="G70" s="949"/>
      <c r="H70" s="949"/>
      <c r="I70" s="949"/>
      <c r="J70" s="949"/>
      <c r="K70" s="949"/>
      <c r="L70" s="949"/>
      <c r="M70" s="949"/>
      <c r="N70" s="949"/>
      <c r="O70" s="949"/>
      <c r="P70" s="949"/>
      <c r="Q70" s="949"/>
      <c r="R70" s="949"/>
      <c r="S70" s="949"/>
    </row>
    <row r="71" spans="1:19" hidden="1" x14ac:dyDescent="0.25">
      <c r="A71" s="949"/>
      <c r="B71" s="949"/>
      <c r="C71" s="949"/>
      <c r="D71" s="949"/>
      <c r="E71" s="949"/>
      <c r="F71" s="949"/>
      <c r="G71" s="949"/>
      <c r="H71" s="949"/>
      <c r="I71" s="949"/>
      <c r="J71" s="949"/>
      <c r="K71" s="949"/>
      <c r="L71" s="949"/>
      <c r="M71" s="949"/>
      <c r="N71" s="949"/>
      <c r="O71" s="949"/>
      <c r="P71" s="949"/>
      <c r="Q71" s="949"/>
      <c r="R71" s="949"/>
      <c r="S71" s="949"/>
    </row>
    <row r="72" spans="1:19" hidden="1" x14ac:dyDescent="0.25">
      <c r="A72" s="949"/>
      <c r="B72" s="949"/>
      <c r="C72" s="949"/>
      <c r="D72" s="949"/>
      <c r="E72" s="949"/>
      <c r="F72" s="949"/>
      <c r="G72" s="949"/>
      <c r="H72" s="949"/>
      <c r="I72" s="949"/>
      <c r="J72" s="949"/>
      <c r="K72" s="949"/>
      <c r="L72" s="949"/>
      <c r="M72" s="949"/>
      <c r="N72" s="949"/>
      <c r="O72" s="949"/>
      <c r="P72" s="949"/>
      <c r="Q72" s="949"/>
      <c r="R72" s="949"/>
      <c r="S72" s="949"/>
    </row>
    <row r="73" spans="1:19" hidden="1" x14ac:dyDescent="0.25">
      <c r="A73" s="949"/>
      <c r="B73" s="949"/>
      <c r="C73" s="949"/>
      <c r="D73" s="949"/>
      <c r="E73" s="949"/>
      <c r="F73" s="949"/>
      <c r="G73" s="949"/>
      <c r="H73" s="949"/>
      <c r="I73" s="949"/>
      <c r="J73" s="949"/>
      <c r="K73" s="949"/>
      <c r="L73" s="949"/>
      <c r="M73" s="949"/>
      <c r="N73" s="949"/>
      <c r="O73" s="949"/>
      <c r="P73" s="949"/>
      <c r="Q73" s="949"/>
      <c r="R73" s="949"/>
      <c r="S73" s="949"/>
    </row>
    <row r="74" spans="1:19" hidden="1" x14ac:dyDescent="0.25">
      <c r="B74" s="146" t="str">
        <f>IF(OR('Data Entry'!H8=Administration!C7,'Data Entry'!H8=Administration!C8,'Data Entry'!H8=Administration!C9)," and Luxury/Semi Luxury taxes (if applicable).",".")</f>
        <v>.</v>
      </c>
    </row>
    <row r="85" spans="18:18" ht="14" hidden="1" x14ac:dyDescent="0.25">
      <c r="R85" s="534" t="s">
        <v>470</v>
      </c>
    </row>
    <row r="86" spans="18:18" ht="14" hidden="1" x14ac:dyDescent="0.25">
      <c r="R86" s="534" t="s">
        <v>379</v>
      </c>
    </row>
    <row r="87" spans="18:18" ht="14" hidden="1" x14ac:dyDescent="0.25">
      <c r="R87" s="534" t="s">
        <v>471</v>
      </c>
    </row>
    <row r="88" spans="18:18" ht="14" hidden="1" x14ac:dyDescent="0.25">
      <c r="R88" s="534" t="s">
        <v>472</v>
      </c>
    </row>
    <row r="89" spans="18:18" ht="14" hidden="1" x14ac:dyDescent="0.25">
      <c r="R89" s="534" t="s">
        <v>473</v>
      </c>
    </row>
    <row r="90" spans="18:18" ht="14" hidden="1" x14ac:dyDescent="0.25">
      <c r="R90" s="534" t="s">
        <v>380</v>
      </c>
    </row>
    <row r="91" spans="18:18" ht="14" hidden="1" x14ac:dyDescent="0.25">
      <c r="R91" s="534" t="s">
        <v>474</v>
      </c>
    </row>
    <row r="92" spans="18:18" ht="14" hidden="1" x14ac:dyDescent="0.25">
      <c r="R92" s="534" t="s">
        <v>387</v>
      </c>
    </row>
    <row r="93" spans="18:18" ht="28" hidden="1" x14ac:dyDescent="0.25">
      <c r="R93" s="534" t="s">
        <v>475</v>
      </c>
    </row>
    <row r="94" spans="18:18" ht="14" hidden="1" x14ac:dyDescent="0.25">
      <c r="R94" s="534" t="s">
        <v>428</v>
      </c>
    </row>
    <row r="95" spans="18:18" ht="14" hidden="1" x14ac:dyDescent="0.25">
      <c r="R95" s="534" t="s">
        <v>476</v>
      </c>
    </row>
    <row r="96" spans="18:18" ht="28" hidden="1" x14ac:dyDescent="0.25">
      <c r="R96" s="534" t="s">
        <v>477</v>
      </c>
    </row>
    <row r="97" spans="18:18" ht="14" hidden="1" x14ac:dyDescent="0.25">
      <c r="R97" s="534" t="s">
        <v>478</v>
      </c>
    </row>
    <row r="98" spans="18:18" ht="14" hidden="1" x14ac:dyDescent="0.25">
      <c r="R98" s="534" t="s">
        <v>479</v>
      </c>
    </row>
    <row r="99" spans="18:18" ht="28" hidden="1" x14ac:dyDescent="0.25">
      <c r="R99" s="534" t="s">
        <v>480</v>
      </c>
    </row>
    <row r="100" spans="18:18" ht="28" hidden="1" x14ac:dyDescent="0.25">
      <c r="R100" s="534" t="s">
        <v>481</v>
      </c>
    </row>
    <row r="101" spans="18:18" ht="14" hidden="1" x14ac:dyDescent="0.25">
      <c r="R101" s="534" t="s">
        <v>482</v>
      </c>
    </row>
    <row r="102" spans="18:18" ht="28" hidden="1" x14ac:dyDescent="0.25">
      <c r="R102" s="534" t="s">
        <v>381</v>
      </c>
    </row>
    <row r="103" spans="18:18" ht="28" hidden="1" x14ac:dyDescent="0.25">
      <c r="R103" s="534" t="s">
        <v>483</v>
      </c>
    </row>
    <row r="104" spans="18:18" ht="28" hidden="1" x14ac:dyDescent="0.25">
      <c r="R104" s="534" t="s">
        <v>484</v>
      </c>
    </row>
    <row r="105" spans="18:18" ht="14" hidden="1" x14ac:dyDescent="0.25">
      <c r="R105" s="534" t="s">
        <v>414</v>
      </c>
    </row>
    <row r="106" spans="18:18" ht="28" hidden="1" x14ac:dyDescent="0.25">
      <c r="R106" s="534" t="s">
        <v>485</v>
      </c>
    </row>
    <row r="107" spans="18:18" ht="14" hidden="1" x14ac:dyDescent="0.25">
      <c r="R107" s="534" t="s">
        <v>486</v>
      </c>
    </row>
    <row r="108" spans="18:18" ht="14" hidden="1" x14ac:dyDescent="0.25">
      <c r="R108" s="534" t="s">
        <v>487</v>
      </c>
    </row>
    <row r="109" spans="18:18" ht="14" hidden="1" x14ac:dyDescent="0.25">
      <c r="R109" s="534" t="s">
        <v>488</v>
      </c>
    </row>
    <row r="110" spans="18:18" ht="14" hidden="1" x14ac:dyDescent="0.25">
      <c r="R110" s="534" t="s">
        <v>489</v>
      </c>
    </row>
    <row r="111" spans="18:18" ht="28" hidden="1" x14ac:dyDescent="0.25">
      <c r="R111" s="534" t="s">
        <v>490</v>
      </c>
    </row>
    <row r="112" spans="18:18" ht="14" hidden="1" x14ac:dyDescent="0.25">
      <c r="R112" s="534" t="s">
        <v>491</v>
      </c>
    </row>
    <row r="113" spans="18:18" ht="14" hidden="1" x14ac:dyDescent="0.25">
      <c r="R113" s="534" t="s">
        <v>388</v>
      </c>
    </row>
    <row r="114" spans="18:18" ht="14" hidden="1" x14ac:dyDescent="0.25">
      <c r="R114" s="534" t="s">
        <v>389</v>
      </c>
    </row>
    <row r="115" spans="18:18" ht="14" hidden="1" x14ac:dyDescent="0.25">
      <c r="R115" s="534" t="s">
        <v>382</v>
      </c>
    </row>
    <row r="116" spans="18:18" ht="14" hidden="1" x14ac:dyDescent="0.25">
      <c r="R116" s="534" t="s">
        <v>390</v>
      </c>
    </row>
    <row r="117" spans="18:18" ht="14" hidden="1" x14ac:dyDescent="0.25">
      <c r="R117" s="534" t="s">
        <v>383</v>
      </c>
    </row>
    <row r="118" spans="18:18" ht="14" hidden="1" x14ac:dyDescent="0.25">
      <c r="R118" s="534" t="s">
        <v>384</v>
      </c>
    </row>
    <row r="119" spans="18:18" ht="28" hidden="1" x14ac:dyDescent="0.25">
      <c r="R119" s="534" t="s">
        <v>492</v>
      </c>
    </row>
    <row r="120" spans="18:18" ht="14" hidden="1" x14ac:dyDescent="0.25">
      <c r="R120" s="534" t="s">
        <v>493</v>
      </c>
    </row>
    <row r="121" spans="18:18" ht="14" hidden="1" x14ac:dyDescent="0.25">
      <c r="R121" s="534" t="s">
        <v>494</v>
      </c>
    </row>
    <row r="122" spans="18:18" ht="14" hidden="1" x14ac:dyDescent="0.25">
      <c r="R122" s="534" t="s">
        <v>495</v>
      </c>
    </row>
    <row r="123" spans="18:18" ht="14" hidden="1" x14ac:dyDescent="0.25">
      <c r="R123" s="534" t="s">
        <v>496</v>
      </c>
    </row>
    <row r="124" spans="18:18" ht="28" hidden="1" x14ac:dyDescent="0.25">
      <c r="R124" s="534" t="s">
        <v>385</v>
      </c>
    </row>
    <row r="125" spans="18:18" ht="28" hidden="1" x14ac:dyDescent="0.25">
      <c r="R125" s="534" t="s">
        <v>421</v>
      </c>
    </row>
    <row r="126" spans="18:18" ht="28" hidden="1" x14ac:dyDescent="0.25">
      <c r="R126" s="534" t="s">
        <v>420</v>
      </c>
    </row>
    <row r="127" spans="18:18" ht="14" hidden="1" x14ac:dyDescent="0.25">
      <c r="R127" s="534" t="s">
        <v>497</v>
      </c>
    </row>
    <row r="128" spans="18:18" ht="28" hidden="1" x14ac:dyDescent="0.25">
      <c r="R128" s="534" t="s">
        <v>498</v>
      </c>
    </row>
    <row r="129" spans="18:18" ht="14" hidden="1" x14ac:dyDescent="0.25">
      <c r="R129" s="534" t="s">
        <v>499</v>
      </c>
    </row>
    <row r="130" spans="18:18" ht="28" hidden="1" x14ac:dyDescent="0.25">
      <c r="R130" s="534" t="s">
        <v>500</v>
      </c>
    </row>
    <row r="131" spans="18:18" ht="14" hidden="1" x14ac:dyDescent="0.25">
      <c r="R131" s="534" t="s">
        <v>501</v>
      </c>
    </row>
    <row r="132" spans="18:18" ht="28" hidden="1" x14ac:dyDescent="0.25">
      <c r="R132" s="534" t="s">
        <v>502</v>
      </c>
    </row>
    <row r="133" spans="18:18" ht="28" hidden="1" x14ac:dyDescent="0.25">
      <c r="R133" s="534" t="s">
        <v>503</v>
      </c>
    </row>
    <row r="134" spans="18:18" ht="14" hidden="1" x14ac:dyDescent="0.25">
      <c r="R134" s="534" t="s">
        <v>504</v>
      </c>
    </row>
    <row r="135" spans="18:18" ht="14" hidden="1" x14ac:dyDescent="0.25">
      <c r="R135" s="534" t="s">
        <v>505</v>
      </c>
    </row>
    <row r="136" spans="18:18" ht="28" hidden="1" x14ac:dyDescent="0.25">
      <c r="R136" s="534" t="s">
        <v>391</v>
      </c>
    </row>
    <row r="137" spans="18:18" ht="28" hidden="1" x14ac:dyDescent="0.25">
      <c r="R137" s="534" t="s">
        <v>506</v>
      </c>
    </row>
    <row r="138" spans="18:18" ht="28" hidden="1" x14ac:dyDescent="0.25">
      <c r="R138" s="534" t="s">
        <v>507</v>
      </c>
    </row>
    <row r="139" spans="18:18" ht="14" hidden="1" x14ac:dyDescent="0.25">
      <c r="R139" s="534" t="s">
        <v>508</v>
      </c>
    </row>
    <row r="140" spans="18:18" ht="28" hidden="1" x14ac:dyDescent="0.25">
      <c r="R140" s="534" t="s">
        <v>509</v>
      </c>
    </row>
    <row r="141" spans="18:18" ht="14" hidden="1" x14ac:dyDescent="0.25">
      <c r="R141" s="534" t="s">
        <v>510</v>
      </c>
    </row>
    <row r="142" spans="18:18" ht="14" hidden="1" x14ac:dyDescent="0.25">
      <c r="R142" s="534" t="s">
        <v>511</v>
      </c>
    </row>
    <row r="143" spans="18:18" ht="14" hidden="1" x14ac:dyDescent="0.25">
      <c r="R143" s="534" t="s">
        <v>416</v>
      </c>
    </row>
    <row r="144" spans="18:18" ht="14" hidden="1" x14ac:dyDescent="0.25">
      <c r="R144" s="534" t="s">
        <v>512</v>
      </c>
    </row>
    <row r="145" spans="18:18" ht="14" hidden="1" x14ac:dyDescent="0.25">
      <c r="R145" s="534" t="s">
        <v>513</v>
      </c>
    </row>
    <row r="146" spans="18:18" ht="14" hidden="1" x14ac:dyDescent="0.25">
      <c r="R146" s="534" t="s">
        <v>514</v>
      </c>
    </row>
    <row r="147" spans="18:18" ht="14" hidden="1" x14ac:dyDescent="0.25">
      <c r="R147" s="534" t="s">
        <v>515</v>
      </c>
    </row>
    <row r="148" spans="18:18" ht="14" hidden="1" x14ac:dyDescent="0.25">
      <c r="R148" s="534" t="s">
        <v>425</v>
      </c>
    </row>
    <row r="149" spans="18:18" ht="14" hidden="1" x14ac:dyDescent="0.25">
      <c r="R149" s="534" t="s">
        <v>516</v>
      </c>
    </row>
    <row r="150" spans="18:18" ht="28" hidden="1" x14ac:dyDescent="0.25">
      <c r="R150" s="534" t="s">
        <v>517</v>
      </c>
    </row>
    <row r="151" spans="18:18" ht="28" hidden="1" x14ac:dyDescent="0.25">
      <c r="R151" s="534" t="s">
        <v>518</v>
      </c>
    </row>
    <row r="152" spans="18:18" ht="14" hidden="1" x14ac:dyDescent="0.25">
      <c r="R152" s="534" t="s">
        <v>519</v>
      </c>
    </row>
    <row r="153" spans="18:18" ht="28" hidden="1" x14ac:dyDescent="0.25">
      <c r="R153" s="534" t="s">
        <v>520</v>
      </c>
    </row>
    <row r="154" spans="18:18" ht="28" hidden="1" x14ac:dyDescent="0.25">
      <c r="R154" s="534" t="s">
        <v>521</v>
      </c>
    </row>
    <row r="155" spans="18:18" ht="14" hidden="1" x14ac:dyDescent="0.25">
      <c r="R155" s="534" t="s">
        <v>522</v>
      </c>
    </row>
    <row r="156" spans="18:18" ht="14" hidden="1" x14ac:dyDescent="0.25">
      <c r="R156" s="534" t="s">
        <v>386</v>
      </c>
    </row>
  </sheetData>
  <sheetProtection password="F6CE" sheet="1" objects="1" scenarios="1"/>
  <dataConsolidate/>
  <mergeCells count="30">
    <mergeCell ref="A67:S73"/>
    <mergeCell ref="C17:I17"/>
    <mergeCell ref="C60:I60"/>
    <mergeCell ref="C58:R59"/>
    <mergeCell ref="C57:F57"/>
    <mergeCell ref="C52:R53"/>
    <mergeCell ref="N56:R56"/>
    <mergeCell ref="C55:M56"/>
    <mergeCell ref="C61:I61"/>
    <mergeCell ref="Q16:R16"/>
    <mergeCell ref="P13:Q13"/>
    <mergeCell ref="P4:R4"/>
    <mergeCell ref="AT50:BH50"/>
    <mergeCell ref="C49:R49"/>
    <mergeCell ref="P12:R12"/>
    <mergeCell ref="C50:R50"/>
    <mergeCell ref="F42:G42"/>
    <mergeCell ref="C43:R43"/>
    <mergeCell ref="P7:R7"/>
    <mergeCell ref="P9:R9"/>
    <mergeCell ref="C13:J13"/>
    <mergeCell ref="C19:I23"/>
    <mergeCell ref="L24:R24"/>
    <mergeCell ref="M1:S1"/>
    <mergeCell ref="M2:R2"/>
    <mergeCell ref="P11:R11"/>
    <mergeCell ref="C11:J11"/>
    <mergeCell ref="C8:J8"/>
    <mergeCell ref="P10:R10"/>
    <mergeCell ref="P8:R8"/>
  </mergeCells>
  <phoneticPr fontId="0" type="noConversion"/>
  <conditionalFormatting sqref="X31">
    <cfRule type="expression" dxfId="53" priority="26" stopIfTrue="1">
      <formula>E31&gt;9%</formula>
    </cfRule>
  </conditionalFormatting>
  <conditionalFormatting sqref="D40">
    <cfRule type="expression" dxfId="52" priority="27" stopIfTrue="1">
      <formula>U39=1</formula>
    </cfRule>
  </conditionalFormatting>
  <conditionalFormatting sqref="M38">
    <cfRule type="expression" dxfId="51" priority="29" stopIfTrue="1">
      <formula>W35=1</formula>
    </cfRule>
  </conditionalFormatting>
  <conditionalFormatting sqref="F34">
    <cfRule type="expression" dxfId="50" priority="30" stopIfTrue="1">
      <formula>W34=3</formula>
    </cfRule>
  </conditionalFormatting>
  <conditionalFormatting sqref="M32">
    <cfRule type="expression" dxfId="49" priority="31" stopIfTrue="1">
      <formula>AA34=1</formula>
    </cfRule>
  </conditionalFormatting>
  <conditionalFormatting sqref="X42">
    <cfRule type="expression" dxfId="48" priority="32" stopIfTrue="1">
      <formula>T40=1</formula>
    </cfRule>
  </conditionalFormatting>
  <conditionalFormatting sqref="M36">
    <cfRule type="expression" dxfId="47" priority="33" stopIfTrue="1">
      <formula>Y40=1</formula>
    </cfRule>
  </conditionalFormatting>
  <conditionalFormatting sqref="C40">
    <cfRule type="expression" dxfId="46" priority="34" stopIfTrue="1">
      <formula>U39=1</formula>
    </cfRule>
  </conditionalFormatting>
  <conditionalFormatting sqref="L38">
    <cfRule type="expression" dxfId="45" priority="36" stopIfTrue="1">
      <formula>W35=1</formula>
    </cfRule>
  </conditionalFormatting>
  <conditionalFormatting sqref="L32">
    <cfRule type="expression" dxfId="44" priority="37" stopIfTrue="1">
      <formula>AA34=1</formula>
    </cfRule>
  </conditionalFormatting>
  <conditionalFormatting sqref="C32:C33">
    <cfRule type="expression" dxfId="43" priority="38" stopIfTrue="1">
      <formula>U32="Yes"</formula>
    </cfRule>
  </conditionalFormatting>
  <conditionalFormatting sqref="L36">
    <cfRule type="expression" dxfId="42" priority="39" stopIfTrue="1">
      <formula>Y40=1</formula>
    </cfRule>
  </conditionalFormatting>
  <conditionalFormatting sqref="D32:D33">
    <cfRule type="expression" dxfId="41" priority="44" stopIfTrue="1">
      <formula>U32="Yes"</formula>
    </cfRule>
  </conditionalFormatting>
  <conditionalFormatting sqref="C38">
    <cfRule type="expression" dxfId="40" priority="45" stopIfTrue="1">
      <formula>AND(U35="Yes",U33="Yes")</formula>
    </cfRule>
  </conditionalFormatting>
  <conditionalFormatting sqref="D38">
    <cfRule type="expression" dxfId="39" priority="46" stopIfTrue="1">
      <formula>AND(U35="Yes",U33="Yes")</formula>
    </cfRule>
  </conditionalFormatting>
  <conditionalFormatting sqref="L33">
    <cfRule type="expression" dxfId="38" priority="49" stopIfTrue="1">
      <formula>W29=1</formula>
    </cfRule>
  </conditionalFormatting>
  <conditionalFormatting sqref="E34 G34">
    <cfRule type="expression" dxfId="37" priority="50" stopIfTrue="1">
      <formula>U34=1</formula>
    </cfRule>
  </conditionalFormatting>
  <conditionalFormatting sqref="C36">
    <cfRule type="expression" dxfId="36" priority="52" stopIfTrue="1">
      <formula>OR(U31="Yes",H31="FREE")</formula>
    </cfRule>
  </conditionalFormatting>
  <conditionalFormatting sqref="D36">
    <cfRule type="expression" dxfId="35" priority="53" stopIfTrue="1">
      <formula>OR(U31="Yes",H31="FREE")</formula>
    </cfRule>
  </conditionalFormatting>
  <conditionalFormatting sqref="D37">
    <cfRule type="expression" dxfId="34" priority="54" stopIfTrue="1">
      <formula>W39=1</formula>
    </cfRule>
  </conditionalFormatting>
  <conditionalFormatting sqref="C37">
    <cfRule type="expression" dxfId="33" priority="55" stopIfTrue="1">
      <formula>W39=1</formula>
    </cfRule>
  </conditionalFormatting>
  <conditionalFormatting sqref="D35">
    <cfRule type="expression" dxfId="32" priority="58" stopIfTrue="1">
      <formula>OR(W33=1,X32=0)</formula>
    </cfRule>
  </conditionalFormatting>
  <conditionalFormatting sqref="C35">
    <cfRule type="expression" dxfId="31" priority="59" stopIfTrue="1">
      <formula>OR(W33=1,X32=0)</formula>
    </cfRule>
  </conditionalFormatting>
  <conditionalFormatting sqref="C39">
    <cfRule type="expression" dxfId="30" priority="60" stopIfTrue="1">
      <formula>OR(W32=2,X32=0)</formula>
    </cfRule>
  </conditionalFormatting>
  <conditionalFormatting sqref="D39">
    <cfRule type="expression" dxfId="29" priority="61" stopIfTrue="1">
      <formula>OR(W32=2,X32=0)</formula>
    </cfRule>
  </conditionalFormatting>
  <conditionalFormatting sqref="R36">
    <cfRule type="expression" dxfId="28" priority="62" stopIfTrue="1">
      <formula>AA41=1</formula>
    </cfRule>
  </conditionalFormatting>
  <conditionalFormatting sqref="M42">
    <cfRule type="expression" dxfId="27" priority="68" stopIfTrue="1">
      <formula>U43=1</formula>
    </cfRule>
  </conditionalFormatting>
  <conditionalFormatting sqref="I16">
    <cfRule type="expression" dxfId="26" priority="75" stopIfTrue="1">
      <formula>T17="One Year"</formula>
    </cfRule>
  </conditionalFormatting>
  <conditionalFormatting sqref="C54">
    <cfRule type="expression" dxfId="25" priority="76" stopIfTrue="1">
      <formula>V56&lt;&gt;0</formula>
    </cfRule>
  </conditionalFormatting>
  <conditionalFormatting sqref="F42 J41:K41">
    <cfRule type="cellIs" dxfId="24" priority="80" stopIfTrue="1" operator="equal">
      <formula>"-"</formula>
    </cfRule>
  </conditionalFormatting>
  <conditionalFormatting sqref="G38:G39 C8:C9">
    <cfRule type="cellIs" dxfId="23" priority="81" stopIfTrue="1" operator="equal">
      <formula>0</formula>
    </cfRule>
  </conditionalFormatting>
  <conditionalFormatting sqref="U42">
    <cfRule type="cellIs" dxfId="22" priority="82" stopIfTrue="1" operator="equal">
      <formula>"."</formula>
    </cfRule>
  </conditionalFormatting>
  <conditionalFormatting sqref="X38">
    <cfRule type="expression" dxfId="21" priority="84" stopIfTrue="1">
      <formula>#REF!&gt;1</formula>
    </cfRule>
  </conditionalFormatting>
  <conditionalFormatting sqref="X43:X49">
    <cfRule type="expression" dxfId="20" priority="85" stopIfTrue="1">
      <formula>#REF!=1</formula>
    </cfRule>
  </conditionalFormatting>
  <conditionalFormatting sqref="H34">
    <cfRule type="expression" dxfId="19" priority="86" stopIfTrue="1">
      <formula>#REF!&gt;1000</formula>
    </cfRule>
  </conditionalFormatting>
  <conditionalFormatting sqref="I38">
    <cfRule type="expression" dxfId="18" priority="88" stopIfTrue="1">
      <formula>#REF!=0</formula>
    </cfRule>
  </conditionalFormatting>
  <conditionalFormatting sqref="R5 P4">
    <cfRule type="cellIs" dxfId="17" priority="89" stopIfTrue="1" operator="equal">
      <formula>0</formula>
    </cfRule>
  </conditionalFormatting>
  <conditionalFormatting sqref="L22">
    <cfRule type="cellIs" dxfId="16" priority="90" stopIfTrue="1" operator="equal">
      <formula>"Total Contribution"</formula>
    </cfRule>
  </conditionalFormatting>
  <conditionalFormatting sqref="Q39">
    <cfRule type="expression" dxfId="15" priority="25" stopIfTrue="1">
      <formula>V43=1</formula>
    </cfRule>
  </conditionalFormatting>
  <conditionalFormatting sqref="L39">
    <cfRule type="expression" dxfId="14" priority="18" stopIfTrue="1">
      <formula>A38=1</formula>
    </cfRule>
  </conditionalFormatting>
  <conditionalFormatting sqref="L35">
    <cfRule type="expression" dxfId="13" priority="17" stopIfTrue="1">
      <formula>W35=1</formula>
    </cfRule>
  </conditionalFormatting>
  <conditionalFormatting sqref="M39">
    <cfRule type="expression" dxfId="12" priority="257" stopIfTrue="1">
      <formula>U38=1</formula>
    </cfRule>
  </conditionalFormatting>
  <conditionalFormatting sqref="C34">
    <cfRule type="expression" dxfId="11" priority="259" stopIfTrue="1">
      <formula>AA36=1</formula>
    </cfRule>
  </conditionalFormatting>
  <conditionalFormatting sqref="D34">
    <cfRule type="expression" dxfId="10" priority="260" stopIfTrue="1">
      <formula>AA36=1</formula>
    </cfRule>
  </conditionalFormatting>
  <conditionalFormatting sqref="M35">
    <cfRule type="expression" dxfId="9" priority="261" stopIfTrue="1">
      <formula>U41=1</formula>
    </cfRule>
  </conditionalFormatting>
  <conditionalFormatting sqref="M33">
    <cfRule type="expression" dxfId="8" priority="262" stopIfTrue="1">
      <formula>W29=1</formula>
    </cfRule>
  </conditionalFormatting>
  <conditionalFormatting sqref="L34">
    <cfRule type="expression" dxfId="7" priority="16" stopIfTrue="1">
      <formula>W29=1</formula>
    </cfRule>
  </conditionalFormatting>
  <conditionalFormatting sqref="L42">
    <cfRule type="expression" dxfId="6" priority="15" stopIfTrue="1">
      <formula>AD34=1</formula>
    </cfRule>
  </conditionalFormatting>
  <conditionalFormatting sqref="R39">
    <cfRule type="expression" dxfId="5" priority="13" stopIfTrue="1">
      <formula>AA44=1</formula>
    </cfRule>
  </conditionalFormatting>
  <conditionalFormatting sqref="C11">
    <cfRule type="cellIs" dxfId="4" priority="7" stopIfTrue="1" operator="equal">
      <formula>0</formula>
    </cfRule>
  </conditionalFormatting>
  <conditionalFormatting sqref="C13">
    <cfRule type="cellIs" dxfId="3" priority="6" stopIfTrue="1" operator="equal">
      <formula>0</formula>
    </cfRule>
  </conditionalFormatting>
  <conditionalFormatting sqref="P7:R7">
    <cfRule type="cellIs" dxfId="2" priority="5" stopIfTrue="1" operator="equal">
      <formula>"QUADRICYCLE"</formula>
    </cfRule>
  </conditionalFormatting>
  <conditionalFormatting sqref="L40">
    <cfRule type="expression" dxfId="1" priority="2" stopIfTrue="1">
      <formula>V37=1</formula>
    </cfRule>
  </conditionalFormatting>
  <conditionalFormatting sqref="M37">
    <cfRule type="expression" dxfId="0" priority="1" stopIfTrue="1">
      <formula>Y40=1</formula>
    </cfRule>
  </conditionalFormatting>
  <dataValidations count="9">
    <dataValidation type="whole" allowBlank="1" showInputMessage="1" showErrorMessage="1" sqref="L32:L36 E34 Q39 C32:C40 L42 H34 L38:L39" xr:uid="{00000000-0002-0000-0400-000000000000}">
      <formula1>0</formula1>
      <formula2>1</formula2>
    </dataValidation>
    <dataValidation type="list" allowBlank="1" showInputMessage="1" showErrorMessage="1" sqref="T19" xr:uid="{00000000-0002-0000-0400-000001000000}">
      <formula1>"Yes,No"</formula1>
    </dataValidation>
    <dataValidation type="list" allowBlank="1" showInputMessage="1" showErrorMessage="1" sqref="P13:Q13" xr:uid="{00000000-0002-0000-0400-000002000000}">
      <formula1>"2006,2007,2008,2009,2010,2011,2012,2013,2014,2015,2016,2017,2018,2019,2020,2021,2022"</formula1>
    </dataValidation>
    <dataValidation type="list" showInputMessage="1" showErrorMessage="1" sqref="I39" xr:uid="{00000000-0002-0000-0400-000003000000}">
      <formula1>"0,2000,10000,20000,50000,100000,200000,500000"</formula1>
    </dataValidation>
    <dataValidation type="list" operator="notBetween" allowBlank="1" showInputMessage="1" showErrorMessage="1" sqref="I35" xr:uid="{00000000-0002-0000-0400-000004000000}">
      <formula1>"300000,500000,1000000"</formula1>
    </dataValidation>
    <dataValidation type="whole" errorStyle="information" allowBlank="1" showInputMessage="1" showErrorMessage="1" error="Free Cover upto Rs.1,000/-" sqref="I34" xr:uid="{00000000-0002-0000-0400-000005000000}">
      <formula1>1000</formula1>
      <formula2>30000</formula2>
    </dataValidation>
    <dataValidation type="list" allowBlank="1" showInputMessage="1" showErrorMessage="1" sqref="P8:R8" xr:uid="{00000000-0002-0000-0400-000006000000}">
      <formula1>"BAJAJ,TVS,PIAGIO,TO BE ADVISED"</formula1>
    </dataValidation>
    <dataValidation type="list" allowBlank="1" showInputMessage="1" showErrorMessage="1" sqref="P12:R12" xr:uid="{00000000-0002-0000-0400-000007000000}">
      <formula1>"HIRING,PRIVATE USE ONLY"</formula1>
    </dataValidation>
    <dataValidation type="decimal" allowBlank="1" showInputMessage="1" showErrorMessage="1" sqref="Q16:R16" xr:uid="{00000000-0002-0000-0400-000008000000}">
      <formula1>0</formula1>
      <formula2>2000000</formula2>
    </dataValidation>
  </dataValidations>
  <printOptions horizontalCentered="1"/>
  <pageMargins left="0.5" right="0.3" top="0.5" bottom="0.25" header="0" footer="0"/>
  <pageSetup paperSize="9" scale="72"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22"/>
  <sheetViews>
    <sheetView showGridLines="0" topLeftCell="A17" workbookViewId="0">
      <selection activeCell="F24" sqref="F24"/>
    </sheetView>
  </sheetViews>
  <sheetFormatPr defaultRowHeight="12.5" x14ac:dyDescent="0.25"/>
  <cols>
    <col min="1" max="1" width="0.81640625" customWidth="1"/>
    <col min="2" max="2" width="50.1796875" customWidth="1"/>
    <col min="3" max="3" width="1.453125" customWidth="1"/>
    <col min="4" max="4" width="4.453125" customWidth="1"/>
    <col min="5" max="6" width="12.453125" customWidth="1"/>
  </cols>
  <sheetData>
    <row r="1" spans="2:6" ht="26" x14ac:dyDescent="0.25">
      <c r="B1" s="740" t="s">
        <v>529</v>
      </c>
      <c r="C1" s="740"/>
      <c r="D1" s="749"/>
      <c r="E1" s="749"/>
      <c r="F1" s="749"/>
    </row>
    <row r="2" spans="2:6" ht="13" x14ac:dyDescent="0.25">
      <c r="B2" s="740" t="s">
        <v>530</v>
      </c>
      <c r="C2" s="740"/>
      <c r="D2" s="749"/>
      <c r="E2" s="749"/>
      <c r="F2" s="749"/>
    </row>
    <row r="3" spans="2:6" x14ac:dyDescent="0.25">
      <c r="B3" s="741"/>
      <c r="C3" s="741"/>
      <c r="D3" s="750"/>
      <c r="E3" s="750"/>
      <c r="F3" s="750"/>
    </row>
    <row r="4" spans="2:6" ht="50" x14ac:dyDescent="0.25">
      <c r="B4" s="741" t="s">
        <v>531</v>
      </c>
      <c r="C4" s="741"/>
      <c r="D4" s="750"/>
      <c r="E4" s="750"/>
      <c r="F4" s="750"/>
    </row>
    <row r="5" spans="2:6" x14ac:dyDescent="0.25">
      <c r="B5" s="741"/>
      <c r="C5" s="741"/>
      <c r="D5" s="750"/>
      <c r="E5" s="750"/>
      <c r="F5" s="750"/>
    </row>
    <row r="6" spans="2:6" ht="26" x14ac:dyDescent="0.25">
      <c r="B6" s="740" t="s">
        <v>532</v>
      </c>
      <c r="C6" s="740"/>
      <c r="D6" s="749"/>
      <c r="E6" s="749" t="s">
        <v>533</v>
      </c>
      <c r="F6" s="749" t="s">
        <v>534</v>
      </c>
    </row>
    <row r="7" spans="2:6" ht="13" thickBot="1" x14ac:dyDescent="0.3">
      <c r="B7" s="741"/>
      <c r="C7" s="741"/>
      <c r="D7" s="750"/>
      <c r="E7" s="750"/>
      <c r="F7" s="750"/>
    </row>
    <row r="8" spans="2:6" ht="25" x14ac:dyDescent="0.25">
      <c r="B8" s="742" t="s">
        <v>535</v>
      </c>
      <c r="C8" s="743"/>
      <c r="D8" s="751"/>
      <c r="E8" s="751">
        <v>3</v>
      </c>
      <c r="F8" s="752"/>
    </row>
    <row r="9" spans="2:6" ht="20" x14ac:dyDescent="0.25">
      <c r="B9" s="744"/>
      <c r="C9" s="741"/>
      <c r="D9" s="750"/>
      <c r="E9" s="753" t="s">
        <v>536</v>
      </c>
      <c r="F9" s="754" t="s">
        <v>537</v>
      </c>
    </row>
    <row r="10" spans="2:6" ht="20" x14ac:dyDescent="0.25">
      <c r="B10" s="744"/>
      <c r="C10" s="741"/>
      <c r="D10" s="750"/>
      <c r="E10" s="753" t="s">
        <v>538</v>
      </c>
      <c r="F10" s="754" t="s">
        <v>537</v>
      </c>
    </row>
    <row r="11" spans="2:6" ht="13" thickBot="1" x14ac:dyDescent="0.3">
      <c r="B11" s="745"/>
      <c r="C11" s="746"/>
      <c r="D11" s="755"/>
      <c r="E11" s="755"/>
      <c r="F11" s="756" t="s">
        <v>537</v>
      </c>
    </row>
    <row r="12" spans="2:6" x14ac:dyDescent="0.25">
      <c r="B12" s="741"/>
      <c r="C12" s="741"/>
      <c r="D12" s="750"/>
      <c r="E12" s="750"/>
      <c r="F12" s="750"/>
    </row>
    <row r="13" spans="2:6" x14ac:dyDescent="0.25">
      <c r="B13" s="741"/>
      <c r="C13" s="741"/>
      <c r="D13" s="750"/>
      <c r="E13" s="750"/>
      <c r="F13" s="750"/>
    </row>
    <row r="14" spans="2:6" ht="13" x14ac:dyDescent="0.25">
      <c r="B14" s="740" t="s">
        <v>539</v>
      </c>
      <c r="C14" s="740"/>
      <c r="D14" s="749"/>
      <c r="E14" s="749"/>
      <c r="F14" s="749"/>
    </row>
    <row r="15" spans="2:6" ht="13" thickBot="1" x14ac:dyDescent="0.3">
      <c r="B15" s="741"/>
      <c r="C15" s="741"/>
      <c r="D15" s="750"/>
      <c r="E15" s="750"/>
      <c r="F15" s="750"/>
    </row>
    <row r="16" spans="2:6" ht="63" thickBot="1" x14ac:dyDescent="0.3">
      <c r="B16" s="747" t="s">
        <v>540</v>
      </c>
      <c r="C16" s="748"/>
      <c r="D16" s="757"/>
      <c r="E16" s="757" t="s">
        <v>541</v>
      </c>
      <c r="F16" s="758" t="s">
        <v>537</v>
      </c>
    </row>
    <row r="17" spans="2:6" ht="13" thickBot="1" x14ac:dyDescent="0.3">
      <c r="B17" s="741"/>
      <c r="C17" s="741"/>
      <c r="D17" s="750"/>
      <c r="E17" s="750"/>
      <c r="F17" s="750"/>
    </row>
    <row r="18" spans="2:6" ht="38" thickBot="1" x14ac:dyDescent="0.3">
      <c r="B18" s="747" t="s">
        <v>542</v>
      </c>
      <c r="C18" s="748"/>
      <c r="D18" s="757"/>
      <c r="E18" s="757">
        <v>4</v>
      </c>
      <c r="F18" s="758" t="s">
        <v>537</v>
      </c>
    </row>
    <row r="19" spans="2:6" ht="13" thickBot="1" x14ac:dyDescent="0.3">
      <c r="B19" s="741"/>
      <c r="C19" s="741"/>
      <c r="D19" s="750"/>
      <c r="E19" s="750"/>
      <c r="F19" s="750"/>
    </row>
    <row r="20" spans="2:6" ht="50" x14ac:dyDescent="0.25">
      <c r="B20" s="742" t="s">
        <v>543</v>
      </c>
      <c r="C20" s="743"/>
      <c r="D20" s="751"/>
      <c r="E20" s="751">
        <v>1</v>
      </c>
      <c r="F20" s="752"/>
    </row>
    <row r="21" spans="2:6" ht="20.5" thickBot="1" x14ac:dyDescent="0.3">
      <c r="B21" s="745"/>
      <c r="C21" s="746"/>
      <c r="D21" s="755"/>
      <c r="E21" s="759" t="s">
        <v>538</v>
      </c>
      <c r="F21" s="756" t="s">
        <v>537</v>
      </c>
    </row>
    <row r="22" spans="2:6" x14ac:dyDescent="0.25">
      <c r="B22" s="741"/>
      <c r="C22" s="741"/>
      <c r="D22" s="750"/>
      <c r="E22" s="750"/>
      <c r="F22" s="750"/>
    </row>
  </sheetData>
  <hyperlinks>
    <hyperlink ref="E9" location="'Data Entry'!A1:BH152" display="'Data Entry'!A1:BH152" xr:uid="{00000000-0004-0000-0500-000000000000}"/>
    <hyperlink ref="E10" location="'Tuk Tuk Quote'!1:156" display="'Tuk Tuk Quote'!1:156" xr:uid="{00000000-0004-0000-0500-000001000000}"/>
    <hyperlink ref="E21" location="'Tuk Tuk Quote'!1:156" display="'Tuk Tuk Quote'!1:156" xr:uid="{00000000-0004-0000-05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Administration</vt:lpstr>
      <vt:lpstr>Rates</vt:lpstr>
      <vt:lpstr>Calculation</vt:lpstr>
      <vt:lpstr>Data Entry</vt:lpstr>
      <vt:lpstr> Quote</vt:lpstr>
      <vt:lpstr>Compatibility Report</vt:lpstr>
      <vt:lpstr>Branch</vt:lpstr>
      <vt:lpstr>BRANCHES</vt:lpstr>
      <vt:lpstr>Date</vt:lpstr>
      <vt:lpstr>Month</vt:lpstr>
      <vt:lpstr>PAB</vt:lpstr>
      <vt:lpstr>' Quote'!Print_Area</vt:lpstr>
      <vt:lpstr>Administration!Print_Area</vt:lpstr>
      <vt:lpstr>Calculation!Print_Area</vt:lpstr>
      <vt:lpstr>'Data Entry'!Print_Area</vt:lpstr>
      <vt:lpstr>Rates!Print_Area</vt:lpstr>
      <vt:lpstr>usage</vt:lpstr>
      <vt:lpstr>usages</vt:lpstr>
      <vt:lpstr>VEHICLE</vt:lpstr>
      <vt:lpstr>vehicles</vt:lpstr>
      <vt:lpstr>YOM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2019-04-03T03:02:02Z</cp:lastPrinted>
  <dcterms:created xsi:type="dcterms:W3CDTF">2002-11-28T09:30:00Z</dcterms:created>
  <dcterms:modified xsi:type="dcterms:W3CDTF">2024-02-24T15:58:52Z</dcterms:modified>
</cp:coreProperties>
</file>