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Fintrex\"/>
    </mc:Choice>
  </mc:AlternateContent>
  <xr:revisionPtr revIDLastSave="0" documentId="13_ncr:1_{64BBD8F3-D78E-4666-87BE-28F090F02059}" xr6:coauthVersionLast="36" xr6:coauthVersionMax="36" xr10:uidLastSave="{00000000-0000-0000-0000-000000000000}"/>
  <workbookProtection workbookPassword="F6CE" lockStructure="1"/>
  <bookViews>
    <workbookView xWindow="0" yWindow="0" windowWidth="19200" windowHeight="6930" firstSheet="4" activeTab="8" xr2:uid="{00000000-000D-0000-FFFF-FFFF00000000}"/>
  </bookViews>
  <sheets>
    <sheet name="Administration" sheetId="14" state="hidden" r:id="rId1"/>
    <sheet name="Rates" sheetId="10" state="hidden" r:id="rId2"/>
    <sheet name="Calculation" sheetId="16" state="hidden" r:id="rId3"/>
    <sheet name="Working" sheetId="4" state="hidden" r:id="rId4"/>
    <sheet name="TW Working" sheetId="17" r:id="rId5"/>
    <sheet name="Administration (2)" sheetId="18" state="hidden" r:id="rId6"/>
    <sheet name="Rates (2)" sheetId="19" state="hidden" r:id="rId7"/>
    <sheet name="Calculation (2)" sheetId="20" state="hidden" r:id="rId8"/>
    <sheet name="TW" sheetId="13" r:id="rId9"/>
    <sheet name="MC" sheetId="21" r:id="rId10"/>
    <sheet name="MC Working" sheetId="22" r:id="rId11"/>
  </sheets>
  <externalReferences>
    <externalReference r:id="rId12"/>
  </externalReferences>
  <definedNames>
    <definedName name="_xlnm._FilterDatabase" localSheetId="0" hidden="1">Administration!$I$7:$I$18</definedName>
    <definedName name="_xlnm._FilterDatabase" localSheetId="5" hidden="1">'Administration (2)'!$I$7:$I$18</definedName>
    <definedName name="_xlnm._FilterDatabase" localSheetId="9" hidden="1">MC!$C$12:$Y$58</definedName>
    <definedName name="_xlnm._FilterDatabase" localSheetId="10" hidden="1">'MC Working'!$M$70:$M$70</definedName>
    <definedName name="_xlnm._FilterDatabase" localSheetId="8" hidden="1">TW!$C$12:$Y$58</definedName>
    <definedName name="_xlnm._FilterDatabase" localSheetId="3" hidden="1">Working!$M$69:$M$69</definedName>
    <definedName name="_PAB2">#REF!</definedName>
    <definedName name="Birthyear">'[1]Data Entry'!$AI$5:$AI$84</definedName>
    <definedName name="Branch">Administration!$O$4:$O$31</definedName>
    <definedName name="Branch2">#REF!</definedName>
    <definedName name="BRANCHES">Working!$AK$42:$AK$43</definedName>
    <definedName name="Branches2">#REF!</definedName>
    <definedName name="Date">Administration!$Q$4:$Q$34</definedName>
    <definedName name="Date2">#REF!</definedName>
    <definedName name="Month">Administration!$Q$4:$Q$34</definedName>
    <definedName name="Month1">'[1]Data Entry'!$AK$4:$AK$34</definedName>
    <definedName name="Month2">#REF!</definedName>
    <definedName name="PAB">Working!$AJ$24:$AJ$45</definedName>
    <definedName name="_xlnm.Print_Area" localSheetId="0">Administration!$N$3:$O$31</definedName>
    <definedName name="_xlnm.Print_Area" localSheetId="5">'Administration (2)'!$N$3:$O$31</definedName>
    <definedName name="_xlnm.Print_Area" localSheetId="2">Calculation!$A$1:$M$43</definedName>
    <definedName name="_xlnm.Print_Area" localSheetId="7">'Calculation (2)'!$A$1:$M$43</definedName>
    <definedName name="_xlnm.Print_Area" localSheetId="9">MC!$A$1:$S$60</definedName>
    <definedName name="_xlnm.Print_Area" localSheetId="10">'MC Working'!$D$1:$M$72</definedName>
    <definedName name="_xlnm.Print_Area" localSheetId="1">Rates!$A$1:$P$55</definedName>
    <definedName name="_xlnm.Print_Area" localSheetId="6">'Rates (2)'!$A$1:$P$55</definedName>
    <definedName name="_xlnm.Print_Area" localSheetId="8">TW!$A$1:$S$60</definedName>
    <definedName name="_xlnm.Print_Area" localSheetId="3">Working!$D$1:$M$71</definedName>
    <definedName name="usage">Administration!$G$20:$G$24</definedName>
    <definedName name="usage2">#REF!</definedName>
    <definedName name="usages">Working!$AP$6:$AP$10</definedName>
    <definedName name="VEHICLE">Working!$AM$6:$AM$13</definedName>
    <definedName name="vehicles">Administration!$G$7:$G$19</definedName>
    <definedName name="YOM">Working!$AU$8:$AU$84</definedName>
  </definedNames>
  <calcPr calcId="191029"/>
</workbook>
</file>

<file path=xl/calcChain.xml><?xml version="1.0" encoding="utf-8"?>
<calcChain xmlns="http://schemas.openxmlformats.org/spreadsheetml/2006/main">
  <c r="F70" i="22" l="1"/>
  <c r="X15" i="22" s="1"/>
  <c r="F17" i="17"/>
  <c r="I45" i="13"/>
  <c r="F152" i="22"/>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R80" i="22"/>
  <c r="R79" i="22"/>
  <c r="K66" i="22"/>
  <c r="K62" i="22"/>
  <c r="Q61" i="22"/>
  <c r="O59" i="22"/>
  <c r="U40" i="21" s="1"/>
  <c r="M40" i="21" s="1"/>
  <c r="M59" i="22"/>
  <c r="H59" i="22"/>
  <c r="O58" i="22"/>
  <c r="T40" i="21"/>
  <c r="D40" i="21" s="1"/>
  <c r="M58" i="22"/>
  <c r="H58" i="22"/>
  <c r="B56" i="22"/>
  <c r="R61" i="22" s="1"/>
  <c r="B55" i="22"/>
  <c r="Q55" i="22" s="1"/>
  <c r="O54" i="22"/>
  <c r="U41" i="21" s="1"/>
  <c r="P53" i="22"/>
  <c r="O53" i="22"/>
  <c r="Q52" i="22"/>
  <c r="P52" i="22"/>
  <c r="B52" i="22"/>
  <c r="Q51" i="22"/>
  <c r="O51" i="22"/>
  <c r="O50" i="22"/>
  <c r="H49" i="22"/>
  <c r="O49" i="22" s="1"/>
  <c r="H48" i="22"/>
  <c r="O48" i="22" s="1"/>
  <c r="O47" i="22"/>
  <c r="B46" i="22"/>
  <c r="R45" i="22"/>
  <c r="O45" i="22"/>
  <c r="Y42" i="21"/>
  <c r="B45" i="22"/>
  <c r="R44" i="22"/>
  <c r="W43" i="22"/>
  <c r="T43" i="22"/>
  <c r="Q43" i="22"/>
  <c r="W42" i="22"/>
  <c r="T42" i="22"/>
  <c r="Q42" i="22"/>
  <c r="C42" i="22"/>
  <c r="K43" i="22"/>
  <c r="K41" i="22"/>
  <c r="H41" i="22"/>
  <c r="B40" i="22"/>
  <c r="O39" i="22"/>
  <c r="B39" i="22"/>
  <c r="H36" i="22"/>
  <c r="C36" i="22"/>
  <c r="E34" i="22"/>
  <c r="E33" i="22"/>
  <c r="W32" i="22"/>
  <c r="E32" i="22"/>
  <c r="Q31" i="22"/>
  <c r="O31" i="22"/>
  <c r="T30" i="22"/>
  <c r="O30" i="22"/>
  <c r="L26" i="22"/>
  <c r="G26" i="22"/>
  <c r="E26" i="22"/>
  <c r="L27" i="22" s="1"/>
  <c r="Q25" i="22"/>
  <c r="Y25" i="22"/>
  <c r="H25" i="22"/>
  <c r="C24" i="22"/>
  <c r="Q23" i="22"/>
  <c r="I22" i="22"/>
  <c r="AM17" i="22"/>
  <c r="Z15" i="22"/>
  <c r="H15" i="22"/>
  <c r="K14" i="22"/>
  <c r="H14" i="22"/>
  <c r="N8" i="22"/>
  <c r="H13" i="22"/>
  <c r="M60" i="22"/>
  <c r="M12" i="22"/>
  <c r="L25" i="21"/>
  <c r="J12" i="22"/>
  <c r="C12" i="22"/>
  <c r="M11" i="22"/>
  <c r="H11" i="22"/>
  <c r="L10" i="22"/>
  <c r="H10" i="22"/>
  <c r="AU9" i="22"/>
  <c r="AU10" i="22"/>
  <c r="AU11" i="22" s="1"/>
  <c r="AU12" i="22" s="1"/>
  <c r="AU13" i="22" s="1"/>
  <c r="AU14" i="22"/>
  <c r="AU15" i="22" s="1"/>
  <c r="AU16" i="22" s="1"/>
  <c r="AU17" i="22" s="1"/>
  <c r="AU18" i="22" s="1"/>
  <c r="AU19" i="22" s="1"/>
  <c r="AU20" i="22" s="1"/>
  <c r="AU21" i="22" s="1"/>
  <c r="AU22" i="22" s="1"/>
  <c r="AU23" i="22" s="1"/>
  <c r="AU24" i="22" s="1"/>
  <c r="AU25" i="22" s="1"/>
  <c r="AU26" i="22" s="1"/>
  <c r="AU27" i="22" s="1"/>
  <c r="AU28" i="22" s="1"/>
  <c r="AU29" i="22" s="1"/>
  <c r="AU30" i="22" s="1"/>
  <c r="AU31" i="22" s="1"/>
  <c r="AU32" i="22" s="1"/>
  <c r="AU33" i="22" s="1"/>
  <c r="AU34" i="22" s="1"/>
  <c r="AU35" i="22" s="1"/>
  <c r="AU36" i="22" s="1"/>
  <c r="AU37" i="22" s="1"/>
  <c r="AU38" i="22" s="1"/>
  <c r="AU39" i="22" s="1"/>
  <c r="AU40" i="22" s="1"/>
  <c r="AU41" i="22" s="1"/>
  <c r="AU42" i="22" s="1"/>
  <c r="O8" i="22"/>
  <c r="L8" i="22"/>
  <c r="W7" i="22"/>
  <c r="U7" i="22"/>
  <c r="T7" i="22"/>
  <c r="H7" i="22"/>
  <c r="P6" i="22"/>
  <c r="L6" i="22"/>
  <c r="N5" i="22"/>
  <c r="N4" i="22"/>
  <c r="O3" i="22"/>
  <c r="N3" i="22"/>
  <c r="D3" i="22"/>
  <c r="AA2" i="22"/>
  <c r="X2" i="22"/>
  <c r="V2" i="22"/>
  <c r="R2" i="22"/>
  <c r="N2" i="22"/>
  <c r="I100" i="21"/>
  <c r="V55" i="21"/>
  <c r="C47" i="21"/>
  <c r="B45" i="21"/>
  <c r="U43" i="21"/>
  <c r="I37" i="21"/>
  <c r="M36" i="21"/>
  <c r="I36" i="21"/>
  <c r="U33" i="21"/>
  <c r="Q45" i="21"/>
  <c r="D30" i="21"/>
  <c r="Q24" i="21"/>
  <c r="L24" i="21"/>
  <c r="L23" i="21"/>
  <c r="L22" i="21"/>
  <c r="C17" i="21"/>
  <c r="I16" i="21"/>
  <c r="F16" i="21"/>
  <c r="T13" i="21"/>
  <c r="D4" i="19"/>
  <c r="B13" i="21"/>
  <c r="V12" i="21"/>
  <c r="AB4" i="21"/>
  <c r="AA4" i="21"/>
  <c r="P4" i="21"/>
  <c r="L19" i="20"/>
  <c r="X11" i="20"/>
  <c r="Q6" i="20"/>
  <c r="P6" i="20" s="1"/>
  <c r="V5" i="20"/>
  <c r="U5" i="20"/>
  <c r="I5" i="20"/>
  <c r="V4" i="20"/>
  <c r="W5" i="20"/>
  <c r="U4" i="20"/>
  <c r="Q3" i="20"/>
  <c r="P3" i="20"/>
  <c r="O3" i="20"/>
  <c r="U10" i="20" s="1"/>
  <c r="W2" i="20"/>
  <c r="I3" i="20"/>
  <c r="V2" i="20"/>
  <c r="J3" i="20"/>
  <c r="U2" i="20"/>
  <c r="K3" i="20"/>
  <c r="S2" i="20"/>
  <c r="F92" i="19"/>
  <c r="D92" i="19"/>
  <c r="B52" i="19"/>
  <c r="E29" i="19"/>
  <c r="I21" i="19"/>
  <c r="I22" i="19" s="1"/>
  <c r="G20" i="19"/>
  <c r="M18" i="19"/>
  <c r="M17" i="19"/>
  <c r="I12" i="19"/>
  <c r="I13" i="19"/>
  <c r="I14" i="19" s="1"/>
  <c r="I15" i="19"/>
  <c r="I16" i="19" s="1"/>
  <c r="D10" i="19"/>
  <c r="I5" i="19"/>
  <c r="I7" i="19"/>
  <c r="A4" i="19"/>
  <c r="A5" i="19"/>
  <c r="A6" i="19" s="1"/>
  <c r="A7" i="19"/>
  <c r="A8" i="19" s="1"/>
  <c r="A9" i="19" s="1"/>
  <c r="A10" i="19" s="1"/>
  <c r="A11" i="19"/>
  <c r="A12" i="19" s="1"/>
  <c r="A13" i="19" s="1"/>
  <c r="A14" i="19" s="1"/>
  <c r="A15" i="19"/>
  <c r="A16" i="19" s="1"/>
  <c r="B1" i="19"/>
  <c r="A1" i="19" s="1"/>
  <c r="A32" i="18"/>
  <c r="G24" i="18"/>
  <c r="G23" i="18"/>
  <c r="G22" i="18"/>
  <c r="G21" i="18"/>
  <c r="G20" i="18"/>
  <c r="I20" i="18" s="1"/>
  <c r="I21" i="18" s="1"/>
  <c r="H17" i="18"/>
  <c r="G17" i="18"/>
  <c r="AM16" i="22"/>
  <c r="H16" i="18"/>
  <c r="G16" i="18"/>
  <c r="AM15" i="22" s="1"/>
  <c r="H15" i="18"/>
  <c r="G15" i="18"/>
  <c r="AM13" i="22"/>
  <c r="H14" i="18"/>
  <c r="G14" i="18"/>
  <c r="AM12" i="22" s="1"/>
  <c r="H13" i="18"/>
  <c r="G13" i="18"/>
  <c r="AM14" i="22"/>
  <c r="H12" i="18"/>
  <c r="G12" i="18"/>
  <c r="AM11" i="22" s="1"/>
  <c r="H11" i="18"/>
  <c r="G11" i="18"/>
  <c r="AM10" i="22"/>
  <c r="H10" i="18"/>
  <c r="G10" i="18"/>
  <c r="AM9" i="22" s="1"/>
  <c r="H9" i="18"/>
  <c r="G9" i="18"/>
  <c r="AM8" i="22"/>
  <c r="H8" i="18"/>
  <c r="G8" i="18"/>
  <c r="AM7" i="22" s="1"/>
  <c r="H7" i="18"/>
  <c r="I7" i="18" s="1"/>
  <c r="G7" i="18"/>
  <c r="AM6" i="22" s="1"/>
  <c r="Q5" i="18"/>
  <c r="Q6" i="18" s="1"/>
  <c r="Q7" i="18" s="1"/>
  <c r="Q8" i="18" s="1"/>
  <c r="Q9" i="18"/>
  <c r="Q10" i="18" s="1"/>
  <c r="Q11" i="18" s="1"/>
  <c r="Q12" i="18" s="1"/>
  <c r="Q13" i="18" s="1"/>
  <c r="Q14" i="18" s="1"/>
  <c r="Q15" i="18" s="1"/>
  <c r="Q16" i="18" s="1"/>
  <c r="Q17" i="18" s="1"/>
  <c r="Q18" i="18" s="1"/>
  <c r="Q19" i="18" s="1"/>
  <c r="Q20" i="18" s="1"/>
  <c r="Q21" i="18" s="1"/>
  <c r="Q22" i="18" s="1"/>
  <c r="Q23" i="18" s="1"/>
  <c r="Q24" i="18" s="1"/>
  <c r="Q25" i="18" s="1"/>
  <c r="Q26" i="18" s="1"/>
  <c r="Q27" i="18" s="1"/>
  <c r="Q28" i="18" s="1"/>
  <c r="Q29" i="18" s="1"/>
  <c r="Q30" i="18" s="1"/>
  <c r="Q31" i="18" s="1"/>
  <c r="K5" i="18"/>
  <c r="J5" i="18"/>
  <c r="I5" i="18" s="1"/>
  <c r="H5" i="18" s="1"/>
  <c r="C5" i="18" s="1"/>
  <c r="H3" i="18"/>
  <c r="G3" i="18"/>
  <c r="I3" i="18" s="1"/>
  <c r="H37" i="22"/>
  <c r="H23" i="22"/>
  <c r="N7" i="22"/>
  <c r="D3" i="19"/>
  <c r="I18" i="22"/>
  <c r="B41" i="22"/>
  <c r="U30" i="22"/>
  <c r="I13" i="22"/>
  <c r="Q38" i="22"/>
  <c r="R5" i="17"/>
  <c r="R6" i="17"/>
  <c r="I46" i="13"/>
  <c r="H12" i="17"/>
  <c r="IR8" i="14"/>
  <c r="C4" i="17"/>
  <c r="H2" i="17" s="1"/>
  <c r="H13" i="17" s="1"/>
  <c r="T21" i="13"/>
  <c r="T22" i="13"/>
  <c r="H15" i="17"/>
  <c r="L45" i="13"/>
  <c r="H25" i="4"/>
  <c r="H29" i="4"/>
  <c r="H48" i="4"/>
  <c r="O48" i="4" s="1"/>
  <c r="M12" i="4"/>
  <c r="I36" i="13"/>
  <c r="I37" i="13"/>
  <c r="T13" i="13"/>
  <c r="B13" i="13"/>
  <c r="I100" i="13"/>
  <c r="H49" i="4"/>
  <c r="L6" i="4"/>
  <c r="H7" i="4"/>
  <c r="L10" i="4"/>
  <c r="H10" i="4"/>
  <c r="H13" i="4"/>
  <c r="I13" i="4" s="1"/>
  <c r="H11" i="4"/>
  <c r="K14" i="4"/>
  <c r="H14" i="4"/>
  <c r="C9" i="13"/>
  <c r="H36" i="4"/>
  <c r="C42" i="4"/>
  <c r="H15" i="4"/>
  <c r="J12" i="4"/>
  <c r="E34" i="4"/>
  <c r="O45" i="4"/>
  <c r="Y42" i="13"/>
  <c r="B45" i="4"/>
  <c r="B46" i="4"/>
  <c r="O46" i="4"/>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K29" i="4" s="1"/>
  <c r="P29" i="4" s="1"/>
  <c r="F111" i="4"/>
  <c r="F110" i="4"/>
  <c r="F109" i="4"/>
  <c r="F108" i="4"/>
  <c r="F107" i="4"/>
  <c r="F106" i="4"/>
  <c r="F105" i="4"/>
  <c r="F104" i="4"/>
  <c r="F103" i="4"/>
  <c r="F102" i="4"/>
  <c r="F101" i="4"/>
  <c r="F100" i="4"/>
  <c r="F99" i="4"/>
  <c r="F98" i="4"/>
  <c r="F97" i="4"/>
  <c r="F96" i="4"/>
  <c r="F95" i="4"/>
  <c r="F94" i="4"/>
  <c r="F92" i="10"/>
  <c r="D92" i="10"/>
  <c r="P6" i="4"/>
  <c r="N5" i="4"/>
  <c r="AB4" i="13"/>
  <c r="P4" i="13"/>
  <c r="AA4" i="13"/>
  <c r="V12" i="13"/>
  <c r="I16" i="13"/>
  <c r="C17" i="13"/>
  <c r="L22" i="13"/>
  <c r="L23" i="13"/>
  <c r="B45" i="13"/>
  <c r="V55" i="13"/>
  <c r="N2" i="4"/>
  <c r="R2" i="4"/>
  <c r="X2" i="4"/>
  <c r="AA2" i="4"/>
  <c r="D3" i="4"/>
  <c r="L3" i="4"/>
  <c r="O3" i="4"/>
  <c r="N4" i="4"/>
  <c r="T7" i="4"/>
  <c r="U7" i="4"/>
  <c r="W7" i="4"/>
  <c r="L8" i="4"/>
  <c r="O8" i="4"/>
  <c r="AU9" i="4"/>
  <c r="AU10" i="4"/>
  <c r="AU11" i="4"/>
  <c r="AU12" i="4" s="1"/>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AM17" i="4"/>
  <c r="I22" i="4"/>
  <c r="C24" i="4"/>
  <c r="Y25" i="4"/>
  <c r="E26" i="4"/>
  <c r="G26" i="4"/>
  <c r="L26" i="4"/>
  <c r="O30" i="4"/>
  <c r="U43" i="13" s="1"/>
  <c r="T30" i="4"/>
  <c r="O31" i="4"/>
  <c r="Q31" i="4"/>
  <c r="E32" i="4"/>
  <c r="W32" i="4"/>
  <c r="E33" i="4"/>
  <c r="Q33" i="4" s="1"/>
  <c r="Q32" i="4"/>
  <c r="I32" i="4" s="1"/>
  <c r="C36" i="4"/>
  <c r="B39" i="4"/>
  <c r="U33" i="13"/>
  <c r="C46" i="13" s="1"/>
  <c r="B40" i="4"/>
  <c r="O39" i="4" s="1"/>
  <c r="K41" i="4"/>
  <c r="Q42" i="4"/>
  <c r="T42" i="4"/>
  <c r="W42" i="4"/>
  <c r="Q43" i="4"/>
  <c r="T43" i="4"/>
  <c r="W43" i="4"/>
  <c r="R44" i="4"/>
  <c r="R45" i="4"/>
  <c r="O47" i="4"/>
  <c r="O50" i="4"/>
  <c r="U38" i="13" s="1"/>
  <c r="O51" i="4"/>
  <c r="Q50" i="4" s="1"/>
  <c r="U39" i="13"/>
  <c r="Q51" i="4"/>
  <c r="B52" i="4"/>
  <c r="P52" i="4"/>
  <c r="Q52" i="4"/>
  <c r="O53" i="4"/>
  <c r="P53" i="4"/>
  <c r="O54" i="4"/>
  <c r="U41" i="13"/>
  <c r="B55" i="4"/>
  <c r="B56" i="4"/>
  <c r="H58" i="4"/>
  <c r="M58" i="4"/>
  <c r="O58" i="4"/>
  <c r="T40" i="13" s="1"/>
  <c r="D40" i="13" s="1"/>
  <c r="H59" i="4"/>
  <c r="M59" i="4"/>
  <c r="O59" i="4"/>
  <c r="U40" i="13"/>
  <c r="M40" i="13" s="1"/>
  <c r="Q61" i="4"/>
  <c r="K62" i="4"/>
  <c r="K65" i="4"/>
  <c r="F69" i="4"/>
  <c r="X15" i="4" s="1"/>
  <c r="Y15" i="4" s="1"/>
  <c r="R77" i="4" s="1"/>
  <c r="R80" i="4" s="1"/>
  <c r="R78" i="4"/>
  <c r="R79" i="4"/>
  <c r="S2" i="16"/>
  <c r="S6" i="16" s="1"/>
  <c r="U2" i="16"/>
  <c r="K3" i="16" s="1"/>
  <c r="V2" i="16"/>
  <c r="J3" i="16" s="1"/>
  <c r="W2" i="16"/>
  <c r="I3" i="16"/>
  <c r="P3" i="16"/>
  <c r="O3" i="16" s="1"/>
  <c r="Q3" i="16"/>
  <c r="U4" i="16"/>
  <c r="V4" i="16"/>
  <c r="W5" i="16"/>
  <c r="W4" i="16"/>
  <c r="I5" i="16"/>
  <c r="U5" i="16"/>
  <c r="V5" i="16"/>
  <c r="Q6" i="16"/>
  <c r="P6" i="16" s="1"/>
  <c r="O6" i="16" s="1"/>
  <c r="X11" i="16"/>
  <c r="L19" i="16"/>
  <c r="B1" i="10"/>
  <c r="A1" i="10" s="1"/>
  <c r="A4" i="10"/>
  <c r="A5" i="10"/>
  <c r="A6" i="10" s="1"/>
  <c r="A7" i="10" s="1"/>
  <c r="A8" i="10" s="1"/>
  <c r="A9" i="10" s="1"/>
  <c r="A10" i="10" s="1"/>
  <c r="A11" i="10" s="1"/>
  <c r="A12" i="10" s="1"/>
  <c r="A13" i="10" s="1"/>
  <c r="A14" i="10" s="1"/>
  <c r="A15" i="10" s="1"/>
  <c r="A16" i="10" s="1"/>
  <c r="I5" i="10"/>
  <c r="I7" i="10" s="1"/>
  <c r="D10" i="10"/>
  <c r="I12" i="10"/>
  <c r="I13" i="10"/>
  <c r="I14" i="10" s="1"/>
  <c r="I15" i="10" s="1"/>
  <c r="I16" i="10" s="1"/>
  <c r="G20" i="10"/>
  <c r="K64" i="4" s="1"/>
  <c r="I21" i="10"/>
  <c r="I22" i="10" s="1"/>
  <c r="Q23" i="4"/>
  <c r="E29" i="10"/>
  <c r="B52" i="10"/>
  <c r="H3" i="14"/>
  <c r="G3" i="14"/>
  <c r="I3" i="14" s="1"/>
  <c r="K5" i="14"/>
  <c r="J5" i="14" s="1"/>
  <c r="I5" i="14" s="1"/>
  <c r="H5" i="14" s="1"/>
  <c r="C5" i="14" s="1"/>
  <c r="Q5" i="14"/>
  <c r="Q6" i="14" s="1"/>
  <c r="Q7" i="14" s="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s="1"/>
  <c r="H7" i="14"/>
  <c r="I7" i="14"/>
  <c r="G8" i="14"/>
  <c r="AM7" i="4" s="1"/>
  <c r="H8" i="14"/>
  <c r="G9" i="14"/>
  <c r="AM8" i="4"/>
  <c r="H9" i="14"/>
  <c r="G10" i="14"/>
  <c r="AM9" i="4"/>
  <c r="H10" i="14"/>
  <c r="G11" i="14"/>
  <c r="AM10" i="4" s="1"/>
  <c r="H11" i="14"/>
  <c r="G12" i="14"/>
  <c r="AM11" i="4"/>
  <c r="H12" i="14"/>
  <c r="G13" i="14"/>
  <c r="AM14" i="4"/>
  <c r="H13" i="14"/>
  <c r="G14" i="14"/>
  <c r="AM12" i="4"/>
  <c r="H14" i="14"/>
  <c r="G15" i="14"/>
  <c r="AM13" i="4" s="1"/>
  <c r="H15" i="14"/>
  <c r="G16" i="14"/>
  <c r="AM15" i="4"/>
  <c r="H16" i="14"/>
  <c r="G17" i="14"/>
  <c r="AM16" i="4" s="1"/>
  <c r="H17" i="14"/>
  <c r="G20" i="14"/>
  <c r="I20" i="14"/>
  <c r="G21" i="14"/>
  <c r="G22" i="14"/>
  <c r="G23" i="14"/>
  <c r="G24" i="14"/>
  <c r="A32" i="14"/>
  <c r="F16" i="13"/>
  <c r="N3" i="4"/>
  <c r="H41" i="4"/>
  <c r="D30" i="13"/>
  <c r="O44" i="4"/>
  <c r="P38" i="4"/>
  <c r="M2" i="13"/>
  <c r="G36" i="4"/>
  <c r="U1" i="4"/>
  <c r="H33" i="4"/>
  <c r="M22" i="4"/>
  <c r="Y43" i="13"/>
  <c r="T2" i="16"/>
  <c r="H31" i="4"/>
  <c r="E31" i="4"/>
  <c r="U30" i="4"/>
  <c r="H34" i="4"/>
  <c r="H32" i="4"/>
  <c r="Q38" i="4"/>
  <c r="U34" i="13"/>
  <c r="H43" i="4"/>
  <c r="B41" i="4"/>
  <c r="O49" i="4"/>
  <c r="K43" i="4"/>
  <c r="Q55" i="4"/>
  <c r="U42" i="13"/>
  <c r="M39" i="13"/>
  <c r="S2" i="4"/>
  <c r="O16" i="4"/>
  <c r="M8" i="4"/>
  <c r="H26" i="4"/>
  <c r="P25" i="4"/>
  <c r="M25" i="4"/>
  <c r="H6" i="17"/>
  <c r="I18" i="4"/>
  <c r="N8" i="4"/>
  <c r="C21" i="4"/>
  <c r="B21" i="4"/>
  <c r="V13" i="13" s="1"/>
  <c r="D76" i="10"/>
  <c r="I14" i="4"/>
  <c r="U36" i="13"/>
  <c r="H43" i="22"/>
  <c r="M15" i="22"/>
  <c r="I33" i="4"/>
  <c r="Q33" i="22"/>
  <c r="Q32" i="22"/>
  <c r="U13" i="20"/>
  <c r="U42" i="21"/>
  <c r="M39" i="21" s="1"/>
  <c r="F30" i="22"/>
  <c r="H31" i="22"/>
  <c r="M22" i="22"/>
  <c r="F5" i="22"/>
  <c r="L45" i="21"/>
  <c r="E31" i="22"/>
  <c r="T2" i="20"/>
  <c r="O6" i="20"/>
  <c r="W4" i="20"/>
  <c r="P25" i="22"/>
  <c r="R25" i="22" s="1"/>
  <c r="H34" i="22"/>
  <c r="L7" i="4"/>
  <c r="C21" i="22"/>
  <c r="B21" i="22" s="1"/>
  <c r="D76" i="19"/>
  <c r="I14" i="22"/>
  <c r="Q39" i="22"/>
  <c r="U36" i="21"/>
  <c r="Y43" i="22"/>
  <c r="U37" i="21" s="1"/>
  <c r="W11" i="20"/>
  <c r="U12" i="20"/>
  <c r="U14" i="20"/>
  <c r="U15" i="20"/>
  <c r="U11" i="20"/>
  <c r="I6" i="20"/>
  <c r="O12" i="20" s="1"/>
  <c r="U16" i="20"/>
  <c r="S1" i="20"/>
  <c r="T1" i="20"/>
  <c r="AP6" i="4"/>
  <c r="Q56" i="4"/>
  <c r="R61" i="4"/>
  <c r="I56" i="4"/>
  <c r="M15" i="4"/>
  <c r="D3" i="10"/>
  <c r="D4" i="10"/>
  <c r="R96" i="22"/>
  <c r="O22" i="22"/>
  <c r="W39" i="21" s="1"/>
  <c r="O46" i="22"/>
  <c r="Y43" i="21"/>
  <c r="V29" i="4"/>
  <c r="H21" i="4"/>
  <c r="R83" i="4"/>
  <c r="W57" i="4"/>
  <c r="Q12" i="4"/>
  <c r="T12" i="4" s="1"/>
  <c r="R13" i="13" s="1"/>
  <c r="Y2" i="4"/>
  <c r="Z2" i="4"/>
  <c r="R84" i="4"/>
  <c r="F4" i="4"/>
  <c r="F5" i="4"/>
  <c r="O5" i="22"/>
  <c r="P39" i="4"/>
  <c r="K26" i="22"/>
  <c r="H26" i="22"/>
  <c r="H35" i="22"/>
  <c r="U34" i="21"/>
  <c r="U38" i="21"/>
  <c r="C9" i="21"/>
  <c r="H32" i="21"/>
  <c r="Q21" i="22"/>
  <c r="L7" i="22"/>
  <c r="Q56" i="22"/>
  <c r="I56" i="22"/>
  <c r="AW46" i="22"/>
  <c r="R12" i="17"/>
  <c r="J14" i="17"/>
  <c r="H11" i="17"/>
  <c r="H10" i="17"/>
  <c r="M13" i="4"/>
  <c r="AP6" i="22"/>
  <c r="Q4" i="20"/>
  <c r="P4" i="20"/>
  <c r="R31" i="4"/>
  <c r="W43" i="13"/>
  <c r="I34" i="4"/>
  <c r="U39" i="21"/>
  <c r="Q50" i="22"/>
  <c r="Q13" i="20"/>
  <c r="S6" i="20"/>
  <c r="S3" i="20"/>
  <c r="R90" i="4"/>
  <c r="R82" i="4"/>
  <c r="R89" i="4"/>
  <c r="Q44" i="4"/>
  <c r="O70" i="4" s="1"/>
  <c r="F70" i="4" s="1"/>
  <c r="R86" i="4"/>
  <c r="AD42" i="4"/>
  <c r="U49" i="13"/>
  <c r="Q2" i="4"/>
  <c r="O2" i="4"/>
  <c r="T2" i="4" s="1"/>
  <c r="W2" i="4"/>
  <c r="AJ25" i="4"/>
  <c r="AJ26" i="4"/>
  <c r="AJ27" i="4" s="1"/>
  <c r="AJ28" i="4" s="1"/>
  <c r="AJ29" i="4" s="1"/>
  <c r="AJ30" i="4" s="1"/>
  <c r="AJ31" i="4" s="1"/>
  <c r="AJ32" i="4" s="1"/>
  <c r="AJ33" i="4" s="1"/>
  <c r="AJ34" i="4" s="1"/>
  <c r="AJ35" i="4" s="1"/>
  <c r="AJ36" i="4" s="1"/>
  <c r="AJ38" i="4" s="1"/>
  <c r="AJ39" i="4" s="1"/>
  <c r="AJ40" i="4" s="1"/>
  <c r="AJ41" i="4" s="1"/>
  <c r="AJ42" i="4" s="1"/>
  <c r="AJ43" i="4" s="1"/>
  <c r="AJ44" i="4" s="1"/>
  <c r="AJ45" i="4" s="1"/>
  <c r="AI6" i="4"/>
  <c r="AH6" i="4" s="1"/>
  <c r="AG6" i="4" s="1"/>
  <c r="AF6" i="4" s="1"/>
  <c r="AE6" i="4" s="1"/>
  <c r="AD6" i="4" s="1"/>
  <c r="AC6" i="4" s="1"/>
  <c r="AB6" i="4" s="1"/>
  <c r="AA6" i="4" s="1"/>
  <c r="Z6" i="4" s="1"/>
  <c r="T57" i="4"/>
  <c r="Q57" i="4"/>
  <c r="X7" i="4"/>
  <c r="Y6" i="4"/>
  <c r="X6" i="4"/>
  <c r="W6" i="4" s="1"/>
  <c r="U6" i="4" s="1"/>
  <c r="T6" i="4" s="1"/>
  <c r="R6" i="4" s="1"/>
  <c r="Q6" i="4" s="1"/>
  <c r="R85" i="4"/>
  <c r="AB43" i="13"/>
  <c r="P8" i="20"/>
  <c r="H9" i="20" s="1"/>
  <c r="Q21" i="4"/>
  <c r="U32" i="13"/>
  <c r="Y4" i="13"/>
  <c r="H32" i="13"/>
  <c r="K29" i="22"/>
  <c r="P29" i="22" s="1"/>
  <c r="V13" i="21"/>
  <c r="M25" i="22"/>
  <c r="F26" i="22"/>
  <c r="U16" i="16"/>
  <c r="U14" i="16"/>
  <c r="U15" i="16"/>
  <c r="F88" i="10"/>
  <c r="K26" i="4"/>
  <c r="F26" i="4"/>
  <c r="L3" i="22"/>
  <c r="F4" i="22"/>
  <c r="V2" i="4"/>
  <c r="M60" i="4"/>
  <c r="O16" i="22"/>
  <c r="S2" i="22"/>
  <c r="M8" i="22"/>
  <c r="O14" i="20"/>
  <c r="K5" i="22"/>
  <c r="S4" i="20"/>
  <c r="O4" i="20"/>
  <c r="N11" i="20" s="1"/>
  <c r="J9" i="20" s="1"/>
  <c r="Q66" i="22"/>
  <c r="Q2" i="22"/>
  <c r="R85" i="22"/>
  <c r="R84" i="22"/>
  <c r="AB43" i="21"/>
  <c r="W57" i="22"/>
  <c r="Y2" i="22"/>
  <c r="Q57" i="22"/>
  <c r="AI6" i="22"/>
  <c r="T47" i="22"/>
  <c r="U25" i="22" s="1"/>
  <c r="R89" i="22"/>
  <c r="AA6" i="22"/>
  <c r="AA48" i="22"/>
  <c r="R87" i="22"/>
  <c r="R90" i="22"/>
  <c r="R88" i="22"/>
  <c r="O2" i="22"/>
  <c r="T2" i="22" s="1"/>
  <c r="R83" i="22"/>
  <c r="U49" i="21"/>
  <c r="Q12" i="22"/>
  <c r="T12" i="22" s="1"/>
  <c r="T57" i="22"/>
  <c r="K4" i="22"/>
  <c r="AP7" i="22"/>
  <c r="I22" i="18"/>
  <c r="O8" i="20"/>
  <c r="O9" i="20" s="1"/>
  <c r="U18" i="20"/>
  <c r="I3" i="22"/>
  <c r="Z48" i="22"/>
  <c r="O15" i="22"/>
  <c r="Q15" i="22"/>
  <c r="K15" i="22" s="1"/>
  <c r="K47" i="22"/>
  <c r="R36" i="22"/>
  <c r="I36" i="22" s="1"/>
  <c r="Q49" i="22"/>
  <c r="R49" i="22" s="1"/>
  <c r="AA35" i="21"/>
  <c r="I53" i="22"/>
  <c r="R23" i="22"/>
  <c r="T23" i="22" s="1"/>
  <c r="U23" i="22" s="1"/>
  <c r="G24" i="22" s="1"/>
  <c r="AP8" i="22"/>
  <c r="I23" i="18"/>
  <c r="AP9" i="22" s="1"/>
  <c r="M13" i="22"/>
  <c r="I29" i="22"/>
  <c r="Q29" i="22" s="1"/>
  <c r="R29" i="22" s="1"/>
  <c r="W33" i="21" s="1"/>
  <c r="AE25" i="22"/>
  <c r="R37" i="22"/>
  <c r="T29" i="22"/>
  <c r="AA37" i="21"/>
  <c r="I49" i="22"/>
  <c r="I24" i="18"/>
  <c r="AP10" i="22"/>
  <c r="Q34" i="14" l="1"/>
  <c r="K9" i="4"/>
  <c r="K5" i="4"/>
  <c r="Q4" i="16"/>
  <c r="P4" i="16"/>
  <c r="Y4" i="21"/>
  <c r="U32" i="21"/>
  <c r="H21" i="22"/>
  <c r="I32" i="22"/>
  <c r="R31" i="22"/>
  <c r="G37" i="4"/>
  <c r="I37" i="4" s="1"/>
  <c r="H35" i="4"/>
  <c r="E15" i="22"/>
  <c r="M64" i="22"/>
  <c r="C59" i="21" s="1"/>
  <c r="U32" i="22"/>
  <c r="T32" i="22" s="1"/>
  <c r="T31" i="22"/>
  <c r="F88" i="19"/>
  <c r="D88" i="19"/>
  <c r="D87" i="19"/>
  <c r="H8" i="20"/>
  <c r="H46" i="13"/>
  <c r="U32" i="4"/>
  <c r="T32" i="4" s="1"/>
  <c r="T31" i="4"/>
  <c r="F87" i="10"/>
  <c r="D87" i="10"/>
  <c r="D88" i="10"/>
  <c r="R86" i="22"/>
  <c r="Q44" i="22"/>
  <c r="V29" i="22"/>
  <c r="AD42" i="22"/>
  <c r="W2" i="22"/>
  <c r="K9" i="22" s="1"/>
  <c r="AH6" i="22"/>
  <c r="AG6" i="22" s="1"/>
  <c r="I29" i="4"/>
  <c r="T56" i="22"/>
  <c r="R56" i="22" s="1"/>
  <c r="Q13" i="16"/>
  <c r="S3" i="16"/>
  <c r="E15" i="4"/>
  <c r="O5" i="4"/>
  <c r="AB37" i="21"/>
  <c r="O57" i="22"/>
  <c r="R12" i="22"/>
  <c r="AJ25" i="22"/>
  <c r="AJ26" i="22" s="1"/>
  <c r="AJ27" i="22" s="1"/>
  <c r="AJ28" i="22" s="1"/>
  <c r="AJ29" i="22" s="1"/>
  <c r="AJ30" i="22" s="1"/>
  <c r="AJ31" i="22" s="1"/>
  <c r="AJ32" i="22" s="1"/>
  <c r="AJ33" i="22" s="1"/>
  <c r="AJ34" i="22" s="1"/>
  <c r="AJ35" i="22" s="1"/>
  <c r="AJ36" i="22" s="1"/>
  <c r="AJ38" i="22" s="1"/>
  <c r="AJ39" i="22" s="1"/>
  <c r="AJ40" i="22" s="1"/>
  <c r="AJ41" i="22" s="1"/>
  <c r="AJ42" i="22" s="1"/>
  <c r="AJ43" i="22" s="1"/>
  <c r="AJ44" i="22" s="1"/>
  <c r="AJ45" i="22" s="1"/>
  <c r="AB6" i="22"/>
  <c r="AF6" i="22"/>
  <c r="AE6" i="22" s="1"/>
  <c r="AD6" i="22" s="1"/>
  <c r="AC6" i="22" s="1"/>
  <c r="Z6" i="22"/>
  <c r="Y6" i="22" s="1"/>
  <c r="X6" i="22" s="1"/>
  <c r="W6" i="22" s="1"/>
  <c r="U6" i="22" s="1"/>
  <c r="T6" i="22" s="1"/>
  <c r="R6" i="22" s="1"/>
  <c r="Q6" i="22" s="1"/>
  <c r="Q7" i="22" s="1"/>
  <c r="X7" i="22"/>
  <c r="S52" i="22"/>
  <c r="R52" i="22" s="1"/>
  <c r="I52" i="22" s="1"/>
  <c r="R91" i="22"/>
  <c r="Z2" i="22"/>
  <c r="U2" i="22" s="1"/>
  <c r="AC56" i="22"/>
  <c r="AB56" i="22" s="1"/>
  <c r="AA56" i="22" s="1"/>
  <c r="Z56" i="22" s="1"/>
  <c r="Y56" i="22" s="1"/>
  <c r="X56" i="22" s="1"/>
  <c r="W56" i="22" s="1"/>
  <c r="U56" i="22" s="1"/>
  <c r="Y43" i="4"/>
  <c r="U37" i="13" s="1"/>
  <c r="Q39" i="4"/>
  <c r="I21" i="14"/>
  <c r="U12" i="16"/>
  <c r="W11" i="16"/>
  <c r="U13" i="16"/>
  <c r="P8" i="16"/>
  <c r="U11" i="16"/>
  <c r="U10" i="16"/>
  <c r="S1" i="16"/>
  <c r="T1" i="16" s="1"/>
  <c r="H8" i="16" s="1"/>
  <c r="G37" i="22"/>
  <c r="I37" i="22" s="1"/>
  <c r="G36" i="22"/>
  <c r="U1" i="22" s="1"/>
  <c r="O57" i="4"/>
  <c r="R12" i="4"/>
  <c r="S52" i="4"/>
  <c r="R52" i="4" s="1"/>
  <c r="R88" i="4"/>
  <c r="T47" i="4"/>
  <c r="F30" i="4"/>
  <c r="F34" i="4"/>
  <c r="O22" i="4"/>
  <c r="W39" i="13" s="1"/>
  <c r="R95" i="4"/>
  <c r="F34" i="22"/>
  <c r="H32" i="22"/>
  <c r="H33" i="22"/>
  <c r="I33" i="22"/>
  <c r="AU43" i="22"/>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6"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AU153" i="22" s="1"/>
  <c r="R87" i="4"/>
  <c r="Q65" i="4"/>
  <c r="AA48" i="4"/>
  <c r="R91" i="4"/>
  <c r="R92" i="4" s="1"/>
  <c r="L27" i="4"/>
  <c r="F87" i="19"/>
  <c r="W43" i="21"/>
  <c r="I34" i="22"/>
  <c r="Y15" i="22"/>
  <c r="R78" i="22" s="1"/>
  <c r="R81" i="22" s="1"/>
  <c r="R92" i="22" s="1"/>
  <c r="R93" i="22" s="1"/>
  <c r="Q34" i="18"/>
  <c r="Q33" i="18"/>
  <c r="K3" i="18"/>
  <c r="L3" i="18" s="1"/>
  <c r="M3" i="18" s="1"/>
  <c r="IR7" i="18"/>
  <c r="C67" i="22"/>
  <c r="C70" i="22" s="1"/>
  <c r="IR7" i="14"/>
  <c r="IR9" i="14" s="1"/>
  <c r="C66" i="4"/>
  <c r="C69" i="4" s="1"/>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Q33" i="14"/>
  <c r="K3" i="14"/>
  <c r="L3" i="14" s="1"/>
  <c r="M3" i="14" s="1"/>
  <c r="J3" i="14" s="1"/>
  <c r="P12" i="21" l="1"/>
  <c r="O44" i="22"/>
  <c r="O71" i="22"/>
  <c r="F71" i="22" s="1"/>
  <c r="S4" i="16"/>
  <c r="O4" i="16"/>
  <c r="I52" i="4"/>
  <c r="Q49" i="4"/>
  <c r="I53" i="4"/>
  <c r="R23" i="4"/>
  <c r="T23" i="4" s="1"/>
  <c r="U23" i="4" s="1"/>
  <c r="G24" i="4" s="1"/>
  <c r="K47" i="4"/>
  <c r="AB37" i="13"/>
  <c r="O15" i="4"/>
  <c r="Q15" i="4" s="1"/>
  <c r="U25" i="4"/>
  <c r="AA35" i="13"/>
  <c r="Z48" i="4"/>
  <c r="AC25" i="4"/>
  <c r="R57" i="4"/>
  <c r="O56" i="4" s="1"/>
  <c r="W49" i="13" s="1"/>
  <c r="U62" i="4"/>
  <c r="U57" i="4"/>
  <c r="R36" i="4" s="1"/>
  <c r="Q48" i="4"/>
  <c r="O6" i="4"/>
  <c r="R50" i="4"/>
  <c r="X48" i="4"/>
  <c r="Y48" i="4" s="1"/>
  <c r="Q54" i="4"/>
  <c r="I6" i="16"/>
  <c r="O12" i="16" s="1"/>
  <c r="AC25" i="22"/>
  <c r="Q48" i="22"/>
  <c r="U62" i="22"/>
  <c r="Q54" i="22"/>
  <c r="U57" i="22"/>
  <c r="X48" i="22"/>
  <c r="Y48" i="22" s="1"/>
  <c r="R50" i="22"/>
  <c r="O6" i="22"/>
  <c r="K4" i="4"/>
  <c r="Q29" i="4"/>
  <c r="R29" i="4" s="1"/>
  <c r="W33" i="13" s="1"/>
  <c r="T29" i="4"/>
  <c r="U31" i="4"/>
  <c r="I31" i="4"/>
  <c r="U31" i="22"/>
  <c r="I31" i="22"/>
  <c r="R56" i="4"/>
  <c r="AC56" i="4"/>
  <c r="AB56" i="4" s="1"/>
  <c r="AA56" i="4" s="1"/>
  <c r="Z56" i="4" s="1"/>
  <c r="Y56" i="4" s="1"/>
  <c r="X56" i="4" s="1"/>
  <c r="W56" i="4" s="1"/>
  <c r="U56" i="4" s="1"/>
  <c r="T56" i="4"/>
  <c r="R57" i="22"/>
  <c r="O56" i="22" s="1"/>
  <c r="W49" i="21" s="1"/>
  <c r="AE25" i="4"/>
  <c r="Q25" i="4"/>
  <c r="R25" i="4" s="1"/>
  <c r="O14" i="16"/>
  <c r="H9" i="16"/>
  <c r="I22" i="14"/>
  <c r="AP8" i="4" s="1"/>
  <c r="AP7" i="4"/>
  <c r="U3" i="21"/>
  <c r="E16" i="22"/>
  <c r="J3" i="18"/>
  <c r="Q32" i="18"/>
  <c r="E16" i="4"/>
  <c r="Q32" i="14"/>
  <c r="R20" i="13"/>
  <c r="R19" i="13"/>
  <c r="L24" i="13"/>
  <c r="I36" i="4" l="1"/>
  <c r="R37" i="4"/>
  <c r="O11" i="22"/>
  <c r="N16" i="22"/>
  <c r="I16" i="22" s="1"/>
  <c r="N16" i="4"/>
  <c r="I16" i="4" s="1"/>
  <c r="W25" i="22"/>
  <c r="AA25" i="22"/>
  <c r="R48" i="4"/>
  <c r="K48" i="4"/>
  <c r="U46" i="4"/>
  <c r="Q46" i="4" s="1"/>
  <c r="R46" i="4" s="1"/>
  <c r="T46" i="4" s="1"/>
  <c r="AA43" i="13" s="1"/>
  <c r="T48" i="4"/>
  <c r="W34" i="13" s="1"/>
  <c r="K15" i="4"/>
  <c r="U2" i="4"/>
  <c r="AB42" i="22"/>
  <c r="AC42" i="22"/>
  <c r="N33" i="22"/>
  <c r="N67" i="22"/>
  <c r="Z49" i="22"/>
  <c r="Y49" i="22"/>
  <c r="N17" i="22"/>
  <c r="K48" i="22"/>
  <c r="R48" i="22"/>
  <c r="T48" i="22"/>
  <c r="W34" i="21" s="1"/>
  <c r="U46" i="22"/>
  <c r="Q46" i="22" s="1"/>
  <c r="R46" i="22" s="1"/>
  <c r="T46" i="22" s="1"/>
  <c r="AA43" i="21"/>
  <c r="Y49" i="4"/>
  <c r="AB42" i="4"/>
  <c r="AC42" i="4"/>
  <c r="N66" i="4"/>
  <c r="Z49" i="4"/>
  <c r="N17" i="4"/>
  <c r="N33" i="4"/>
  <c r="H46" i="4"/>
  <c r="P38" i="22"/>
  <c r="M40" i="22" s="1"/>
  <c r="P39" i="22"/>
  <c r="M42" i="22" s="1"/>
  <c r="P7" i="21"/>
  <c r="R19" i="21"/>
  <c r="M2" i="21"/>
  <c r="R24" i="21"/>
  <c r="R13" i="21"/>
  <c r="C46" i="21"/>
  <c r="I45" i="21"/>
  <c r="F27" i="4"/>
  <c r="H46" i="22"/>
  <c r="W25" i="4"/>
  <c r="AA25" i="4"/>
  <c r="AA37" i="13"/>
  <c r="R49" i="4"/>
  <c r="I49" i="4"/>
  <c r="O8" i="16"/>
  <c r="O9" i="16" s="1"/>
  <c r="U18" i="16"/>
  <c r="N11" i="16"/>
  <c r="J9" i="16" s="1"/>
  <c r="I3" i="4"/>
  <c r="I23" i="14"/>
  <c r="AP9" i="4" s="1"/>
  <c r="W8" i="22" l="1"/>
  <c r="R15" i="22"/>
  <c r="W32" i="21"/>
  <c r="AB25" i="22"/>
  <c r="AD25" i="22"/>
  <c r="L25" i="22" s="1"/>
  <c r="AE42" i="22" s="1"/>
  <c r="Y42" i="22" s="1"/>
  <c r="U35" i="21" s="1"/>
  <c r="Z25" i="22"/>
  <c r="I26" i="22" s="1"/>
  <c r="F27" i="22"/>
  <c r="Z32" i="21"/>
  <c r="D41" i="22"/>
  <c r="O11" i="4"/>
  <c r="I24" i="14"/>
  <c r="AP10" i="4" s="1"/>
  <c r="Z32" i="13"/>
  <c r="AD25" i="4"/>
  <c r="L25" i="4" s="1"/>
  <c r="AB25" i="4"/>
  <c r="Z25" i="4"/>
  <c r="I26" i="4" s="1"/>
  <c r="W32" i="13"/>
  <c r="P12" i="13"/>
  <c r="M40" i="4"/>
  <c r="P7" i="13"/>
  <c r="Q7" i="4"/>
  <c r="M42" i="4"/>
  <c r="D41" i="4"/>
  <c r="P5" i="22"/>
  <c r="X43" i="4"/>
  <c r="X42" i="4"/>
  <c r="X43" i="22"/>
  <c r="X42" i="22"/>
  <c r="Y35" i="13" l="1"/>
  <c r="H42" i="4"/>
  <c r="F41" i="22"/>
  <c r="F43" i="22"/>
  <c r="Y37" i="13"/>
  <c r="H44" i="4"/>
  <c r="R94" i="4"/>
  <c r="R15" i="4"/>
  <c r="W8" i="4"/>
  <c r="Z28" i="22"/>
  <c r="O26" i="22"/>
  <c r="I28" i="22"/>
  <c r="X25" i="22"/>
  <c r="AH43" i="22"/>
  <c r="AH42" i="22"/>
  <c r="H42" i="22"/>
  <c r="Y35" i="21"/>
  <c r="P5" i="4"/>
  <c r="AE43" i="22"/>
  <c r="Z28" i="4"/>
  <c r="AH43" i="4"/>
  <c r="I28" i="4"/>
  <c r="O26" i="4"/>
  <c r="AH42" i="4"/>
  <c r="X25" i="4"/>
  <c r="H44" i="22"/>
  <c r="R95" i="22"/>
  <c r="Y37" i="21"/>
  <c r="F41" i="4"/>
  <c r="F43" i="4"/>
  <c r="F57" i="22"/>
  <c r="C1" i="22"/>
  <c r="M51" i="22"/>
  <c r="M19" i="22"/>
  <c r="M57" i="22"/>
  <c r="M29" i="22"/>
  <c r="M53" i="22"/>
  <c r="M49" i="22"/>
  <c r="M54" i="22"/>
  <c r="R98" i="22" s="1"/>
  <c r="M50" i="22"/>
  <c r="M48" i="22"/>
  <c r="M46" i="22" l="1"/>
  <c r="R99" i="22" s="1"/>
  <c r="M44" i="22"/>
  <c r="M21" i="22"/>
  <c r="M23" i="22" s="1"/>
  <c r="M20" i="22"/>
  <c r="M24" i="22" s="1"/>
  <c r="M39" i="22"/>
  <c r="R97" i="22" s="1"/>
  <c r="O52" i="22"/>
  <c r="W36" i="21" s="1"/>
  <c r="Q53" i="22"/>
  <c r="R53" i="22" s="1"/>
  <c r="AG42" i="22"/>
  <c r="AF42" i="22" s="1"/>
  <c r="AG43" i="22"/>
  <c r="AF43" i="22" s="1"/>
  <c r="Z43" i="22"/>
  <c r="Z42" i="22"/>
  <c r="AG42" i="4"/>
  <c r="AF42" i="4" s="1"/>
  <c r="AE42" i="4" s="1"/>
  <c r="Y42" i="4" s="1"/>
  <c r="U35" i="13" s="1"/>
  <c r="AG43" i="4"/>
  <c r="AF43" i="4" s="1"/>
  <c r="AE43" i="4" s="1"/>
  <c r="F57" i="4"/>
  <c r="C1" i="4"/>
  <c r="M19" i="4"/>
  <c r="M50" i="4"/>
  <c r="M57" i="4"/>
  <c r="M51" i="4"/>
  <c r="M54" i="4"/>
  <c r="R97" i="4" s="1"/>
  <c r="M29" i="4"/>
  <c r="H5" i="17" s="1"/>
  <c r="H18" i="17" s="1"/>
  <c r="M48" i="4"/>
  <c r="M49" i="4"/>
  <c r="M53" i="4"/>
  <c r="M35" i="22" l="1"/>
  <c r="O24" i="22"/>
  <c r="Q53" i="4"/>
  <c r="R53" i="4" s="1"/>
  <c r="O52" i="4"/>
  <c r="W36" i="13" s="1"/>
  <c r="K42" i="22"/>
  <c r="W35" i="21"/>
  <c r="M20" i="4"/>
  <c r="M39" i="4"/>
  <c r="R96" i="4" s="1"/>
  <c r="M44" i="4"/>
  <c r="M46" i="4"/>
  <c r="R98" i="4" s="1"/>
  <c r="M21" i="4"/>
  <c r="M23" i="4" s="1"/>
  <c r="M24" i="4" s="1"/>
  <c r="M56" i="4"/>
  <c r="W37" i="21"/>
  <c r="K44" i="22"/>
  <c r="M43" i="22"/>
  <c r="R20" i="21" s="1"/>
  <c r="I23" i="22"/>
  <c r="P23" i="22"/>
  <c r="W38" i="21" s="1"/>
  <c r="Z4" i="21"/>
  <c r="H8" i="17"/>
  <c r="C6" i="17"/>
  <c r="Z43" i="4"/>
  <c r="Z42" i="4"/>
  <c r="M35" i="4" l="1"/>
  <c r="O24" i="4"/>
  <c r="K42" i="4"/>
  <c r="W35" i="13"/>
  <c r="K44" i="4"/>
  <c r="W37" i="13"/>
  <c r="M43" i="4"/>
  <c r="C7" i="17"/>
  <c r="D8" i="17"/>
  <c r="C8" i="17" s="1"/>
  <c r="A8" i="17" s="1"/>
  <c r="R18" i="13"/>
  <c r="H7" i="17"/>
  <c r="H4" i="17"/>
  <c r="H3" i="17" s="1"/>
  <c r="F3" i="17" s="1"/>
  <c r="P23" i="4"/>
  <c r="W38" i="13" s="1"/>
  <c r="Z4" i="13"/>
  <c r="I23" i="4"/>
  <c r="M36" i="22"/>
  <c r="O38" i="22" s="1"/>
  <c r="M37" i="22"/>
  <c r="C9" i="17" l="1"/>
  <c r="C10" i="17" s="1"/>
  <c r="R22" i="13" s="1"/>
  <c r="O36" i="22"/>
  <c r="W41" i="21" s="1"/>
  <c r="W4" i="21"/>
  <c r="K38" i="21"/>
  <c r="D36" i="21" s="1"/>
  <c r="R21" i="13"/>
  <c r="Z22" i="22"/>
  <c r="Z23" i="22" s="1"/>
  <c r="X49" i="21"/>
  <c r="C49" i="21" s="1"/>
  <c r="X4" i="21"/>
  <c r="M38" i="22"/>
  <c r="M61" i="22" s="1"/>
  <c r="F7" i="17"/>
  <c r="C59" i="13" s="1"/>
  <c r="R23" i="13"/>
  <c r="M37" i="4"/>
  <c r="M38" i="4" s="1"/>
  <c r="M61" i="4" s="1"/>
  <c r="M36" i="4"/>
  <c r="Z22" i="4"/>
  <c r="Z23" i="4" s="1"/>
  <c r="O38" i="4"/>
  <c r="C11" i="17" l="1"/>
  <c r="H19" i="17" s="1"/>
  <c r="M1" i="21"/>
  <c r="M62" i="4"/>
  <c r="O61" i="4"/>
  <c r="M64" i="4"/>
  <c r="X49" i="13"/>
  <c r="X4" i="13"/>
  <c r="O36" i="4"/>
  <c r="W41" i="13" s="1"/>
  <c r="M62" i="22"/>
  <c r="O61" i="22"/>
  <c r="R18" i="21" s="1"/>
  <c r="K64" i="22"/>
  <c r="K38" i="13"/>
  <c r="D36" i="13" s="1"/>
  <c r="W4" i="13"/>
  <c r="M65" i="4" l="1"/>
  <c r="M66" i="4" s="1"/>
  <c r="M65" i="22"/>
  <c r="M1" i="13"/>
  <c r="M66" i="22" l="1"/>
  <c r="R22" i="21" s="1"/>
  <c r="R21" i="21"/>
  <c r="M67" i="22" l="1"/>
  <c r="R23"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3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A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<sst xmlns="http://schemas.openxmlformats.org/spreadsheetml/2006/main" count="1783" uniqueCount="578">
  <si>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</si>
  <si>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</si>
  <si>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</si>
  <si>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</si>
  <si>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</si>
  <si>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</si>
  <si>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</si>
  <si>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</si>
  <si>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</si>
  <si>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</si>
  <si>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</si>
  <si>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</si>
  <si>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</si>
  <si>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</si>
  <si>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</si>
  <si>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</si>
  <si>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</si>
  <si>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</si>
  <si>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</si>
  <si>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</si>
  <si>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</si>
  <si>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</si>
  <si>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</si>
  <si>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</si>
  <si>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</si>
  <si>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</si>
  <si>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</si>
  <si>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</si>
  <si>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</si>
  <si>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</si>
  <si>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</si>
  <si>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</si>
  <si>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</si>
  <si>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</si>
  <si>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</si>
  <si>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</si>
  <si>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</si>
  <si>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</si>
  <si>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</si>
  <si>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</si>
  <si>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</si>
  <si>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</si>
  <si>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</si>
  <si>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</si>
  <si>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</si>
  <si>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</si>
  <si>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</si>
  <si>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</si>
  <si>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</si>
  <si>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</si>
  <si>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</si>
  <si>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</si>
  <si>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</si>
  <si>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</si>
  <si>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</si>
  <si>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</si>
  <si>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</si>
  <si>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</si>
  <si>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</si>
  <si>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</si>
  <si>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</si>
  <si>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</si>
  <si>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</si>
  <si>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</si>
  <si>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</si>
  <si>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</si>
  <si>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</si>
  <si>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</si>
  <si>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</si>
  <si>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</si>
  <si>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</si>
  <si>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</si>
  <si>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</si>
  <si>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</si>
  <si>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</si>
  <si>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</si>
  <si>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</si>
  <si>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</si>
  <si>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</si>
  <si>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</si>
  <si>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</si>
  <si>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</si>
  <si>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</si>
  <si>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</si>
  <si>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</si>
  <si>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</si>
  <si>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</si>
  <si>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</si>
  <si>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</si>
  <si>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</si>
  <si>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</si>
  <si>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</si>
  <si>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</si>
  <si>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</si>
  <si>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</si>
  <si>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</si>
  <si>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</si>
  <si>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</si>
  <si>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</si>
  <si>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</si>
  <si>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</si>
  <si>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</si>
  <si>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</si>
  <si>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</si>
  <si>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</si>
  <si>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</si>
  <si>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</si>
  <si>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</si>
  <si>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</si>
  <si>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</si>
  <si>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</si>
  <si>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</si>
  <si>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</si>
  <si>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</si>
  <si>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</si>
  <si>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</si>
  <si>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</si>
  <si>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</si>
  <si>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</si>
  <si>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</si>
  <si>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</si>
  <si>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</si>
  <si>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</si>
  <si>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</si>
  <si>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</si>
  <si>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</si>
  <si>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</si>
  <si>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</si>
  <si>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</si>
  <si>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</si>
  <si>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</si>
  <si>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</si>
  <si>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</si>
  <si>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</si>
  <si>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</si>
  <si>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</si>
  <si>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</si>
  <si>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</si>
  <si>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</si>
  <si>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</si>
  <si>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</si>
  <si>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</si>
  <si>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</si>
  <si>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</si>
  <si>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</si>
  <si>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</si>
  <si>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</si>
  <si>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</si>
  <si>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</si>
  <si>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</si>
  <si>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</si>
  <si>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</si>
  <si>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</si>
  <si>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</si>
  <si>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</si>
  <si>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</si>
  <si>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</si>
  <si>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</si>
  <si>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</si>
  <si>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</si>
  <si>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</si>
  <si>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</si>
  <si>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</si>
  <si>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</si>
  <si>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</si>
  <si>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</si>
  <si>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</si>
  <si>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</si>
  <si>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</si>
  <si>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</si>
  <si>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</si>
  <si>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</si>
  <si>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</si>
  <si>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</si>
  <si>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</si>
  <si>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</si>
  <si>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</si>
  <si>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</si>
  <si>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</si>
  <si>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</si>
  <si>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</si>
  <si>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</si>
  <si>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</si>
  <si>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</si>
  <si>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</si>
  <si>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</si>
  <si>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</si>
  <si>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</si>
  <si>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</si>
  <si>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</si>
  <si>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</si>
  <si>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</si>
  <si>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</si>
  <si>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</si>
  <si>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</si>
  <si>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</si>
  <si>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</si>
  <si>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</si>
  <si>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</si>
  <si>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</si>
  <si>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</si>
  <si>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</si>
  <si>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</si>
  <si>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</si>
  <si>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</si>
  <si>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</si>
  <si>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</si>
  <si>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</si>
  <si>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</si>
  <si>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</si>
  <si>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</si>
  <si>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</si>
  <si>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</si>
  <si>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</si>
  <si>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</si>
  <si>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</si>
  <si>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</si>
  <si>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</si>
  <si>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</si>
  <si>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</si>
  <si>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</si>
  <si>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</si>
  <si>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</si>
  <si>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</si>
  <si>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</si>
  <si>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</si>
  <si>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</si>
  <si>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</si>
  <si>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</si>
  <si>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</si>
  <si>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</si>
  <si>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</si>
  <si>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</si>
  <si>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</si>
  <si>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</si>
  <si>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</si>
  <si>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</si>
  <si>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</si>
  <si>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</si>
  <si>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</si>
  <si>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</si>
  <si>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</si>
  <si>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</si>
  <si>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</si>
  <si>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</si>
  <si>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</si>
  <si>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</si>
  <si>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</si>
  <si>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</si>
  <si>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</si>
  <si>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</si>
  <si>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</si>
  <si>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</si>
  <si>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</si>
  <si>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</si>
  <si>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</si>
  <si>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</si>
  <si>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</si>
  <si>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</si>
  <si>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</si>
  <si>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</si>
  <si>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</si>
  <si>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</si>
  <si>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</si>
  <si>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</si>
  <si>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</si>
  <si>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</si>
  <si>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</si>
  <si>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</si>
  <si>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</si>
  <si>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</si>
  <si>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</si>
  <si>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</si>
  <si>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</si>
  <si>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</si>
  <si>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</si>
  <si>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</si>
  <si>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</si>
  <si>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</si>
  <si>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</si>
  <si>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</si>
  <si>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</si>
  <si>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</si>
  <si>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</si>
  <si>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</si>
  <si>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</si>
  <si>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</si>
  <si>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</si>
  <si>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</si>
  <si>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</si>
  <si>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</si>
  <si>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</si>
  <si>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</si>
  <si>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</si>
  <si>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</si>
  <si>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</si>
  <si>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</si>
  <si>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</si>
  <si>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</si>
  <si>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</si>
  <si>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</si>
  <si>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</si>
  <si>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</si>
  <si>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</si>
  <si>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</si>
  <si>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</si>
  <si>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</si>
  <si>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</si>
  <si>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</si>
  <si>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</si>
  <si>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</si>
  <si>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</si>
  <si>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</si>
  <si>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</si>
  <si>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</si>
  <si>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</si>
  <si>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</si>
  <si>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</si>
  <si>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</si>
  <si>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</si>
  <si>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</si>
  <si>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</si>
  <si>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</si>
  <si>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</si>
  <si>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</si>
  <si>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</si>
  <si>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</si>
  <si>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</si>
  <si>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</si>
  <si>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</si>
  <si>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</si>
  <si>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</si>
  <si>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</si>
  <si>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</si>
  <si>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</si>
  <si>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</si>
  <si>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</si>
  <si>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</si>
  <si>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</si>
  <si>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</si>
  <si>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</si>
  <si>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</si>
  <si>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</si>
  <si>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</si>
  <si>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</si>
  <si>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</si>
  <si>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</si>
  <si>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</si>
  <si>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</si>
  <si>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</si>
  <si>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</si>
  <si>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</si>
  <si>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</si>
  <si>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</si>
  <si>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</si>
  <si>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</si>
  <si>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</si>
  <si>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</si>
  <si>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</si>
  <si>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</si>
  <si>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</si>
  <si>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</si>
  <si>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</si>
  <si>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</si>
  <si>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</si>
  <si>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</si>
  <si>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</si>
  <si>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</si>
  <si>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</si>
  <si>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</si>
  <si>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</si>
  <si>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</si>
  <si>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</si>
  <si>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</si>
  <si>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</si>
  <si>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</si>
  <si>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</si>
  <si>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</si>
  <si>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</si>
  <si>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</si>
  <si>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</si>
  <si>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</si>
  <si>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</si>
  <si>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</si>
  <si>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</si>
  <si>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</si>
  <si>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</si>
  <si>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</si>
  <si>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</si>
  <si>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</si>
  <si>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</si>
  <si>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</si>
  <si>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</si>
  <si>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</si>
  <si>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</si>
  <si>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</si>
  <si>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</si>
  <si>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</si>
  <si>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</si>
  <si>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</si>
  <si>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</si>
  <si>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</si>
  <si>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</si>
  <si>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</si>
  <si>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</si>
  <si>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</si>
  <si>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</si>
  <si>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</si>
  <si>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</si>
  <si>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</si>
  <si>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</si>
  <si>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</si>
  <si>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</si>
  <si>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</si>
  <si>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</si>
  <si>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</si>
  <si>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</si>
  <si>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</si>
  <si>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</si>
  <si>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</si>
  <si>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</si>
  <si>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</si>
  <si>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</si>
  <si>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</si>
  <si>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</si>
  <si>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</si>
  <si>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</si>
  <si>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</si>
  <si>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</si>
  <si>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</si>
  <si>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</si>
  <si>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</si>
  <si>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</si>
  <si>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</si>
  <si>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</si>
  <si>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</si>
  <si>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</si>
  <si>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</si>
  <si>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</si>
  <si>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</si>
  <si>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</si>
  <si>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</si>
  <si>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</si>
  <si>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</si>
  <si>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</si>
  <si>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</si>
  <si>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</si>
  <si>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</si>
  <si>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</si>
  <si>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</si>
  <si>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</si>
  <si>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</si>
  <si>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</si>
  <si>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</si>
  <si>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</si>
  <si>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</si>
  <si>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</si>
  <si>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</si>
  <si>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</si>
  <si>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</si>
  <si>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</si>
  <si>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</si>
  <si>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</si>
  <si>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</si>
  <si>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</si>
  <si>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</si>
  <si>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</si>
  <si>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</si>
  <si>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</si>
  <si>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</si>
  <si>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</si>
  <si>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</si>
  <si>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</si>
  <si>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</si>
  <si>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</si>
  <si>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</si>
  <si>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</si>
  <si>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</si>
  <si>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</si>
  <si>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</si>
  <si>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</si>
  <si>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</si>
  <si>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</si>
  <si>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</si>
  <si>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</si>
  <si>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</si>
  <si>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</si>
  <si>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</si>
  <si>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</si>
  <si>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</si>
  <si>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</si>
  <si>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</si>
  <si>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</si>
  <si>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</si>
  <si>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</si>
  <si>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</si>
  <si>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</si>
  <si>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</si>
  <si>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</si>
  <si>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</si>
  <si>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</si>
  <si>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</si>
  <si>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</si>
  <si>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</si>
  <si>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</si>
  <si>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</si>
  <si>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</si>
  <si>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</si>
  <si>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</si>
  <si>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</si>
  <si>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</si>
  <si>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</si>
  <si>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</si>
  <si>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</si>
  <si>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</si>
  <si>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</si>
  <si>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</si>
  <si>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</si>
  <si>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</si>
  <si>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</si>
  <si>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</si>
  <si>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</si>
  <si>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</si>
  <si>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</si>
  <si>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</si>
  <si>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</si>
  <si>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</si>
  <si>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</si>
  <si>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</si>
  <si>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</si>
  <si>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</si>
  <si>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</si>
  <si>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 Hiring Exclusion</t>
  </si>
  <si>
    <t>Rs.1,000/-</t>
  </si>
  <si>
    <t>SPECIAL PROMOTION</t>
  </si>
  <si>
    <t>Pesonal Accident Cover (Driver)</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</si>
  <si>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</si>
  <si>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</si>
  <si>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</si>
  <si>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</si>
  <si>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</si>
  <si>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</si>
  <si>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</si>
  <si>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</si>
  <si>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</si>
  <si>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</si>
  <si>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</si>
  <si>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</si>
  <si>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Incentive</t>
  </si>
  <si>
    <t>rate with TPPD 100K</t>
  </si>
  <si>
    <t>&lt;-- Allow cover without charging</t>
  </si>
  <si>
    <t>GP</t>
  </si>
  <si>
    <t>WCI</t>
  </si>
  <si>
    <t>Workmens Compensation Cover (for Driver)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</si>
  <si>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</si>
  <si>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</si>
  <si>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</si>
  <si>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</si>
  <si>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</si>
  <si>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</si>
  <si>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</si>
  <si>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</si>
  <si>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t>Pesonal Accident Cover (Rider)</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</si>
  <si>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</si>
  <si>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</si>
  <si>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</si>
  <si>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</si>
  <si>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</si>
  <si>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</si>
  <si>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</si>
  <si>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r>
      <t>** SPECIAL LEASING PRMOTION</t>
    </r>
    <r>
      <rPr>
        <b/>
        <sz val="14"/>
        <color indexed="10"/>
        <rFont val="Tahoma"/>
        <family val="2"/>
      </rPr>
      <t xml:space="preserve">                               </t>
    </r>
    <r>
      <rPr>
        <b/>
        <sz val="14"/>
        <color indexed="10"/>
        <rFont val="Tahoma"/>
        <family val="2"/>
      </rPr>
      <t xml:space="preserve"> </t>
    </r>
  </si>
  <si>
    <t>POLICY FEE</t>
  </si>
  <si>
    <t>earlier + 1200</t>
  </si>
  <si>
    <t>SSCL</t>
  </si>
  <si>
    <t>POLICY FEE (Incentive)</t>
  </si>
  <si>
    <t>FINTREX FINANCE</t>
  </si>
  <si>
    <r>
      <rPr>
        <b/>
        <sz val="11"/>
        <rFont val="Tahoma"/>
        <family val="2"/>
      </rPr>
      <t xml:space="preserve">3. </t>
    </r>
    <r>
      <rPr>
        <sz val="11"/>
        <rFont val="Tahoma"/>
        <family val="2"/>
      </rPr>
      <t>This quotation is issued with upfront discounts and if any ENCB it will be considered within the upfront discount. According to the policy right of allowing ENCB at renewal will be considered subject to Upfront discount available in the policy.</t>
    </r>
  </si>
  <si>
    <t>Premium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</si>
</sst>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_-* #,##0.00_-;\-* #,##0.00_-;_-* &quot;-&quot;??_-;_-@_-"/>
    <numFmt numFmtId="165" formatCode="_-* #,##0_-;\-* #,##0_-;_-* &quot;-&quot;??_-;_-@_-"/>
    <numFmt numFmtId="166" formatCode="0.0000%"/>
    <numFmt numFmtId="167" formatCode="0.0%"/>
    <numFmt numFmtId="168" formatCode="#,##0.00_ ;\-#,##0.00\ "/>
    <numFmt numFmtId="169" formatCode="0.00_);\(0.00\)"/>
    <numFmt numFmtId="170" formatCode="[$-409]d\-mmm\-yyyy;@"/>
    <numFmt numFmtId="171" formatCode="#,##0.00;[Red]#,##0.00"/>
    <numFmt numFmtId="172" formatCode="0_);\(0\)"/>
    <numFmt numFmtId="173" formatCode="0.0"/>
    <numFmt numFmtId="174" formatCode="[$-409]mmmm\ d\,\ yyyy;@"/>
    <numFmt numFmtId="175" formatCode="[$-409]d\-mmm\-yy;@"/>
    <numFmt numFmtId="176" formatCode="0.000"/>
    <numFmt numFmtId="177" formatCode="0_);[Red]\(0\)"/>
    <numFmt numFmtId="178" formatCode="0.000_);[Red]\(0.000\)"/>
    <numFmt numFmtId="179" formatCode="0.000000%"/>
  </numFmts>
  <fonts count="243"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u/>
      <sz val="10"/>
      <color rgb="FFC00000"/>
      <name val="Arial"/>
      <family val="2"/>
    </font>
    <font>
      <sz val="11"/>
      <color theme="1"/>
      <name val="Arial"/>
      <family val="2"/>
    </font>
    <font>
      <b/>
      <sz val="10"/>
      <color theme="1"/>
      <name val="Tahoma"/>
      <family val="2"/>
    </font>
    <font>
      <b/>
      <sz val="14"/>
      <color theme="1"/>
      <name val="Tahoma"/>
      <family val="2"/>
    </font>
    <font>
      <b/>
      <sz val="14"/>
      <color rgb="FFFF0000"/>
      <name val="Tahoma"/>
      <family val="2"/>
    </font>
    <font>
      <b/>
      <sz val="11"/>
      <color theme="1"/>
      <name val="Tahoma"/>
      <family val="2"/>
    </font>
    <font>
      <b/>
      <sz val="14"/>
      <color rgb="FF0070C0"/>
      <name val="Tahoma"/>
      <family val="2"/>
    </font>
    <font>
      <b/>
      <sz val="12"/>
      <color rgb="FFC00000"/>
      <name val="Tahoma"/>
      <family val="2"/>
    </font>
  </fonts>
  <fills count="31">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D9D9D9"/>
        <bgColor indexed="64"/>
      </patternFill>
    </fill>
    <fill>
      <patternFill patternType="solid">
        <fgColor rgb="FF00B0F0"/>
        <bgColor indexed="64"/>
      </patternFill>
    </fill>
    <fill>
      <patternFill patternType="solid">
        <fgColor rgb="FFFFCC66"/>
        <bgColor indexed="64"/>
      </patternFill>
    </fill>
  </fills>
  <borders count="171">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58"/>
      </left>
      <right/>
      <top style="thin">
        <color indexed="58"/>
      </top>
      <bottom style="thin">
        <color indexed="58"/>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rgb="FF003300"/>
      </right>
      <top/>
      <bottom/>
      <diagonal/>
    </border>
    <border>
      <left style="medium">
        <color rgb="FFFF0000"/>
      </left>
      <right style="medium">
        <color rgb="FFFF0000"/>
      </right>
      <top style="medium">
        <color rgb="FFFF0000"/>
      </top>
      <bottom style="medium">
        <color rgb="FFFF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32">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70"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5"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4"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4" fontId="48" fillId="2" borderId="0" xfId="0" applyNumberFormat="1" applyFont="1" applyFill="1" applyBorder="1" applyAlignment="1" applyProtection="1">
      <alignment vertical="center"/>
      <protection hidden="1"/>
    </xf>
    <xf numFmtId="174" fontId="46" fillId="2" borderId="0" xfId="0" applyNumberFormat="1" applyFont="1" applyFill="1" applyBorder="1" applyAlignment="1" applyProtection="1">
      <protection hidden="1"/>
    </xf>
    <xf numFmtId="174"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7" fontId="32" fillId="5" borderId="0" xfId="0" applyNumberFormat="1" applyFont="1" applyFill="1" applyBorder="1" applyProtection="1">
      <protection hidden="1"/>
    </xf>
    <xf numFmtId="174" fontId="46" fillId="2" borderId="0" xfId="0" applyNumberFormat="1" applyFont="1" applyFill="1" applyBorder="1" applyAlignment="1" applyProtection="1">
      <alignment vertical="center"/>
      <protection hidden="1"/>
    </xf>
    <xf numFmtId="178"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9"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6"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8"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7"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8"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2" fontId="85" fillId="11" borderId="0" xfId="0" applyNumberFormat="1" applyFont="1" applyFill="1" applyAlignment="1" applyProtection="1">
      <alignment horizontal="left"/>
      <protection hidden="1"/>
    </xf>
    <xf numFmtId="172"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6" fillId="2" borderId="0" xfId="0" applyNumberFormat="1" applyFont="1" applyFill="1" applyBorder="1" applyAlignment="1" applyProtection="1">
      <alignment horizontal="center"/>
      <protection hidden="1"/>
    </xf>
    <xf numFmtId="2" fontId="197" fillId="11" borderId="0" xfId="0" applyNumberFormat="1" applyFont="1" applyFill="1" applyBorder="1" applyAlignment="1" applyProtection="1">
      <alignment horizontal="center"/>
      <protection hidden="1"/>
    </xf>
    <xf numFmtId="0" fontId="197" fillId="11" borderId="0" xfId="0" applyFont="1" applyFill="1" applyProtection="1">
      <protection hidden="1"/>
    </xf>
    <xf numFmtId="0" fontId="198" fillId="11" borderId="0" xfId="0" applyFont="1" applyFill="1" applyProtection="1">
      <protection hidden="1"/>
    </xf>
    <xf numFmtId="1" fontId="199" fillId="11" borderId="0" xfId="0" applyNumberFormat="1" applyFont="1" applyFill="1" applyBorder="1" applyProtection="1">
      <protection hidden="1"/>
    </xf>
    <xf numFmtId="43" fontId="197"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0"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7" fillId="17" borderId="75" xfId="0" applyFont="1" applyFill="1" applyBorder="1" applyAlignment="1" applyProtection="1">
      <alignment horizontal="center"/>
      <protection hidden="1"/>
    </xf>
    <xf numFmtId="4" fontId="198" fillId="17" borderId="92" xfId="0" applyNumberFormat="1" applyFont="1" applyFill="1" applyBorder="1" applyProtection="1">
      <protection hidden="1"/>
    </xf>
    <xf numFmtId="0" fontId="6" fillId="2" borderId="0" xfId="0" applyFont="1" applyFill="1" applyProtection="1">
      <protection hidden="1"/>
    </xf>
    <xf numFmtId="0" fontId="197"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1" fillId="11" borderId="0" xfId="0" applyFont="1" applyFill="1" applyProtection="1">
      <protection hidden="1"/>
    </xf>
    <xf numFmtId="0" fontId="202" fillId="11" borderId="0" xfId="0" applyFont="1" applyFill="1" applyProtection="1">
      <protection hidden="1"/>
    </xf>
    <xf numFmtId="0" fontId="203" fillId="11" borderId="0" xfId="0" applyFont="1" applyFill="1" applyProtection="1">
      <protection hidden="1"/>
    </xf>
    <xf numFmtId="1" fontId="197" fillId="11" borderId="0" xfId="0" applyNumberFormat="1" applyFont="1" applyFill="1" applyProtection="1">
      <protection hidden="1"/>
    </xf>
    <xf numFmtId="3" fontId="197" fillId="11" borderId="0" xfId="0" applyNumberFormat="1" applyFont="1" applyFill="1" applyProtection="1">
      <protection hidden="1"/>
    </xf>
    <xf numFmtId="1" fontId="198"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4" fillId="11" borderId="0" xfId="0" applyFont="1" applyFill="1" applyProtection="1">
      <protection hidden="1"/>
    </xf>
    <xf numFmtId="0" fontId="205" fillId="11" borderId="0" xfId="0" applyFont="1" applyFill="1" applyAlignment="1" applyProtection="1">
      <alignment horizontal="left"/>
      <protection hidden="1"/>
    </xf>
    <xf numFmtId="164" fontId="198" fillId="11" borderId="0" xfId="1" applyFont="1" applyFill="1" applyProtection="1">
      <protection hidden="1"/>
    </xf>
    <xf numFmtId="0" fontId="206"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6" fontId="207" fillId="11" borderId="0" xfId="0" applyNumberFormat="1" applyFont="1" applyFill="1" applyBorder="1" applyAlignment="1" applyProtection="1">
      <alignment horizontal="left"/>
      <protection hidden="1"/>
    </xf>
    <xf numFmtId="176" fontId="197" fillId="11" borderId="0" xfId="0" applyNumberFormat="1" applyFont="1" applyFill="1" applyBorder="1" applyAlignment="1" applyProtection="1">
      <alignment horizontal="left"/>
      <protection hidden="1"/>
    </xf>
    <xf numFmtId="2" fontId="207" fillId="16" borderId="93" xfId="0" applyNumberFormat="1" applyFont="1" applyFill="1" applyBorder="1" applyAlignment="1" applyProtection="1">
      <alignment horizontal="right"/>
      <protection hidden="1"/>
    </xf>
    <xf numFmtId="2" fontId="208" fillId="16" borderId="62" xfId="0" applyNumberFormat="1" applyFont="1" applyFill="1" applyBorder="1" applyProtection="1">
      <protection hidden="1"/>
    </xf>
    <xf numFmtId="173"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9"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0"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3"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3"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1"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8" fillId="17" borderId="0" xfId="0" applyFont="1" applyFill="1" applyProtection="1">
      <protection hidden="1"/>
    </xf>
    <xf numFmtId="168"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2" fillId="0" borderId="62" xfId="0" applyFont="1" applyFill="1" applyBorder="1" applyProtection="1">
      <protection hidden="1"/>
    </xf>
    <xf numFmtId="0" fontId="212"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3" fillId="0" borderId="45" xfId="0"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164" fontId="215"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7" fillId="17" borderId="0" xfId="0" applyFont="1" applyFill="1" applyProtection="1">
      <protection hidden="1"/>
    </xf>
    <xf numFmtId="0" fontId="197"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3"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3"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3"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3"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6" fillId="11" borderId="0" xfId="0" applyFont="1" applyFill="1" applyAlignment="1" applyProtection="1">
      <alignment horizontal="center" vertical="center"/>
      <protection hidden="1"/>
    </xf>
    <xf numFmtId="0" fontId="217" fillId="18" borderId="95" xfId="0" applyFont="1" applyFill="1" applyBorder="1" applyAlignment="1" applyProtection="1">
      <alignment horizontal="left" vertical="center"/>
      <protection locked="0" hidden="1"/>
    </xf>
    <xf numFmtId="0" fontId="218" fillId="0" borderId="0" xfId="0" applyFont="1" applyFill="1" applyBorder="1" applyProtection="1">
      <protection hidden="1"/>
    </xf>
    <xf numFmtId="0" fontId="218"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9" fillId="2" borderId="0" xfId="1" applyFont="1" applyFill="1" applyBorder="1" applyAlignment="1" applyProtection="1">
      <alignment horizontal="left"/>
      <protection hidden="1"/>
    </xf>
    <xf numFmtId="0" fontId="219" fillId="11" borderId="0" xfId="0" applyFont="1" applyFill="1" applyAlignment="1" applyProtection="1">
      <alignment horizontal="center" vertical="center"/>
      <protection hidden="1"/>
    </xf>
    <xf numFmtId="0" fontId="220" fillId="11" borderId="0" xfId="0" applyFont="1" applyFill="1" applyAlignment="1" applyProtection="1">
      <alignment horizontal="center" vertical="center"/>
      <protection hidden="1"/>
    </xf>
    <xf numFmtId="2" fontId="25" fillId="2" borderId="96" xfId="0" applyNumberFormat="1" applyFont="1" applyFill="1" applyBorder="1" applyProtection="1">
      <protection hidden="1"/>
    </xf>
    <xf numFmtId="0" fontId="153" fillId="2" borderId="169"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0"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7" fontId="112" fillId="11" borderId="0" xfId="0" applyNumberFormat="1" applyFont="1" applyFill="1" applyBorder="1" applyProtection="1">
      <protection hidden="1"/>
    </xf>
    <xf numFmtId="167"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1" fillId="0" borderId="0" xfId="1" applyNumberFormat="1" applyFont="1" applyFill="1" applyBorder="1" applyAlignment="1" applyProtection="1">
      <alignment horizontal="center"/>
      <protection hidden="1"/>
    </xf>
    <xf numFmtId="4" fontId="212" fillId="0" borderId="0" xfId="0" applyNumberFormat="1" applyFont="1" applyFill="1" applyBorder="1" applyProtection="1">
      <protection hidden="1"/>
    </xf>
    <xf numFmtId="0" fontId="61" fillId="9" borderId="45" xfId="0" applyFont="1" applyFill="1" applyBorder="1" applyProtection="1">
      <protection hidden="1"/>
    </xf>
    <xf numFmtId="164" fontId="222"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3" fillId="2" borderId="0" xfId="0" applyFont="1" applyFill="1" applyBorder="1" applyAlignment="1" applyProtection="1">
      <alignment horizontal="left"/>
      <protection hidden="1"/>
    </xf>
    <xf numFmtId="0" fontId="224" fillId="2" borderId="6" xfId="0" applyFont="1" applyFill="1" applyBorder="1" applyAlignment="1" applyProtection="1">
      <alignment horizontal="right" vertical="center"/>
      <protection hidden="1"/>
    </xf>
    <xf numFmtId="0" fontId="225" fillId="17" borderId="104" xfId="0" applyFont="1" applyFill="1" applyBorder="1" applyAlignment="1" applyProtection="1">
      <alignment horizontal="center" vertical="center" shrinkToFit="1"/>
      <protection hidden="1"/>
    </xf>
    <xf numFmtId="0" fontId="226" fillId="2" borderId="0" xfId="0" applyFont="1" applyFill="1" applyBorder="1" applyAlignment="1" applyProtection="1">
      <alignment wrapText="1"/>
      <protection hidden="1"/>
    </xf>
    <xf numFmtId="0" fontId="227"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1" fillId="2" borderId="0" xfId="0" applyFont="1" applyFill="1" applyAlignment="1" applyProtection="1">
      <alignment vertical="top"/>
      <protection hidden="1"/>
    </xf>
    <xf numFmtId="0" fontId="228" fillId="2" borderId="0" xfId="0" applyFont="1" applyFill="1" applyAlignment="1" applyProtection="1">
      <alignment vertical="center"/>
      <protection hidden="1"/>
    </xf>
    <xf numFmtId="0" fontId="204" fillId="17" borderId="0" xfId="0" applyFont="1" applyFill="1" applyAlignment="1" applyProtection="1">
      <alignment horizontal="left"/>
      <protection hidden="1"/>
    </xf>
    <xf numFmtId="0" fontId="204" fillId="17" borderId="0" xfId="0" applyFont="1" applyFill="1" applyProtection="1">
      <protection hidden="1"/>
    </xf>
    <xf numFmtId="0" fontId="229" fillId="17" borderId="0" xfId="0" applyFont="1" applyFill="1" applyBorder="1" applyProtection="1">
      <protection hidden="1"/>
    </xf>
    <xf numFmtId="39" fontId="229" fillId="17" borderId="0" xfId="0" applyNumberFormat="1" applyFont="1" applyFill="1" applyBorder="1" applyAlignment="1" applyProtection="1">
      <alignment horizontal="right"/>
      <protection hidden="1"/>
    </xf>
    <xf numFmtId="0" fontId="230" fillId="17" borderId="0" xfId="0" applyFont="1" applyFill="1"/>
    <xf numFmtId="0" fontId="231"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2" fillId="17" borderId="95" xfId="0" applyFont="1" applyFill="1" applyBorder="1" applyAlignment="1" applyProtection="1">
      <alignment horizontal="center" vertical="center"/>
      <protection hidden="1"/>
    </xf>
    <xf numFmtId="4" fontId="212"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9"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115" fillId="2" borderId="0" xfId="4" applyFont="1" applyFill="1" applyBorder="1" applyAlignment="1" applyProtection="1">
      <alignment vertical="center"/>
      <protection hidden="1"/>
    </xf>
    <xf numFmtId="0" fontId="56" fillId="2" borderId="0" xfId="4" applyFont="1" applyFill="1" applyBorder="1" applyAlignment="1" applyProtection="1">
      <alignment vertical="top"/>
      <protection hidden="1"/>
    </xf>
    <xf numFmtId="0" fontId="56" fillId="2" borderId="0" xfId="4" applyFont="1" applyFill="1" applyBorder="1" applyAlignment="1" applyProtection="1">
      <protection hidden="1"/>
    </xf>
    <xf numFmtId="0" fontId="46" fillId="2" borderId="0" xfId="4" applyFont="1" applyFill="1" applyBorder="1" applyAlignment="1" applyProtection="1">
      <alignment vertical="center"/>
      <protection hidden="1"/>
    </xf>
    <xf numFmtId="0" fontId="46" fillId="2" borderId="0" xfId="4" applyFont="1" applyFill="1" applyBorder="1" applyAlignment="1" applyProtection="1">
      <alignment vertical="top"/>
      <protection hidden="1"/>
    </xf>
    <xf numFmtId="0" fontId="46" fillId="2" borderId="0" xfId="4" applyFont="1" applyFill="1" applyBorder="1" applyAlignment="1" applyProtection="1">
      <protection hidden="1"/>
    </xf>
    <xf numFmtId="0" fontId="229" fillId="2" borderId="0" xfId="0" applyFont="1" applyFill="1" applyAlignment="1" applyProtection="1">
      <protection hidden="1"/>
    </xf>
    <xf numFmtId="0" fontId="229" fillId="0" borderId="0" xfId="0" applyFont="1" applyBorder="1"/>
    <xf numFmtId="0" fontId="219" fillId="2" borderId="0" xfId="0" quotePrefix="1" applyFont="1" applyFill="1" applyAlignment="1" applyProtection="1">
      <alignment horizontal="center"/>
      <protection hidden="1"/>
    </xf>
    <xf numFmtId="0" fontId="221" fillId="0" borderId="0" xfId="0" applyFont="1" applyBorder="1"/>
    <xf numFmtId="0" fontId="46" fillId="16" borderId="0" xfId="0" applyFont="1" applyFill="1" applyBorder="1" applyAlignment="1" applyProtection="1">
      <protection hidden="1"/>
    </xf>
    <xf numFmtId="0" fontId="224" fillId="2" borderId="5" xfId="0" applyFont="1" applyFill="1" applyBorder="1" applyAlignment="1" applyProtection="1">
      <alignment vertical="center" wrapText="1"/>
      <protection hidden="1"/>
    </xf>
    <xf numFmtId="0" fontId="0" fillId="0" borderId="0" xfId="0" applyAlignment="1">
      <alignment vertical="center"/>
    </xf>
    <xf numFmtId="0" fontId="204" fillId="21" borderId="0" xfId="0" applyFont="1" applyFill="1" applyAlignment="1">
      <alignment vertical="center"/>
    </xf>
    <xf numFmtId="43" fontId="0" fillId="22" borderId="0" xfId="0" applyNumberFormat="1" applyFill="1" applyAlignment="1">
      <alignment vertical="center"/>
    </xf>
    <xf numFmtId="10" fontId="1" fillId="0" borderId="0" xfId="5"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3" fillId="24"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4" fillId="25" borderId="0" xfId="0" applyNumberFormat="1" applyFont="1" applyFill="1" applyAlignment="1">
      <alignment vertical="center"/>
    </xf>
    <xf numFmtId="43" fontId="204" fillId="26" borderId="0" xfId="0" applyNumberFormat="1" applyFont="1" applyFill="1" applyAlignment="1">
      <alignment vertical="center"/>
    </xf>
    <xf numFmtId="0" fontId="234" fillId="18" borderId="0" xfId="0" applyFont="1" applyFill="1" applyAlignment="1">
      <alignment horizontal="center" vertical="center"/>
    </xf>
    <xf numFmtId="0" fontId="217" fillId="18" borderId="95" xfId="0" applyFont="1" applyFill="1" applyBorder="1" applyAlignment="1" applyProtection="1">
      <alignment horizontal="left" vertical="center"/>
      <protection hidden="1"/>
    </xf>
    <xf numFmtId="164" fontId="194" fillId="22" borderId="0" xfId="1" applyFont="1" applyFill="1"/>
    <xf numFmtId="166" fontId="6" fillId="16" borderId="106" xfId="5" applyNumberFormat="1" applyFont="1" applyFill="1" applyBorder="1" applyAlignment="1">
      <alignment vertical="center"/>
    </xf>
    <xf numFmtId="179" fontId="1" fillId="0" borderId="0" xfId="5" applyNumberFormat="1" applyAlignment="1">
      <alignment vertical="center"/>
    </xf>
    <xf numFmtId="0" fontId="235" fillId="0" borderId="0" xfId="0" applyFont="1" applyAlignment="1">
      <alignment horizontal="left" vertical="center"/>
    </xf>
    <xf numFmtId="14" fontId="56" fillId="0" borderId="0" xfId="0" applyNumberFormat="1" applyFont="1" applyProtection="1">
      <protection hidden="1"/>
    </xf>
    <xf numFmtId="0" fontId="48" fillId="27" borderId="7" xfId="0" applyFont="1" applyFill="1" applyBorder="1" applyAlignment="1" applyProtection="1">
      <alignment horizontal="center" wrapText="1"/>
      <protection locked="0" hidden="1"/>
    </xf>
    <xf numFmtId="165" fontId="10" fillId="18" borderId="106" xfId="1" applyNumberFormat="1" applyFont="1" applyFill="1" applyBorder="1" applyAlignment="1" applyProtection="1">
      <alignment vertical="center"/>
      <protection locked="0" hidden="1"/>
    </xf>
    <xf numFmtId="3" fontId="236" fillId="28" borderId="107" xfId="0" applyNumberFormat="1" applyFont="1" applyFill="1" applyBorder="1" applyAlignment="1">
      <alignment horizontal="center" vertical="center"/>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8"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7"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0"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6"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195" fillId="0" borderId="2" xfId="4" applyFont="1"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4"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4"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4"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3"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3"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4" fontId="48" fillId="2" borderId="0" xfId="4" applyNumberFormat="1" applyFont="1" applyFill="1" applyBorder="1" applyAlignment="1" applyProtection="1">
      <alignment horizontal="right" vertical="center"/>
      <protection hidden="1"/>
    </xf>
    <xf numFmtId="174"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3"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3"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227" fillId="29" borderId="7" xfId="4" applyFont="1" applyFill="1" applyBorder="1" applyAlignment="1" applyProtection="1">
      <alignment horizontal="left" vertical="center"/>
      <protection locked="0" hidden="1"/>
    </xf>
    <xf numFmtId="0" fontId="136" fillId="2" borderId="5" xfId="4" applyFont="1" applyFill="1" applyBorder="1" applyAlignment="1" applyProtection="1">
      <protection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3"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5" fillId="17" borderId="104" xfId="4" applyFont="1" applyFill="1" applyBorder="1" applyAlignment="1" applyProtection="1">
      <alignment horizontal="center" vertical="center" shrinkToFit="1"/>
      <protection hidden="1"/>
    </xf>
    <xf numFmtId="0" fontId="224"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8" fillId="2" borderId="0" xfId="4" applyFont="1" applyFill="1" applyAlignment="1" applyProtection="1">
      <alignment vertical="center"/>
      <protection hidden="1"/>
    </xf>
    <xf numFmtId="0" fontId="83" fillId="16" borderId="0" xfId="4" applyFont="1" applyFill="1" applyProtection="1">
      <protection hidden="1"/>
    </xf>
    <xf numFmtId="0" fontId="216"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0" fontId="217" fillId="18" borderId="95" xfId="4" applyFont="1" applyFill="1" applyBorder="1" applyAlignment="1" applyProtection="1">
      <alignment horizontal="left" vertical="center"/>
      <protection locked="0"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4" fontId="48" fillId="2" borderId="0" xfId="4" applyNumberFormat="1" applyFont="1" applyFill="1" applyBorder="1" applyAlignment="1" applyProtection="1">
      <protection hidden="1"/>
    </xf>
    <xf numFmtId="0" fontId="201"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4" fillId="17" borderId="0" xfId="4" applyFont="1" applyFill="1" applyProtection="1">
      <protection hidden="1"/>
    </xf>
    <xf numFmtId="0" fontId="204"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70" fillId="16" borderId="0" xfId="4" applyFont="1" applyFill="1" applyAlignment="1">
      <alignment horizontal="center" vertical="center"/>
    </xf>
    <xf numFmtId="0" fontId="229" fillId="17" borderId="0" xfId="4" applyFont="1" applyFill="1" applyBorder="1" applyProtection="1">
      <protection hidden="1"/>
    </xf>
    <xf numFmtId="39" fontId="229"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18"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18"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37"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4" fillId="17" borderId="0" xfId="4" applyFont="1" applyFill="1" applyAlignment="1" applyProtection="1">
      <alignment horizontal="left"/>
      <protection hidden="1"/>
    </xf>
    <xf numFmtId="0" fontId="230"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38"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2" fillId="17" borderId="95"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4" fontId="46" fillId="16" borderId="45" xfId="4" applyNumberFormat="1" applyFont="1" applyFill="1" applyBorder="1" applyProtection="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6"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1"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47" fillId="2" borderId="0" xfId="4" applyFont="1" applyFill="1" applyProtection="1">
      <protection hidden="1"/>
    </xf>
    <xf numFmtId="0" fontId="47" fillId="0" borderId="0" xfId="4" applyFont="1" applyBorder="1"/>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1"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0" fillId="2" borderId="0" xfId="4" applyFont="1" applyFill="1" applyBorder="1" applyAlignment="1" applyProtection="1">
      <alignment vertical="top" wrapText="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9"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6" fontId="207" fillId="11" borderId="0" xfId="4" applyNumberFormat="1" applyFont="1" applyFill="1" applyBorder="1" applyAlignment="1" applyProtection="1">
      <alignment horizontal="left"/>
      <protection hidden="1"/>
    </xf>
    <xf numFmtId="0" fontId="198"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6" fontId="197" fillId="11" borderId="0" xfId="4" applyNumberFormat="1" applyFont="1" applyFill="1" applyBorder="1" applyAlignment="1" applyProtection="1">
      <alignment horizontal="left"/>
      <protection hidden="1"/>
    </xf>
    <xf numFmtId="0" fontId="205"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7" xfId="4" applyFont="1" applyFill="1" applyBorder="1" applyAlignment="1" applyProtection="1">
      <alignment horizontal="center"/>
      <protection hidden="1"/>
    </xf>
    <xf numFmtId="0" fontId="45" fillId="3" borderId="98" xfId="4" applyFont="1" applyFill="1" applyBorder="1" applyAlignment="1" applyProtection="1">
      <alignment horizontal="center" vertical="center" wrapText="1"/>
      <protection hidden="1"/>
    </xf>
    <xf numFmtId="164" fontId="198"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2"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6"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2"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2"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9" fontId="84" fillId="11" borderId="0" xfId="4" applyNumberFormat="1" applyFont="1" applyFill="1" applyAlignment="1" applyProtection="1">
      <alignment horizontal="left"/>
      <protection hidden="1"/>
    </xf>
    <xf numFmtId="0" fontId="220"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9"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0"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3"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3"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8" fontId="61" fillId="9" borderId="62" xfId="2" applyNumberFormat="1" applyFont="1" applyFill="1" applyBorder="1" applyProtection="1">
      <protection hidden="1"/>
    </xf>
    <xf numFmtId="168" fontId="128" fillId="2" borderId="59" xfId="2" applyNumberFormat="1" applyFont="1" applyFill="1" applyBorder="1" applyProtection="1">
      <protection hidden="1"/>
    </xf>
    <xf numFmtId="168"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08"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7" fillId="11" borderId="0" xfId="4" applyNumberFormat="1" applyFont="1" applyFill="1" applyBorder="1" applyAlignment="1" applyProtection="1">
      <alignment horizontal="center"/>
      <protection hidden="1"/>
    </xf>
    <xf numFmtId="0" fontId="197" fillId="11" borderId="0" xfId="4" applyFont="1" applyFill="1" applyProtection="1">
      <protection hidden="1"/>
    </xf>
    <xf numFmtId="0" fontId="197" fillId="17" borderId="0" xfId="4" applyFont="1" applyFill="1" applyProtection="1">
      <protection hidden="1"/>
    </xf>
    <xf numFmtId="0" fontId="198"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7"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7" fillId="11" borderId="0" xfId="4" applyFont="1" applyFill="1" applyBorder="1" applyAlignment="1" applyProtection="1">
      <alignment horizontal="center"/>
      <protection hidden="1"/>
    </xf>
    <xf numFmtId="0" fontId="197"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6"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09"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100"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1"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6" xfId="4" applyNumberFormat="1" applyFont="1" applyFill="1" applyBorder="1" applyProtection="1">
      <protection hidden="1"/>
    </xf>
    <xf numFmtId="2" fontId="207"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7"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7" fontId="112" fillId="11" borderId="0" xfId="4" applyNumberFormat="1" applyFont="1" applyFill="1" applyBorder="1" applyProtection="1">
      <protection hidden="1"/>
    </xf>
    <xf numFmtId="0" fontId="211" fillId="18" borderId="0" xfId="4" applyFont="1" applyFill="1" applyBorder="1" applyAlignment="1" applyProtection="1">
      <alignment horizontal="center"/>
      <protection hidden="1"/>
    </xf>
    <xf numFmtId="167"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2" fillId="16" borderId="62" xfId="4" applyNumberFormat="1" applyFont="1" applyFill="1" applyBorder="1" applyProtection="1">
      <protection hidden="1"/>
    </xf>
    <xf numFmtId="164" fontId="215"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2" fillId="0" borderId="62" xfId="4" applyFont="1" applyFill="1" applyBorder="1" applyProtection="1">
      <protection hidden="1"/>
    </xf>
    <xf numFmtId="4" fontId="214" fillId="0" borderId="0" xfId="4" applyNumberFormat="1" applyFont="1" applyFill="1" applyBorder="1" applyProtection="1">
      <protection hidden="1"/>
    </xf>
    <xf numFmtId="0" fontId="212" fillId="16" borderId="93" xfId="4" applyFont="1" applyFill="1" applyBorder="1" applyProtection="1">
      <protection hidden="1"/>
    </xf>
    <xf numFmtId="0" fontId="3" fillId="2" borderId="0" xfId="4" applyFont="1" applyFill="1" applyBorder="1" applyProtection="1">
      <protection hidden="1"/>
    </xf>
    <xf numFmtId="0" fontId="41" fillId="9" borderId="101"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3"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1" fillId="0" borderId="0" xfId="2" applyNumberFormat="1" applyFont="1" applyFill="1" applyBorder="1" applyAlignment="1" applyProtection="1">
      <alignment horizontal="center"/>
      <protection hidden="1"/>
    </xf>
    <xf numFmtId="4" fontId="212" fillId="0" borderId="0" xfId="4" applyNumberFormat="1" applyFont="1" applyFill="1" applyBorder="1" applyProtection="1">
      <protection hidden="1"/>
    </xf>
    <xf numFmtId="164" fontId="219"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29" fillId="20" borderId="0" xfId="4" applyFont="1" applyFill="1" applyBorder="1" applyProtection="1">
      <protection hidden="1"/>
    </xf>
    <xf numFmtId="164" fontId="222"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199" fillId="11" borderId="0" xfId="4" applyNumberFormat="1" applyFont="1" applyFill="1" applyBorder="1" applyProtection="1">
      <protection hidden="1"/>
    </xf>
    <xf numFmtId="43" fontId="197"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198"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0" fontId="12"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5"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70"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3" fillId="11" borderId="0" xfId="4" applyFont="1" applyFill="1" applyProtection="1">
      <protection hidden="1"/>
    </xf>
    <xf numFmtId="1" fontId="197" fillId="11" borderId="0" xfId="4" applyNumberFormat="1" applyFont="1" applyFill="1" applyProtection="1">
      <protection hidden="1"/>
    </xf>
    <xf numFmtId="0" fontId="7" fillId="3" borderId="0" xfId="4" applyFill="1" applyProtection="1">
      <protection hidden="1"/>
    </xf>
    <xf numFmtId="3" fontId="197"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2" fillId="11" borderId="0" xfId="4" applyFont="1" applyFill="1" applyProtection="1">
      <protection hidden="1"/>
    </xf>
    <xf numFmtId="1" fontId="198"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165" fontId="0" fillId="0" borderId="0" xfId="1" applyNumberFormat="1" applyFont="1" applyAlignment="1">
      <alignment vertical="center"/>
    </xf>
    <xf numFmtId="10" fontId="55" fillId="2" borderId="0" xfId="4" applyNumberFormat="1" applyFont="1" applyFill="1" applyBorder="1" applyProtection="1">
      <protection hidden="1"/>
    </xf>
    <xf numFmtId="167" fontId="55" fillId="2" borderId="0" xfId="5" applyNumberFormat="1" applyFont="1" applyFill="1" applyBorder="1" applyProtection="1">
      <protection hidden="1"/>
    </xf>
    <xf numFmtId="10" fontId="0" fillId="0" borderId="0" xfId="5" applyNumberFormat="1" applyFont="1" applyAlignment="1">
      <alignment vertical="center"/>
    </xf>
    <xf numFmtId="14" fontId="0" fillId="0" borderId="0" xfId="0" applyNumberFormat="1" applyAlignment="1">
      <alignment vertical="center"/>
    </xf>
    <xf numFmtId="0" fontId="204" fillId="21" borderId="170" xfId="0" applyFont="1" applyFill="1" applyBorder="1" applyAlignment="1">
      <alignment vertical="center"/>
    </xf>
    <xf numFmtId="164" fontId="46" fillId="2" borderId="0" xfId="0" applyNumberFormat="1" applyFont="1" applyFill="1" applyBorder="1" applyProtection="1">
      <protection hidden="1"/>
    </xf>
    <xf numFmtId="0" fontId="141" fillId="2" borderId="108" xfId="4" applyFont="1" applyFill="1" applyBorder="1" applyAlignment="1" applyProtection="1">
      <alignment vertical="center" wrapText="1"/>
      <protection hidden="1"/>
    </xf>
    <xf numFmtId="0" fontId="71" fillId="2" borderId="170" xfId="4" applyFont="1" applyFill="1" applyBorder="1" applyProtection="1">
      <protection hidden="1"/>
    </xf>
    <xf numFmtId="9" fontId="0" fillId="0" borderId="0" xfId="0" applyNumberFormat="1" applyAlignment="1">
      <alignment vertical="center"/>
    </xf>
    <xf numFmtId="0" fontId="100" fillId="4" borderId="109" xfId="0" applyFont="1" applyFill="1" applyBorder="1" applyAlignment="1" applyProtection="1">
      <alignment horizontal="left"/>
      <protection hidden="1"/>
    </xf>
    <xf numFmtId="0" fontId="100" fillId="4" borderId="110" xfId="0" applyFont="1" applyFill="1" applyBorder="1" applyAlignment="1" applyProtection="1">
      <alignment horizontal="left"/>
      <protection hidden="1"/>
    </xf>
    <xf numFmtId="0" fontId="100" fillId="4" borderId="111" xfId="0" applyFont="1" applyFill="1" applyBorder="1" applyAlignment="1" applyProtection="1">
      <alignment horizontal="left"/>
      <protection hidden="1"/>
    </xf>
    <xf numFmtId="174" fontId="68" fillId="0" borderId="112" xfId="0" applyNumberFormat="1" applyFont="1" applyBorder="1" applyAlignment="1" applyProtection="1">
      <alignment horizontal="left" vertical="top"/>
      <protection hidden="1"/>
    </xf>
    <xf numFmtId="0" fontId="54" fillId="9" borderId="113" xfId="0" applyFont="1" applyFill="1" applyBorder="1" applyAlignment="1" applyProtection="1">
      <alignment horizontal="center"/>
      <protection hidden="1"/>
    </xf>
    <xf numFmtId="0" fontId="54" fillId="9" borderId="114" xfId="0" applyFont="1" applyFill="1" applyBorder="1" applyAlignment="1" applyProtection="1">
      <alignment horizontal="center"/>
      <protection hidden="1"/>
    </xf>
    <xf numFmtId="0" fontId="54" fillId="9" borderId="115"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173" fontId="38" fillId="6" borderId="126" xfId="0" applyNumberFormat="1" applyFont="1" applyFill="1" applyBorder="1" applyAlignment="1" applyProtection="1">
      <alignment horizontal="center"/>
      <protection hidden="1"/>
    </xf>
    <xf numFmtId="173" fontId="38" fillId="6" borderId="127" xfId="0" applyNumberFormat="1" applyFont="1" applyFill="1" applyBorder="1" applyAlignment="1" applyProtection="1">
      <alignment horizontal="center"/>
      <protection hidden="1"/>
    </xf>
    <xf numFmtId="3" fontId="6" fillId="15" borderId="123" xfId="0" applyNumberFormat="1" applyFont="1" applyFill="1" applyBorder="1" applyAlignment="1" applyProtection="1">
      <alignment horizontal="right"/>
      <protection hidden="1"/>
    </xf>
    <xf numFmtId="3" fontId="6" fillId="15" borderId="125" xfId="0" applyNumberFormat="1" applyFont="1" applyFill="1" applyBorder="1" applyAlignment="1" applyProtection="1">
      <alignment horizontal="right"/>
      <protection hidden="1"/>
    </xf>
    <xf numFmtId="0" fontId="51" fillId="9" borderId="129"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30"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31"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3" fontId="3" fillId="6" borderId="126"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0" fontId="3" fillId="6" borderId="126" xfId="0" applyFont="1" applyFill="1" applyBorder="1" applyAlignment="1" applyProtection="1">
      <alignment horizontal="center"/>
      <protection hidden="1"/>
    </xf>
    <xf numFmtId="0" fontId="3" fillId="6" borderId="127"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0" fontId="28" fillId="5" borderId="116" xfId="0" applyFont="1" applyFill="1" applyBorder="1" applyAlignment="1" applyProtection="1">
      <alignment horizontal="left"/>
      <protection hidden="1"/>
    </xf>
    <xf numFmtId="0" fontId="28" fillId="5" borderId="117" xfId="0" applyFont="1" applyFill="1" applyBorder="1" applyAlignment="1" applyProtection="1">
      <alignment horizontal="left"/>
      <protection hidden="1"/>
    </xf>
    <xf numFmtId="0" fontId="35" fillId="3" borderId="118" xfId="0" applyFont="1" applyFill="1" applyBorder="1" applyAlignment="1" applyProtection="1">
      <alignment horizontal="left"/>
      <protection hidden="1"/>
    </xf>
    <xf numFmtId="0" fontId="35" fillId="3" borderId="119" xfId="0" applyFont="1" applyFill="1" applyBorder="1" applyAlignment="1" applyProtection="1">
      <alignment horizontal="left"/>
      <protection hidden="1"/>
    </xf>
    <xf numFmtId="0" fontId="50" fillId="5" borderId="120"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21" xfId="0" applyFont="1" applyFill="1" applyBorder="1" applyAlignment="1" applyProtection="1">
      <alignment horizontal="left"/>
      <protection hidden="1"/>
    </xf>
    <xf numFmtId="0" fontId="28" fillId="5" borderId="122" xfId="0" applyFont="1" applyFill="1" applyBorder="1" applyAlignment="1" applyProtection="1">
      <alignment horizontal="left"/>
      <protection hidden="1"/>
    </xf>
    <xf numFmtId="0" fontId="2" fillId="5" borderId="123" xfId="0" applyFont="1" applyFill="1" applyBorder="1" applyAlignment="1" applyProtection="1">
      <alignment horizontal="center"/>
      <protection hidden="1"/>
    </xf>
    <xf numFmtId="0" fontId="2" fillId="5" borderId="124" xfId="0" applyFont="1" applyFill="1" applyBorder="1" applyAlignment="1" applyProtection="1">
      <alignment horizontal="center"/>
      <protection hidden="1"/>
    </xf>
    <xf numFmtId="0" fontId="2" fillId="5" borderId="125" xfId="0" applyFont="1" applyFill="1" applyBorder="1" applyAlignment="1" applyProtection="1">
      <alignment horizontal="center"/>
      <protection hidden="1"/>
    </xf>
    <xf numFmtId="0" fontId="28" fillId="5" borderId="132" xfId="0" applyFont="1" applyFill="1" applyBorder="1" applyAlignment="1" applyProtection="1">
      <alignment horizontal="left"/>
      <protection hidden="1"/>
    </xf>
    <xf numFmtId="0" fontId="28" fillId="5" borderId="133" xfId="0" applyFont="1" applyFill="1" applyBorder="1" applyAlignment="1" applyProtection="1">
      <alignment horizontal="left"/>
      <protection hidden="1"/>
    </xf>
    <xf numFmtId="0" fontId="2" fillId="5" borderId="134" xfId="0" applyFont="1" applyFill="1" applyBorder="1" applyAlignment="1" applyProtection="1">
      <alignment horizontal="center"/>
      <protection hidden="1"/>
    </xf>
    <xf numFmtId="0" fontId="124" fillId="11" borderId="129"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3" xfId="0" applyFont="1" applyFill="1" applyBorder="1" applyAlignment="1" applyProtection="1">
      <alignment horizontal="center"/>
      <protection hidden="1"/>
    </xf>
    <xf numFmtId="0" fontId="155" fillId="11" borderId="114" xfId="0" applyFont="1" applyFill="1" applyBorder="1" applyAlignment="1" applyProtection="1">
      <alignment horizontal="center"/>
      <protection hidden="1"/>
    </xf>
    <xf numFmtId="0" fontId="155" fillId="11" borderId="115"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6"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5"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0" fillId="16" borderId="59" xfId="0" applyFont="1" applyFill="1" applyBorder="1" applyAlignment="1" applyProtection="1">
      <alignment horizontal="left"/>
      <protection hidden="1"/>
    </xf>
    <xf numFmtId="0" fontId="240"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38" fontId="61" fillId="30" borderId="136" xfId="0" applyNumberFormat="1" applyFont="1" applyFill="1" applyBorder="1" applyAlignment="1" applyProtection="1">
      <alignment horizontal="center"/>
      <protection hidden="1"/>
    </xf>
    <xf numFmtId="38" fontId="61" fillId="30" borderId="137" xfId="0" applyNumberFormat="1" applyFont="1" applyFill="1" applyBorder="1" applyAlignment="1" applyProtection="1">
      <alignment horizontal="center"/>
      <protection hidden="1"/>
    </xf>
    <xf numFmtId="38" fontId="61" fillId="30" borderId="138" xfId="0" applyNumberFormat="1" applyFont="1" applyFill="1" applyBorder="1" applyAlignment="1" applyProtection="1">
      <alignment horizontal="center"/>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5" xfId="0" applyFont="1" applyFill="1" applyBorder="1" applyAlignment="1" applyProtection="1">
      <alignment horizontal="left" vertical="top" wrapText="1"/>
      <protection hidden="1"/>
    </xf>
    <xf numFmtId="3" fontId="198"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3"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9" fillId="2" borderId="0" xfId="1" applyFont="1" applyFill="1" applyBorder="1" applyAlignment="1" applyProtection="1">
      <alignment horizontal="left"/>
      <protection hidden="1"/>
    </xf>
    <xf numFmtId="0" fontId="124" fillId="15" borderId="158" xfId="3" applyFont="1" applyFill="1" applyBorder="1" applyAlignment="1" applyProtection="1">
      <alignment horizontal="center" vertical="center"/>
      <protection hidden="1"/>
    </xf>
    <xf numFmtId="0" fontId="124" fillId="15" borderId="159" xfId="3" applyFont="1" applyFill="1" applyBorder="1" applyAlignment="1" applyProtection="1">
      <alignment horizontal="center" vertical="center"/>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9" xfId="0" applyFont="1" applyFill="1" applyBorder="1" applyAlignment="1" applyProtection="1">
      <alignment horizontal="center" vertical="center" wrapText="1"/>
      <protection hidden="1"/>
    </xf>
    <xf numFmtId="0" fontId="124" fillId="15" borderId="157" xfId="0" applyFont="1" applyFill="1" applyBorder="1" applyAlignment="1" applyProtection="1">
      <alignment horizontal="center" vertical="center" wrapText="1"/>
      <protection hidden="1"/>
    </xf>
    <xf numFmtId="0" fontId="124" fillId="15" borderId="150" xfId="0" applyFont="1" applyFill="1" applyBorder="1" applyAlignment="1" applyProtection="1">
      <alignment horizontal="center" vertical="center" wrapText="1"/>
      <protection hidden="1"/>
    </xf>
    <xf numFmtId="0" fontId="124" fillId="15" borderId="148"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39" xfId="0" applyFont="1" applyFill="1" applyBorder="1" applyAlignment="1" applyProtection="1">
      <alignment horizontal="left"/>
      <protection hidden="1"/>
    </xf>
    <xf numFmtId="0" fontId="169" fillId="9" borderId="151" xfId="0" applyFont="1" applyFill="1" applyBorder="1" applyAlignment="1" applyProtection="1">
      <alignment horizontal="left"/>
      <protection hidden="1"/>
    </xf>
    <xf numFmtId="164" fontId="114" fillId="16" borderId="152" xfId="1" applyFont="1" applyFill="1" applyBorder="1" applyAlignment="1" applyProtection="1">
      <alignment horizontal="center"/>
      <protection hidden="1"/>
    </xf>
    <xf numFmtId="164" fontId="114" fillId="16" borderId="153" xfId="1" applyFont="1" applyFill="1" applyBorder="1" applyAlignment="1" applyProtection="1">
      <alignment horizontal="center"/>
      <protection hidden="1"/>
    </xf>
    <xf numFmtId="0" fontId="47" fillId="9" borderId="136" xfId="0" applyFont="1" applyFill="1" applyBorder="1" applyAlignment="1" applyProtection="1">
      <alignment horizontal="left"/>
      <protection hidden="1"/>
    </xf>
    <xf numFmtId="0" fontId="47" fillId="9" borderId="138" xfId="0" applyFont="1" applyFill="1" applyBorder="1" applyAlignment="1" applyProtection="1">
      <alignment horizontal="left"/>
      <protection hidden="1"/>
    </xf>
    <xf numFmtId="0" fontId="220" fillId="2" borderId="148" xfId="0" applyFont="1" applyFill="1" applyBorder="1" applyAlignment="1" applyProtection="1">
      <alignment horizontal="left" vertical="center"/>
      <protection hidden="1"/>
    </xf>
    <xf numFmtId="0" fontId="220"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48" xfId="0" applyFont="1" applyFill="1" applyBorder="1" applyAlignment="1" applyProtection="1">
      <alignment horizontal="left" vertical="center"/>
      <protection hidden="1"/>
    </xf>
    <xf numFmtId="0" fontId="180" fillId="2" borderId="154"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39" fillId="16" borderId="155" xfId="0" applyFont="1" applyFill="1" applyBorder="1" applyAlignment="1" applyProtection="1">
      <alignment horizontal="right"/>
      <protection hidden="1"/>
    </xf>
    <xf numFmtId="0" fontId="239" fillId="16" borderId="156" xfId="0" applyFont="1" applyFill="1" applyBorder="1" applyAlignment="1" applyProtection="1">
      <alignment horizontal="right"/>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164" fontId="96" fillId="2" borderId="0" xfId="1" applyFont="1" applyFill="1" applyBorder="1" applyAlignment="1" applyProtection="1">
      <alignment horizontal="left"/>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43" xfId="0" applyFont="1" applyFill="1" applyBorder="1" applyAlignment="1" applyProtection="1">
      <alignment horizontal="center"/>
      <protection hidden="1"/>
    </xf>
    <xf numFmtId="0" fontId="146" fillId="3" borderId="144" xfId="0" applyFont="1" applyFill="1" applyBorder="1" applyAlignment="1" applyProtection="1">
      <alignment horizontal="center"/>
      <protection hidden="1"/>
    </xf>
    <xf numFmtId="0" fontId="88" fillId="16" borderId="136" xfId="0" applyFont="1" applyFill="1" applyBorder="1" applyAlignment="1" applyProtection="1">
      <alignment horizontal="center" vertical="center"/>
      <protection hidden="1"/>
    </xf>
    <xf numFmtId="0" fontId="88" fillId="16" borderId="137" xfId="0" applyFont="1" applyFill="1" applyBorder="1" applyAlignment="1" applyProtection="1">
      <alignment horizontal="center" vertical="center"/>
      <protection hidden="1"/>
    </xf>
    <xf numFmtId="0" fontId="88" fillId="16" borderId="138"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39" xfId="0" applyNumberFormat="1" applyFont="1" applyFill="1" applyBorder="1" applyAlignment="1" applyProtection="1">
      <alignment horizontal="left"/>
      <protection hidden="1"/>
    </xf>
    <xf numFmtId="0" fontId="140" fillId="16" borderId="145" xfId="0" applyFont="1" applyFill="1" applyBorder="1" applyAlignment="1" applyProtection="1">
      <alignment horizontal="left"/>
      <protection hidden="1"/>
    </xf>
    <xf numFmtId="0" fontId="72" fillId="2" borderId="136" xfId="0" applyFont="1" applyFill="1" applyBorder="1" applyAlignment="1" applyProtection="1">
      <alignment horizontal="left"/>
      <protection hidden="1"/>
    </xf>
    <xf numFmtId="0" fontId="72" fillId="2" borderId="138"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46" xfId="0" applyFont="1" applyFill="1" applyBorder="1" applyAlignment="1" applyProtection="1">
      <alignment horizontal="left"/>
      <protection hidden="1"/>
    </xf>
    <xf numFmtId="0" fontId="169" fillId="9" borderId="147"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36" xfId="0" applyFont="1" applyFill="1" applyBorder="1" applyAlignment="1" applyProtection="1">
      <alignment horizontal="left" vertical="center"/>
      <protection hidden="1"/>
    </xf>
    <xf numFmtId="0" fontId="55" fillId="9" borderId="145" xfId="0" applyFont="1" applyFill="1" applyBorder="1" applyAlignment="1" applyProtection="1">
      <alignment horizontal="left" vertical="center"/>
      <protection hidden="1"/>
    </xf>
    <xf numFmtId="0" fontId="55" fillId="9" borderId="136" xfId="0" applyFont="1" applyFill="1" applyBorder="1" applyAlignment="1" applyProtection="1">
      <alignment horizontal="left"/>
      <protection hidden="1"/>
    </xf>
    <xf numFmtId="0" fontId="55" fillId="9" borderId="137" xfId="0" applyFont="1" applyFill="1" applyBorder="1" applyAlignment="1" applyProtection="1">
      <alignment horizontal="left"/>
      <protection hidden="1"/>
    </xf>
    <xf numFmtId="0" fontId="55" fillId="9" borderId="138" xfId="0" applyFont="1" applyFill="1" applyBorder="1" applyAlignment="1" applyProtection="1">
      <alignment horizontal="left"/>
      <protection hidden="1"/>
    </xf>
    <xf numFmtId="0" fontId="78" fillId="9" borderId="136" xfId="0" applyFont="1" applyFill="1" applyBorder="1" applyAlignment="1" applyProtection="1">
      <alignment horizontal="left"/>
      <protection hidden="1"/>
    </xf>
    <xf numFmtId="0" fontId="78" fillId="9" borderId="137" xfId="0" applyFont="1" applyFill="1" applyBorder="1" applyAlignment="1" applyProtection="1">
      <alignment horizontal="left"/>
      <protection hidden="1"/>
    </xf>
    <xf numFmtId="0" fontId="78" fillId="9" borderId="138" xfId="0" applyFont="1" applyFill="1" applyBorder="1" applyAlignment="1" applyProtection="1">
      <alignment horizontal="left"/>
      <protection hidden="1"/>
    </xf>
    <xf numFmtId="0" fontId="76" fillId="2" borderId="139" xfId="0" applyFont="1" applyFill="1" applyBorder="1" applyAlignment="1" applyProtection="1">
      <alignment horizontal="left"/>
      <protection hidden="1"/>
    </xf>
    <xf numFmtId="0" fontId="76" fillId="2" borderId="140" xfId="0" applyFont="1" applyFill="1" applyBorder="1" applyAlignment="1" applyProtection="1">
      <alignment horizontal="left"/>
      <protection hidden="1"/>
    </xf>
    <xf numFmtId="0" fontId="45" fillId="16" borderId="136" xfId="0" applyFont="1" applyFill="1" applyBorder="1" applyAlignment="1" applyProtection="1">
      <alignment horizontal="left"/>
      <protection hidden="1"/>
    </xf>
    <xf numFmtId="0" fontId="45" fillId="16" borderId="138"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1" xfId="0" applyFont="1" applyFill="1" applyBorder="1" applyAlignment="1" applyProtection="1">
      <alignment horizontal="left"/>
      <protection hidden="1"/>
    </xf>
    <xf numFmtId="0" fontId="45" fillId="9" borderId="142" xfId="0" applyFont="1" applyFill="1" applyBorder="1" applyAlignment="1" applyProtection="1">
      <alignment horizontal="left"/>
      <protection hidden="1"/>
    </xf>
    <xf numFmtId="0" fontId="13" fillId="18" borderId="6" xfId="0" applyFont="1" applyFill="1" applyBorder="1" applyAlignment="1">
      <alignment horizontal="center" vertical="center"/>
    </xf>
    <xf numFmtId="0" fontId="100" fillId="4" borderId="109" xfId="4"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100" fillId="4" borderId="111" xfId="4" applyFont="1" applyFill="1" applyBorder="1" applyAlignment="1" applyProtection="1">
      <alignment horizontal="left"/>
      <protection hidden="1"/>
    </xf>
    <xf numFmtId="0" fontId="54" fillId="9" borderId="113" xfId="4" applyFont="1" applyFill="1" applyBorder="1" applyAlignment="1" applyProtection="1">
      <alignment horizontal="center"/>
      <protection hidden="1"/>
    </xf>
    <xf numFmtId="0" fontId="54" fillId="9" borderId="114" xfId="4" applyFont="1" applyFill="1" applyBorder="1" applyAlignment="1" applyProtection="1">
      <alignment horizontal="center"/>
      <protection hidden="1"/>
    </xf>
    <xf numFmtId="0" fontId="54" fillId="9" borderId="115" xfId="4" applyFont="1" applyFill="1" applyBorder="1" applyAlignment="1" applyProtection="1">
      <alignment horizontal="center"/>
      <protection hidden="1"/>
    </xf>
    <xf numFmtId="174" fontId="68" fillId="0" borderId="112"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51" fillId="9" borderId="129"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30"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31" xfId="4" applyFont="1" applyFill="1" applyBorder="1" applyAlignment="1" applyProtection="1">
      <alignment horizontal="center" vertical="center" wrapText="1"/>
      <protection hidden="1"/>
    </xf>
    <xf numFmtId="173" fontId="38" fillId="6" borderId="126" xfId="4" applyNumberFormat="1" applyFont="1" applyFill="1" applyBorder="1" applyAlignment="1" applyProtection="1">
      <alignment horizontal="center"/>
      <protection hidden="1"/>
    </xf>
    <xf numFmtId="173" fontId="38" fillId="6" borderId="127" xfId="4" applyNumberFormat="1" applyFont="1" applyFill="1" applyBorder="1" applyAlignment="1" applyProtection="1">
      <alignment horizontal="center"/>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3" xfId="4" applyNumberFormat="1" applyFont="1" applyFill="1" applyBorder="1" applyAlignment="1" applyProtection="1">
      <alignment horizontal="right"/>
      <protection hidden="1"/>
    </xf>
    <xf numFmtId="3" fontId="6" fillId="15" borderId="125" xfId="4" applyNumberFormat="1" applyFont="1" applyFill="1" applyBorder="1" applyAlignment="1" applyProtection="1">
      <alignment horizontal="right"/>
      <protection hidden="1"/>
    </xf>
    <xf numFmtId="3" fontId="3" fillId="6" borderId="126" xfId="4" applyNumberFormat="1" applyFont="1" applyFill="1" applyBorder="1" applyAlignment="1" applyProtection="1">
      <alignment horizontal="center"/>
      <protection hidden="1"/>
    </xf>
    <xf numFmtId="3" fontId="3" fillId="6" borderId="128" xfId="4" applyNumberFormat="1" applyFont="1" applyFill="1" applyBorder="1" applyAlignment="1" applyProtection="1">
      <alignment horizontal="center"/>
      <protection hidden="1"/>
    </xf>
    <xf numFmtId="3" fontId="3" fillId="6" borderId="127" xfId="4" applyNumberFormat="1" applyFont="1" applyFill="1" applyBorder="1" applyAlignment="1" applyProtection="1">
      <alignment horizontal="center"/>
      <protection hidden="1"/>
    </xf>
    <xf numFmtId="0" fontId="2" fillId="2" borderId="0" xfId="4" applyFont="1" applyFill="1" applyAlignment="1" applyProtection="1">
      <alignment horizontal="left" vertical="top" wrapText="1"/>
      <protection hidden="1"/>
    </xf>
    <xf numFmtId="0" fontId="3" fillId="6" borderId="126" xfId="4" applyFont="1" applyFill="1" applyBorder="1" applyAlignment="1" applyProtection="1">
      <alignment horizontal="center"/>
      <protection hidden="1"/>
    </xf>
    <xf numFmtId="0" fontId="3" fillId="6" borderId="127" xfId="4"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0" fontId="11" fillId="5" borderId="121" xfId="4" applyFont="1" applyFill="1" applyBorder="1" applyAlignment="1" applyProtection="1">
      <alignment horizontal="left"/>
      <protection hidden="1"/>
    </xf>
    <xf numFmtId="0" fontId="11" fillId="5" borderId="122" xfId="4" applyFont="1" applyFill="1" applyBorder="1" applyAlignment="1" applyProtection="1">
      <alignment horizontal="left"/>
      <protection hidden="1"/>
    </xf>
    <xf numFmtId="0" fontId="11" fillId="5" borderId="132" xfId="4" applyFont="1" applyFill="1" applyBorder="1" applyAlignment="1" applyProtection="1">
      <alignment horizontal="left"/>
      <protection hidden="1"/>
    </xf>
    <xf numFmtId="0" fontId="11" fillId="5" borderId="133" xfId="4" applyFont="1" applyFill="1" applyBorder="1" applyAlignment="1" applyProtection="1">
      <alignment horizontal="left"/>
      <protection hidden="1"/>
    </xf>
    <xf numFmtId="0" fontId="2" fillId="5" borderId="123" xfId="4" applyFont="1" applyFill="1" applyBorder="1" applyAlignment="1" applyProtection="1">
      <alignment horizontal="center"/>
      <protection hidden="1"/>
    </xf>
    <xf numFmtId="0" fontId="2" fillId="5" borderId="124" xfId="4" applyFont="1" applyFill="1" applyBorder="1" applyAlignment="1" applyProtection="1">
      <alignment horizontal="center"/>
      <protection hidden="1"/>
    </xf>
    <xf numFmtId="0" fontId="2" fillId="5" borderId="125" xfId="4" applyFont="1" applyFill="1" applyBorder="1" applyAlignment="1" applyProtection="1">
      <alignment horizontal="center"/>
      <protection hidden="1"/>
    </xf>
    <xf numFmtId="0" fontId="2" fillId="5" borderId="134" xfId="4" applyFont="1" applyFill="1" applyBorder="1" applyAlignment="1" applyProtection="1">
      <alignment horizontal="center"/>
      <protection hidden="1"/>
    </xf>
    <xf numFmtId="0" fontId="50" fillId="5" borderId="120"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0" fontId="63" fillId="2" borderId="0" xfId="4" applyFont="1" applyFill="1" applyAlignment="1" applyProtection="1">
      <alignment horizontal="center" wrapText="1"/>
      <protection hidden="1"/>
    </xf>
    <xf numFmtId="0" fontId="35" fillId="3" borderId="118" xfId="4" applyFont="1" applyFill="1" applyBorder="1" applyAlignment="1" applyProtection="1">
      <alignment horizontal="left"/>
      <protection hidden="1"/>
    </xf>
    <xf numFmtId="0" fontId="35" fillId="3" borderId="119" xfId="4" applyFont="1" applyFill="1" applyBorder="1" applyAlignment="1" applyProtection="1">
      <alignment horizontal="left"/>
      <protection hidden="1"/>
    </xf>
    <xf numFmtId="0" fontId="11" fillId="5" borderId="116" xfId="4" applyFont="1" applyFill="1" applyBorder="1" applyAlignment="1" applyProtection="1">
      <alignment horizontal="left"/>
      <protection hidden="1"/>
    </xf>
    <xf numFmtId="0" fontId="11" fillId="5" borderId="117" xfId="4" applyFont="1" applyFill="1" applyBorder="1" applyAlignment="1" applyProtection="1">
      <alignment horizontal="left"/>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5" xfId="4" applyFont="1" applyFill="1" applyBorder="1" applyAlignment="1" applyProtection="1">
      <alignment horizontal="center" vertical="top"/>
      <protection hidden="1"/>
    </xf>
    <xf numFmtId="0" fontId="124" fillId="11" borderId="129"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3" xfId="4" applyFont="1" applyFill="1" applyBorder="1" applyAlignment="1" applyProtection="1">
      <alignment horizontal="center"/>
      <protection hidden="1"/>
    </xf>
    <xf numFmtId="0" fontId="155" fillId="11" borderId="114" xfId="4" applyFont="1" applyFill="1" applyBorder="1" applyAlignment="1" applyProtection="1">
      <alignment horizontal="center"/>
      <protection hidden="1"/>
    </xf>
    <xf numFmtId="0" fontId="155" fillId="11" borderId="115" xfId="4" applyFont="1" applyFill="1" applyBorder="1" applyAlignment="1" applyProtection="1">
      <alignment horizontal="center"/>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6"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171" fontId="46" fillId="2" borderId="0" xfId="0" applyNumberFormat="1" applyFont="1" applyFill="1" applyBorder="1" applyAlignment="1" applyProtection="1">
      <alignment horizontal="justify" vertical="top" wrapText="1"/>
      <protection hidden="1"/>
    </xf>
    <xf numFmtId="171" fontId="46" fillId="2" borderId="0" xfId="0" applyNumberFormat="1" applyFont="1" applyFill="1" applyBorder="1" applyAlignment="1" applyProtection="1">
      <alignment horizontal="justify" vertical="top"/>
      <protection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60" xfId="0" applyFont="1" applyFill="1" applyBorder="1" applyAlignment="1" applyProtection="1">
      <alignment horizontal="left" vertical="center" shrinkToFit="1"/>
      <protection locked="0" hidden="1"/>
    </xf>
    <xf numFmtId="0" fontId="66" fillId="19" borderId="161" xfId="0" applyFont="1" applyFill="1" applyBorder="1" applyAlignment="1" applyProtection="1">
      <alignment horizontal="left" vertical="center" shrinkToFit="1"/>
      <protection locked="0" hidden="1"/>
    </xf>
    <xf numFmtId="0" fontId="66" fillId="19" borderId="162" xfId="0" applyFont="1" applyFill="1" applyBorder="1" applyAlignment="1" applyProtection="1">
      <alignment horizontal="left" vertical="center" shrinkToFit="1"/>
      <protection locked="0" hidden="1"/>
    </xf>
    <xf numFmtId="0" fontId="98"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4" fontId="48" fillId="2" borderId="0" xfId="0" applyNumberFormat="1" applyFont="1" applyFill="1" applyBorder="1" applyAlignment="1" applyProtection="1">
      <alignment horizontal="right" vertical="top"/>
      <protection hidden="1"/>
    </xf>
    <xf numFmtId="0" fontId="193" fillId="2" borderId="0" xfId="0" applyFont="1" applyFill="1" applyBorder="1" applyAlignment="1" applyProtection="1">
      <alignment horizontal="left" vertical="top" wrapText="1"/>
      <protection hidden="1"/>
    </xf>
    <xf numFmtId="0" fontId="239" fillId="2" borderId="0" xfId="0" applyFont="1" applyFill="1" applyBorder="1" applyAlignment="1" applyProtection="1">
      <alignment horizontal="left" vertical="top" wrapText="1"/>
      <protection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8" fillId="18" borderId="167" xfId="0" applyFont="1" applyFill="1" applyBorder="1" applyAlignment="1" applyProtection="1">
      <alignment horizontal="left" vertical="center" shrinkToFit="1"/>
      <protection hidden="1"/>
    </xf>
    <xf numFmtId="0" fontId="238" fillId="18" borderId="122" xfId="0" applyFont="1" applyFill="1" applyBorder="1" applyAlignment="1" applyProtection="1">
      <alignment horizontal="left" vertical="center" shrinkToFit="1"/>
      <protection hidden="1"/>
    </xf>
    <xf numFmtId="0" fontId="238" fillId="18" borderId="168" xfId="0" applyFont="1" applyFill="1" applyBorder="1" applyAlignment="1" applyProtection="1">
      <alignment horizontal="left" vertical="center" shrinkToFit="1"/>
      <protection hidden="1"/>
    </xf>
    <xf numFmtId="0" fontId="46" fillId="2" borderId="0" xfId="4" applyFont="1" applyFill="1" applyBorder="1" applyAlignment="1" applyProtection="1">
      <alignment horizontal="left" vertical="top" wrapText="1"/>
      <protection hidden="1"/>
    </xf>
    <xf numFmtId="0" fontId="0" fillId="2" borderId="0" xfId="0" applyFill="1" applyBorder="1" applyAlignment="1" applyProtection="1">
      <alignment horizontal="left"/>
      <protection hidden="1"/>
    </xf>
    <xf numFmtId="0" fontId="71" fillId="19" borderId="160" xfId="0" applyFont="1" applyFill="1" applyBorder="1" applyAlignment="1" applyProtection="1">
      <alignment horizontal="left" vertical="center"/>
      <protection locked="0" hidden="1"/>
    </xf>
    <xf numFmtId="0" fontId="71" fillId="19" borderId="162" xfId="0" applyFont="1" applyFill="1" applyBorder="1" applyAlignment="1" applyProtection="1">
      <alignment horizontal="left" vertical="center"/>
      <protection locked="0" hidden="1"/>
    </xf>
    <xf numFmtId="3" fontId="191" fillId="18" borderId="163" xfId="0" applyNumberFormat="1" applyFont="1" applyFill="1" applyBorder="1" applyAlignment="1" applyProtection="1">
      <alignment horizontal="right" vertical="center"/>
      <protection locked="0" hidden="1"/>
    </xf>
    <xf numFmtId="3" fontId="191" fillId="18" borderId="164" xfId="0" applyNumberFormat="1" applyFont="1" applyFill="1" applyBorder="1" applyAlignment="1" applyProtection="1">
      <alignment horizontal="right" vertical="center"/>
      <protection locked="0" hidden="1"/>
    </xf>
    <xf numFmtId="3" fontId="191" fillId="18" borderId="165" xfId="0" applyNumberFormat="1" applyFont="1" applyFill="1" applyBorder="1" applyAlignment="1" applyProtection="1">
      <alignment horizontal="right" vertical="center"/>
      <protection locked="0" hidden="1"/>
    </xf>
    <xf numFmtId="3" fontId="191" fillId="18" borderId="166" xfId="0" applyNumberFormat="1" applyFont="1" applyFill="1" applyBorder="1" applyAlignment="1" applyProtection="1">
      <alignment horizontal="right" vertical="center"/>
      <protection locked="0" hidden="1"/>
    </xf>
    <xf numFmtId="0" fontId="201"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71" fillId="19" borderId="161" xfId="0" applyFont="1" applyFill="1" applyBorder="1" applyAlignment="1" applyProtection="1">
      <alignment horizontal="left" vertical="center"/>
      <protection locked="0" hidden="1"/>
    </xf>
    <xf numFmtId="0" fontId="241" fillId="2" borderId="0" xfId="0" applyFont="1" applyFill="1" applyBorder="1" applyAlignment="1" applyProtection="1">
      <alignment horizontal="center" vertical="center" wrapText="1"/>
      <protection hidden="1"/>
    </xf>
    <xf numFmtId="0" fontId="242" fillId="2" borderId="0" xfId="4" applyFont="1" applyFill="1" applyBorder="1" applyAlignment="1" applyProtection="1">
      <alignment horizontal="center" vertical="center" wrapText="1"/>
      <protection hidden="1"/>
    </xf>
    <xf numFmtId="0" fontId="242" fillId="2" borderId="5" xfId="4" applyFont="1" applyFill="1" applyBorder="1" applyAlignment="1" applyProtection="1">
      <alignment horizontal="center" vertical="center" wrapText="1"/>
      <protection hidden="1"/>
    </xf>
    <xf numFmtId="0" fontId="7" fillId="2" borderId="0" xfId="4" applyFill="1" applyBorder="1" applyAlignment="1" applyProtection="1">
      <alignment horizontal="left"/>
      <protection hidden="1"/>
    </xf>
    <xf numFmtId="0" fontId="69" fillId="2" borderId="6" xfId="4" applyFont="1" applyFill="1" applyBorder="1" applyAlignment="1" applyProtection="1">
      <alignment horizontal="left" wrapText="1"/>
      <protection hidden="1"/>
    </xf>
    <xf numFmtId="0" fontId="98" fillId="2" borderId="0" xfId="4" applyFont="1" applyFill="1" applyBorder="1" applyAlignment="1" applyProtection="1">
      <alignment horizontal="left"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3" fillId="2" borderId="0" xfId="4" applyFont="1" applyFill="1" applyBorder="1" applyAlignment="1" applyProtection="1">
      <alignment horizontal="left" vertical="center" wrapText="1"/>
      <protection hidden="1"/>
    </xf>
    <xf numFmtId="0" fontId="239"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238" fillId="19" borderId="167" xfId="4" applyFont="1" applyFill="1" applyBorder="1" applyAlignment="1" applyProtection="1">
      <alignment horizontal="left" vertical="center" shrinkToFit="1"/>
      <protection hidden="1"/>
    </xf>
    <xf numFmtId="0" fontId="238" fillId="19" borderId="122" xfId="4" applyFont="1" applyFill="1" applyBorder="1" applyAlignment="1" applyProtection="1">
      <alignment horizontal="left" vertical="center" shrinkToFit="1"/>
      <protection hidden="1"/>
    </xf>
    <xf numFmtId="0" fontId="238" fillId="19" borderId="168" xfId="4" applyFont="1" applyFill="1" applyBorder="1" applyAlignment="1" applyProtection="1">
      <alignment horizontal="left" vertical="center" shrinkToFit="1"/>
      <protection hidden="1"/>
    </xf>
    <xf numFmtId="0" fontId="71" fillId="19" borderId="160" xfId="4" applyFont="1" applyFill="1" applyBorder="1" applyAlignment="1" applyProtection="1">
      <alignment horizontal="left" vertical="center"/>
      <protection locked="0" hidden="1"/>
    </xf>
    <xf numFmtId="0" fontId="71" fillId="19" borderId="162" xfId="4" applyFont="1" applyFill="1" applyBorder="1" applyAlignment="1" applyProtection="1">
      <alignment horizontal="left" vertical="center"/>
      <protection locked="0" hidden="1"/>
    </xf>
    <xf numFmtId="4" fontId="191" fillId="19" borderId="163" xfId="4" applyNumberFormat="1" applyFont="1" applyFill="1" applyBorder="1" applyAlignment="1" applyProtection="1">
      <alignment horizontal="right" vertical="center"/>
      <protection locked="0" hidden="1"/>
    </xf>
    <xf numFmtId="4" fontId="191" fillId="19" borderId="164" xfId="4" applyNumberFormat="1" applyFont="1" applyFill="1" applyBorder="1" applyAlignment="1" applyProtection="1">
      <alignment horizontal="right" vertical="center"/>
      <protection locked="0" hidden="1"/>
    </xf>
    <xf numFmtId="4" fontId="191" fillId="19" borderId="165" xfId="4" applyNumberFormat="1" applyFont="1" applyFill="1" applyBorder="1" applyAlignment="1" applyProtection="1">
      <alignment horizontal="right" vertical="center"/>
      <protection locked="0" hidden="1"/>
    </xf>
    <xf numFmtId="4" fontId="191" fillId="19" borderId="166"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1" fillId="2" borderId="0" xfId="4" applyFont="1" applyFill="1" applyAlignment="1" applyProtection="1">
      <alignment horizontal="justify" vertical="top" wrapText="1"/>
      <protection hidden="1"/>
    </xf>
    <xf numFmtId="0" fontId="66" fillId="19" borderId="160" xfId="4" applyFont="1" applyFill="1" applyBorder="1" applyAlignment="1" applyProtection="1">
      <alignment horizontal="left" vertical="center" shrinkToFit="1"/>
      <protection locked="0" hidden="1"/>
    </xf>
    <xf numFmtId="0" fontId="66" fillId="19" borderId="161" xfId="4" applyFont="1" applyFill="1" applyBorder="1" applyAlignment="1" applyProtection="1">
      <alignment horizontal="left" vertical="center" shrinkToFit="1"/>
      <protection locked="0" hidden="1"/>
    </xf>
    <xf numFmtId="0" fontId="66" fillId="19" borderId="162" xfId="4" applyFont="1" applyFill="1" applyBorder="1" applyAlignment="1" applyProtection="1">
      <alignment horizontal="left" vertical="center" shrinkToFit="1"/>
      <protection locked="0" hidden="1"/>
    </xf>
    <xf numFmtId="0" fontId="71" fillId="19" borderId="7"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51" fillId="0" borderId="2" xfId="4" applyFont="1" applyBorder="1" applyAlignment="1" applyProtection="1">
      <alignment horizontal="right" vertical="top"/>
      <protection hidden="1"/>
    </xf>
    <xf numFmtId="0" fontId="51" fillId="0" borderId="46" xfId="4" applyFont="1" applyBorder="1" applyAlignment="1" applyProtection="1">
      <alignment horizontal="right" vertical="top"/>
      <protection hidden="1"/>
    </xf>
    <xf numFmtId="0" fontId="70" fillId="0" borderId="0" xfId="4" applyFont="1" applyBorder="1" applyAlignment="1" applyProtection="1">
      <alignment horizontal="center" vertical="center"/>
      <protection hidden="1"/>
    </xf>
    <xf numFmtId="174" fontId="48" fillId="2" borderId="0" xfId="4" applyNumberFormat="1" applyFont="1" applyFill="1" applyBorder="1" applyAlignment="1" applyProtection="1">
      <alignment horizontal="right" vertical="top"/>
      <protection hidden="1"/>
    </xf>
    <xf numFmtId="0" fontId="48" fillId="16" borderId="0" xfId="4" applyFont="1" applyFill="1" applyBorder="1" applyAlignment="1" applyProtection="1">
      <alignment horizontal="left" vertical="center" shrinkToFit="1"/>
      <protection hidden="1"/>
    </xf>
    <xf numFmtId="0" fontId="48" fillId="2" borderId="5" xfId="4" applyFont="1" applyFill="1" applyBorder="1" applyAlignment="1" applyProtection="1">
      <alignment horizontal="left" vertical="center" shrinkToFit="1"/>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198" fillId="11" borderId="0" xfId="4" applyNumberFormat="1" applyFont="1" applyFill="1" applyAlignment="1" applyProtection="1">
      <alignment horizontal="left"/>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19" fillId="2" borderId="0" xfId="2" applyFont="1" applyFill="1" applyBorder="1" applyAlignment="1" applyProtection="1">
      <alignment horizontal="left"/>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5" xfId="4" applyFont="1" applyFill="1" applyBorder="1" applyAlignment="1" applyProtection="1">
      <alignment horizontal="left" vertical="top" wrapText="1"/>
      <protection hidden="1"/>
    </xf>
    <xf numFmtId="0" fontId="124" fillId="15" borderId="77" xfId="4" applyFont="1" applyFill="1" applyBorder="1" applyAlignment="1" applyProtection="1">
      <alignment horizontal="center" vertical="center" wrapText="1"/>
      <protection hidden="1"/>
    </xf>
    <xf numFmtId="0" fontId="124" fillId="15" borderId="149" xfId="4" applyFont="1" applyFill="1" applyBorder="1" applyAlignment="1" applyProtection="1">
      <alignment horizontal="center" vertical="center" wrapText="1"/>
      <protection hidden="1"/>
    </xf>
    <xf numFmtId="0" fontId="124" fillId="15" borderId="157" xfId="4" applyFont="1" applyFill="1" applyBorder="1" applyAlignment="1" applyProtection="1">
      <alignment horizontal="center" vertical="center" wrapText="1"/>
      <protection hidden="1"/>
    </xf>
    <xf numFmtId="0" fontId="124" fillId="15" borderId="150" xfId="4" applyFont="1" applyFill="1" applyBorder="1" applyAlignment="1" applyProtection="1">
      <alignment horizontal="center" vertical="center" wrapText="1"/>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240" fillId="16" borderId="59" xfId="4" applyFont="1" applyFill="1" applyBorder="1" applyAlignment="1" applyProtection="1">
      <alignment horizontal="left"/>
      <protection hidden="1"/>
    </xf>
    <xf numFmtId="0" fontId="240"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38" fontId="61" fillId="30" borderId="136" xfId="4" applyNumberFormat="1" applyFont="1" applyFill="1" applyBorder="1" applyAlignment="1" applyProtection="1">
      <alignment horizontal="center"/>
      <protection hidden="1"/>
    </xf>
    <xf numFmtId="38" fontId="61" fillId="30" borderId="137" xfId="4" applyNumberFormat="1" applyFont="1" applyFill="1" applyBorder="1" applyAlignment="1" applyProtection="1">
      <alignment horizontal="center"/>
      <protection hidden="1"/>
    </xf>
    <xf numFmtId="38" fontId="61" fillId="30" borderId="138"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47" fillId="2" borderId="76" xfId="4" applyFont="1" applyFill="1" applyBorder="1" applyAlignment="1" applyProtection="1">
      <alignment horizontal="left" vertical="center"/>
      <protection hidden="1"/>
    </xf>
    <xf numFmtId="164" fontId="114" fillId="16" borderId="152" xfId="2" applyFont="1" applyFill="1" applyBorder="1" applyAlignment="1" applyProtection="1">
      <alignment horizontal="center"/>
      <protection hidden="1"/>
    </xf>
    <xf numFmtId="164" fontId="114" fillId="16" borderId="153" xfId="2" applyFont="1" applyFill="1" applyBorder="1" applyAlignment="1" applyProtection="1">
      <alignment horizontal="center"/>
      <protection hidden="1"/>
    </xf>
    <xf numFmtId="0" fontId="220" fillId="2" borderId="148" xfId="4" applyFont="1" applyFill="1" applyBorder="1" applyAlignment="1" applyProtection="1">
      <alignment horizontal="left" vertical="center"/>
      <protection hidden="1"/>
    </xf>
    <xf numFmtId="0" fontId="220" fillId="2" borderId="0" xfId="4" applyFont="1" applyFill="1" applyBorder="1" applyAlignment="1" applyProtection="1">
      <alignment horizontal="left" vertical="center"/>
      <protection hidden="1"/>
    </xf>
    <xf numFmtId="0" fontId="180" fillId="2" borderId="148" xfId="4" applyFont="1" applyFill="1" applyBorder="1" applyAlignment="1" applyProtection="1">
      <alignment horizontal="left" vertical="center"/>
      <protection hidden="1"/>
    </xf>
    <xf numFmtId="0" fontId="180" fillId="2" borderId="154"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48"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0" fontId="45" fillId="9" borderId="141" xfId="4" applyFont="1" applyFill="1" applyBorder="1" applyAlignment="1" applyProtection="1">
      <alignment horizontal="left"/>
      <protection hidden="1"/>
    </xf>
    <xf numFmtId="0" fontId="45" fillId="9" borderId="142" xfId="4" applyFont="1" applyFill="1" applyBorder="1" applyAlignment="1" applyProtection="1">
      <alignment horizontal="left"/>
      <protection hidden="1"/>
    </xf>
    <xf numFmtId="0" fontId="239" fillId="16" borderId="155" xfId="4" applyFont="1" applyFill="1" applyBorder="1" applyAlignment="1" applyProtection="1">
      <alignment horizontal="right"/>
      <protection hidden="1"/>
    </xf>
    <xf numFmtId="0" fontId="239" fillId="16" borderId="156" xfId="4" applyFont="1" applyFill="1" applyBorder="1" applyAlignment="1" applyProtection="1">
      <alignment horizontal="right"/>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47" fillId="9" borderId="136" xfId="4" applyFont="1" applyFill="1" applyBorder="1" applyAlignment="1" applyProtection="1">
      <alignment horizontal="left"/>
      <protection hidden="1"/>
    </xf>
    <xf numFmtId="0" fontId="47" fillId="9" borderId="138" xfId="4" applyFont="1" applyFill="1" applyBorder="1" applyAlignment="1" applyProtection="1">
      <alignment horizontal="left"/>
      <protection hidden="1"/>
    </xf>
    <xf numFmtId="2" fontId="140" fillId="16" borderId="139" xfId="4" applyNumberFormat="1" applyFont="1" applyFill="1" applyBorder="1" applyAlignment="1" applyProtection="1">
      <alignment horizontal="left"/>
      <protection hidden="1"/>
    </xf>
    <xf numFmtId="0" fontId="140" fillId="16" borderId="145" xfId="4" applyFont="1" applyFill="1" applyBorder="1" applyAlignment="1" applyProtection="1">
      <alignment horizontal="left"/>
      <protection hidden="1"/>
    </xf>
    <xf numFmtId="0" fontId="45" fillId="16" borderId="136" xfId="4" applyFont="1" applyFill="1" applyBorder="1" applyAlignment="1" applyProtection="1">
      <alignment horizontal="left"/>
      <protection hidden="1"/>
    </xf>
    <xf numFmtId="0" fontId="45" fillId="16" borderId="138" xfId="4" applyFont="1" applyFill="1" applyBorder="1" applyAlignment="1" applyProtection="1">
      <alignment horizontal="left"/>
      <protection hidden="1"/>
    </xf>
    <xf numFmtId="0" fontId="88" fillId="16" borderId="136" xfId="4" applyFont="1" applyFill="1" applyBorder="1" applyAlignment="1" applyProtection="1">
      <alignment horizontal="center" vertical="center"/>
      <protection hidden="1"/>
    </xf>
    <xf numFmtId="0" fontId="88" fillId="16" borderId="137" xfId="4" applyFont="1" applyFill="1" applyBorder="1" applyAlignment="1" applyProtection="1">
      <alignment horizontal="center" vertical="center"/>
      <protection hidden="1"/>
    </xf>
    <xf numFmtId="0" fontId="88" fillId="16" borderId="138" xfId="4" applyFont="1" applyFill="1" applyBorder="1" applyAlignment="1" applyProtection="1">
      <alignment horizontal="center" vertical="center"/>
      <protection hidden="1"/>
    </xf>
    <xf numFmtId="0" fontId="78" fillId="9" borderId="136" xfId="4" applyFont="1" applyFill="1" applyBorder="1" applyAlignment="1" applyProtection="1">
      <alignment horizontal="left"/>
      <protection hidden="1"/>
    </xf>
    <xf numFmtId="0" fontId="78" fillId="9" borderId="137" xfId="4" applyFont="1" applyFill="1" applyBorder="1" applyAlignment="1" applyProtection="1">
      <alignment horizontal="left"/>
      <protection hidden="1"/>
    </xf>
    <xf numFmtId="0" fontId="78" fillId="9" borderId="138" xfId="4" applyFont="1" applyFill="1" applyBorder="1" applyAlignment="1" applyProtection="1">
      <alignment horizontal="left"/>
      <protection hidden="1"/>
    </xf>
    <xf numFmtId="0" fontId="76" fillId="2" borderId="139" xfId="4" applyFont="1" applyFill="1" applyBorder="1" applyAlignment="1" applyProtection="1">
      <alignment horizontal="left"/>
      <protection hidden="1"/>
    </xf>
    <xf numFmtId="0" fontId="76" fillId="2" borderId="140" xfId="4" applyFont="1" applyFill="1" applyBorder="1" applyAlignment="1" applyProtection="1">
      <alignment horizontal="left"/>
      <protection hidden="1"/>
    </xf>
    <xf numFmtId="0" fontId="169" fillId="9" borderId="146" xfId="4" applyFont="1" applyFill="1" applyBorder="1" applyAlignment="1" applyProtection="1">
      <alignment horizontal="left"/>
      <protection hidden="1"/>
    </xf>
    <xf numFmtId="0" fontId="169" fillId="9" borderId="147" xfId="4" applyFont="1" applyFill="1" applyBorder="1" applyAlignment="1" applyProtection="1">
      <alignment horizontal="left"/>
      <protection hidden="1"/>
    </xf>
    <xf numFmtId="0" fontId="169" fillId="9" borderId="139" xfId="4" applyFont="1" applyFill="1" applyBorder="1" applyAlignment="1" applyProtection="1">
      <alignment horizontal="left"/>
      <protection hidden="1"/>
    </xf>
    <xf numFmtId="0" fontId="169" fillId="9" borderId="151"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146" fillId="3" borderId="143" xfId="4" applyFont="1" applyFill="1" applyBorder="1" applyAlignment="1" applyProtection="1">
      <alignment horizontal="center"/>
      <protection hidden="1"/>
    </xf>
    <xf numFmtId="0" fontId="146" fillId="3" borderId="144" xfId="4" applyFont="1" applyFill="1" applyBorder="1" applyAlignment="1" applyProtection="1">
      <alignment horizontal="center"/>
      <protection hidden="1"/>
    </xf>
    <xf numFmtId="0" fontId="72" fillId="2" borderId="136" xfId="4" applyFont="1" applyFill="1" applyBorder="1" applyAlignment="1" applyProtection="1">
      <alignment horizontal="left"/>
      <protection hidden="1"/>
    </xf>
    <xf numFmtId="0" fontId="72" fillId="2" borderId="138"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36" xfId="4" applyFont="1" applyFill="1" applyBorder="1" applyAlignment="1" applyProtection="1">
      <alignment horizontal="left"/>
      <protection hidden="1"/>
    </xf>
    <xf numFmtId="0" fontId="55" fillId="9" borderId="137" xfId="4" applyFont="1" applyFill="1" applyBorder="1" applyAlignment="1" applyProtection="1">
      <alignment horizontal="left"/>
      <protection hidden="1"/>
    </xf>
    <xf numFmtId="0" fontId="55" fillId="9" borderId="138" xfId="4" applyFont="1" applyFill="1" applyBorder="1" applyAlignment="1" applyProtection="1">
      <alignment horizontal="left"/>
      <protection hidden="1"/>
    </xf>
    <xf numFmtId="0" fontId="55" fillId="9" borderId="136" xfId="4" applyFont="1" applyFill="1" applyBorder="1" applyAlignment="1" applyProtection="1">
      <alignment horizontal="left" vertical="center"/>
      <protection hidden="1"/>
    </xf>
    <xf numFmtId="0" fontId="55" fillId="9" borderId="145" xfId="4" applyFont="1" applyFill="1" applyBorder="1" applyAlignment="1" applyProtection="1">
      <alignment horizontal="left" vertical="center"/>
      <protection hidden="1"/>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4">
    <dxf>
      <font>
        <b/>
        <i val="0"/>
        <condense val="0"/>
        <extend val="0"/>
        <color indexed="14"/>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b/>
        <i val="0"/>
        <condense val="0"/>
        <extend val="0"/>
        <color indexed="14"/>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53" name="Rectangle 18">
          <a:extLst>
            <a:ext uri="{FF2B5EF4-FFF2-40B4-BE49-F238E27FC236}">
              <a16:creationId xmlns:a16="http://schemas.microsoft.com/office/drawing/2014/main" id="{E46876B7-5E77-4E73-B739-0C9B806C77E1}"/>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8CAB875F-A37F-405C-814B-0A0903F39EAF}"/>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B11880F4-FE1E-4219-ABC5-FAF2F4C8F4B9}"/>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62D98EBC-D776-4D54-AED5-BAC1087C6017}"/>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76339" name="AutoShape 4">
          <a:extLst>
            <a:ext uri="{FF2B5EF4-FFF2-40B4-BE49-F238E27FC236}">
              <a16:creationId xmlns:a16="http://schemas.microsoft.com/office/drawing/2014/main" id="{9DE8F5C0-983C-4330-868F-430D4C89F049}"/>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93D8E8F4-C05A-428A-A633-C54A9B3901BB}"/>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A0BC608C-B8FB-4FF5-813E-47FA502051C5}"/>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52418E4B-CAB9-446F-A9E7-F767033341C7}"/>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6E15358F-AA92-489E-A8FB-2FBCBB85FAEC}"/>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F67484B0-1683-4E2B-BFB8-6C5C8B2FBEDC}"/>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B491D006-29FE-4D90-9928-83887221972C}"/>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84008F56-3978-4565-847C-5F29D1A35001}"/>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9BBB1E03-269E-48C2-AB6F-0DDEA939C45B}"/>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3086E66F-27B1-4B07-AA6F-72444019D6D4}"/>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2AB058C7-D8AF-43F5-BDDE-87DD77BD2B19}"/>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32CD2ED8-95BC-4EDC-9563-2752B8BF2680}"/>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3CB95540-1CB6-453C-A1AC-6AFA4DD0364A}"/>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894D89B5-A9AC-4E29-9CC8-4CB7D5E9B2D9}"/>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20A13936-3883-483A-887A-28764F4C0A4C}"/>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73017928-CDF9-4E8B-83C6-256660DF1892}"/>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FA229883-C9D6-42EE-93E7-EE4A15AD46D4}"/>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56670CD9-168D-4E67-88B7-82A9C547EC96}"/>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7A2513BD-AFFE-42A4-8C07-9C1DEE35D466}"/>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222A5F57-23D2-4F55-B09E-323535D2C3FA}"/>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62F3C783-3B83-4457-85BB-4845B3B2DA86}"/>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F7A3DCEF-020A-4079-BFE5-EB3EDC69F1C7}"/>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E0CE94C7-4986-4C80-9775-8B3C17D890A4}"/>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A1790FC0-098B-49A8-AED4-D12D6957D399}"/>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99D0B517-23D9-4DF3-BF0C-0B37E306EEEF}"/>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98DD5619-9921-4445-A100-77CE76A54B09}"/>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2433E760-C2B6-4CFD-AAD3-953F850A2A3D}"/>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376471A8-0ACE-4199-AD8B-7804FD6A4328}"/>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F48CC1D7-6660-4D40-AE4B-8BCF8F7CE1FE}"/>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938F3D64-0415-490B-A803-DEDF1D99CD0C}"/>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37E819D3-7D21-44C9-B644-EB3AFFF30634}"/>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76370" name="AutoShape 66">
          <a:extLst>
            <a:ext uri="{FF2B5EF4-FFF2-40B4-BE49-F238E27FC236}">
              <a16:creationId xmlns:a16="http://schemas.microsoft.com/office/drawing/2014/main" id="{CD8D0603-40ED-453B-BC12-B12DE148A7A0}"/>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76371" name="AutoShape 67">
          <a:extLst>
            <a:ext uri="{FF2B5EF4-FFF2-40B4-BE49-F238E27FC236}">
              <a16:creationId xmlns:a16="http://schemas.microsoft.com/office/drawing/2014/main" id="{7A9EA92B-D370-4D36-A773-A5B23A4C89D0}"/>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955026CB-47AD-4CF4-B97E-3624518C422B}"/>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99758110-B075-48BA-BFCC-7C7BFAB86982}"/>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E20F9A6F-505C-4196-B53C-02A02CDBC134}"/>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35A02A27-030D-42BE-988A-B239FD9B6629}"/>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56E5C31F-847D-42C6-B652-E12366454440}"/>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A018E081-BEC9-4193-8BC3-A277D102E6F3}"/>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7638006E-717F-42BB-A593-E8E3E928ACD9}"/>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A51DB9EE-5AF8-4F8E-8D6A-D73C147FB6CF}"/>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78D92349-92EC-4437-9D4B-DE3248608022}"/>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7A7F5CDE-A444-426B-84E4-34F3591DB277}"/>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4FF6D860-397A-4770-B97E-1CC6C4D8B839}"/>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B1A793A4-EE1A-4CBF-9872-C73A4805AA5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F3B4E22D-5719-40FA-9FAB-82D3674BF4BF}"/>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790B4FBE-34EC-4795-8D41-586A6E1B82F3}"/>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7DF4C7F5-4EE1-4BC9-8366-F3349C3FB80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D9AA01E6-373A-4991-A29D-FE6618B91ED7}"/>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232463C0-22E4-4E5F-BB11-6B0E4F116050}"/>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BB557C34-6C23-4BBC-A87B-8D641F126889}"/>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9A5D5DC5-3932-46C0-AD12-13FE83274BAC}"/>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08A541C9-05F1-4BD8-98FC-9AA9051A1E27}"/>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1E671047-8D91-4BBF-AD91-4C7FCDE54C62}"/>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54570E85-298D-4F5F-99D8-8F6F2B6AAB9A}"/>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1939F7AD-8956-44FF-AFAC-D45ABE8A4B7A}"/>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3D07B2A2-76AD-4E44-A123-3D57EFAAAD77}"/>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9B582DFB-C6B7-4BE2-B512-F73C829D14B0}"/>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AF4F9190-EDB2-48DE-BE56-F3CBE3357A62}"/>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768F078F-9D3C-49F6-9D64-D70631E4397C}"/>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42479" name="Rectangle 18">
          <a:extLst>
            <a:ext uri="{FF2B5EF4-FFF2-40B4-BE49-F238E27FC236}">
              <a16:creationId xmlns:a16="http://schemas.microsoft.com/office/drawing/2014/main" id="{2E4FB7D9-2DE4-416E-B2EE-7B07E920A071}"/>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A87165A8-EF7B-4393-9EFE-84DDFD9635C3}"/>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80547813-6887-4FDF-BFF1-277A14EE049A}"/>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BB9E5105-3D4A-45DE-8F5D-937C7606E6EA}"/>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78387" name="AutoShape 4">
          <a:extLst>
            <a:ext uri="{FF2B5EF4-FFF2-40B4-BE49-F238E27FC236}">
              <a16:creationId xmlns:a16="http://schemas.microsoft.com/office/drawing/2014/main" id="{E738FF5A-4B3C-4D29-A26F-508031C827CC}"/>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60804019-8507-4155-B913-3F01D91D0859}"/>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1B7064BC-002D-45A1-81F7-C4BC086834B8}"/>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C826B7D4-E9C1-45C5-8F14-F7B42A367D70}"/>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FAEEB814-89C2-4C67-A71D-14A04D082006}"/>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1B5ACB6C-EF0E-4AC4-ADAD-948B2BA47853}"/>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4AAB7F36-48DC-4A6B-A182-E591A79E5879}"/>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252C1055-F800-4B8F-9DD2-9D89490E38F3}"/>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ADB9A9A1-1FB9-4DC7-940C-5CA2688D050B}"/>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54C3A813-CC87-4336-8C55-DC35B492E293}"/>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964DC4CB-FB9B-4405-8F7A-57B4DC74575C}"/>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0EC4BD82-1C24-4999-8843-72E713EB132F}"/>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5AE3E2A7-0CD0-4DE6-9F31-0C1DA945F880}"/>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841B81C1-B8D1-47FA-BAED-D9E80A17BF32}"/>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D00C20BF-42A3-4451-BBCE-7AA4758659FB}"/>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332A7536-42EF-43B1-AF72-F7C139304ABE}"/>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31575AC5-E8D4-4B45-905D-1295FA154C49}"/>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BB6B5FB2-A6E4-4CA9-9ACE-48EFCF433F95}"/>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FAC64CA2-47D8-4525-ADEF-0F1D00775EB2}"/>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0B7403E6-8817-4E74-8F79-BF14B5446034}"/>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DB07930A-DC2E-4834-B215-9EB5D82FCB71}"/>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2C0A6F10-914E-448B-BB40-25852FD3B503}"/>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0F7E5FAF-BF87-42DD-A024-72345A610740}"/>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AF47C6E3-DEB8-4591-993B-7DD4A047AEF5}"/>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452AE2BD-E504-43C7-B13B-36B82F2BAF4E}"/>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64BF9D80-EEF8-4B5A-88DF-7B5087B16C5C}"/>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FA39BD49-53CD-4124-B3C9-E6AE0983648E}"/>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C3AA0FE1-8CDB-4D53-ACE4-B0986B755342}"/>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B746FA52-D57A-4FDE-A22E-050BBBC9D7AB}"/>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1B356288-5926-4A11-AC15-A50345B2B1DD}"/>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35B6114C-959C-4BF8-A554-5AB84E15082B}"/>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78418" name="AutoShape 66">
          <a:extLst>
            <a:ext uri="{FF2B5EF4-FFF2-40B4-BE49-F238E27FC236}">
              <a16:creationId xmlns:a16="http://schemas.microsoft.com/office/drawing/2014/main" id="{8B652323-5988-4B8D-B3B4-98B088C9E0AA}"/>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78419" name="AutoShape 67">
          <a:extLst>
            <a:ext uri="{FF2B5EF4-FFF2-40B4-BE49-F238E27FC236}">
              <a16:creationId xmlns:a16="http://schemas.microsoft.com/office/drawing/2014/main" id="{9C8B20DB-5224-448E-AF9D-0BA276CD64AE}"/>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1C7FB5C5-762F-4D07-AED2-347946E1BD55}"/>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FF8B86FB-4074-4786-B05F-509850D4FE99}"/>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EA048164-B3F3-4126-8B0C-61756A780C44}"/>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1493DE89-BC07-4E56-B506-B48CD4E807B0}"/>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F2BC7697-70DD-4906-AD90-B7EB38972ACC}"/>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9F89D6F4-A8A3-4FED-AB64-F12A2F0FC37A}"/>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A4EEE004-C3C7-41E6-AB65-A5CDADD570C0}"/>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26F9644C-33AE-46C9-9E0C-8FDE65AA9822}"/>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602E453F-7D14-469D-83C6-5DF63D9E851C}"/>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220ADA54-F96E-4E70-B2FB-14E7E2AFA970}"/>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E3A65AEA-4575-434E-9D2C-C71F043EB18D}"/>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97F48E12-AFA6-451C-9ED2-05A0A1026AFD}"/>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E40A246E-0138-4122-A3DB-E1FAF790C75C}"/>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BB7FA5E5-A21A-479D-A085-6DC440815086}"/>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B9474E2E-5FFB-4F4A-9D60-91E107C31E7C}"/>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B0250E9B-54F2-4F5E-9B53-401168E44C47}"/>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275907</xdr:colOff>
      <xdr:row>53</xdr:row>
      <xdr:rowOff>256381</xdr:rowOff>
    </xdr:from>
    <xdr:to>
      <xdr:col>19</xdr:col>
      <xdr:colOff>323532</xdr:colOff>
      <xdr:row>54</xdr:row>
      <xdr:rowOff>174959</xdr:rowOff>
    </xdr:to>
    <xdr:sp macro="" textlink="">
      <xdr:nvSpPr>
        <xdr:cNvPr id="11265" name="Text Box 1">
          <a:extLst>
            <a:ext uri="{FF2B5EF4-FFF2-40B4-BE49-F238E27FC236}">
              <a16:creationId xmlns:a16="http://schemas.microsoft.com/office/drawing/2014/main" id="{126113B4-05BB-45E6-AC01-D442EDA9A2BF}"/>
            </a:ext>
          </a:extLst>
        </xdr:cNvPr>
        <xdr:cNvSpPr txBox="1">
          <a:spLocks noChangeArrowheads="1"/>
        </xdr:cNvSpPr>
      </xdr:nvSpPr>
      <xdr:spPr bwMode="auto">
        <a:xfrm>
          <a:off x="5393531" y="109762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381635</xdr:colOff>
      <xdr:row>7</xdr:row>
      <xdr:rowOff>57150</xdr:rowOff>
    </xdr:from>
    <xdr:to>
      <xdr:col>14</xdr:col>
      <xdr:colOff>495935</xdr:colOff>
      <xdr:row>8</xdr:row>
      <xdr:rowOff>125</xdr:rowOff>
    </xdr:to>
    <xdr:sp macro="" textlink="">
      <xdr:nvSpPr>
        <xdr:cNvPr id="11291" name="Text Box 27">
          <a:extLst>
            <a:ext uri="{FF2B5EF4-FFF2-40B4-BE49-F238E27FC236}">
              <a16:creationId xmlns:a16="http://schemas.microsoft.com/office/drawing/2014/main" id="{3626890A-494F-43B8-896D-81B347FA993C}"/>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12</xdr:row>
      <xdr:rowOff>38100</xdr:rowOff>
    </xdr:from>
    <xdr:to>
      <xdr:col>15</xdr:col>
      <xdr:colOff>38515</xdr:colOff>
      <xdr:row>13</xdr:row>
      <xdr:rowOff>33050</xdr:rowOff>
    </xdr:to>
    <xdr:sp macro="" textlink="">
      <xdr:nvSpPr>
        <xdr:cNvPr id="11292" name="Text Box 28">
          <a:extLst>
            <a:ext uri="{FF2B5EF4-FFF2-40B4-BE49-F238E27FC236}">
              <a16:creationId xmlns:a16="http://schemas.microsoft.com/office/drawing/2014/main" id="{E46FAC33-926D-4228-8880-B54275AEC02B}"/>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10</xdr:row>
      <xdr:rowOff>66675</xdr:rowOff>
    </xdr:from>
    <xdr:to>
      <xdr:col>14</xdr:col>
      <xdr:colOff>505460</xdr:colOff>
      <xdr:row>11</xdr:row>
      <xdr:rowOff>57490</xdr:rowOff>
    </xdr:to>
    <xdr:sp macro="" textlink="">
      <xdr:nvSpPr>
        <xdr:cNvPr id="11293" name="Text Box 29">
          <a:extLst>
            <a:ext uri="{FF2B5EF4-FFF2-40B4-BE49-F238E27FC236}">
              <a16:creationId xmlns:a16="http://schemas.microsoft.com/office/drawing/2014/main" id="{A52949A6-DB5F-461D-919B-5D8E83C1F225}"/>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11</xdr:row>
      <xdr:rowOff>57150</xdr:rowOff>
    </xdr:from>
    <xdr:to>
      <xdr:col>14</xdr:col>
      <xdr:colOff>492958</xdr:colOff>
      <xdr:row>12</xdr:row>
      <xdr:rowOff>125</xdr:rowOff>
    </xdr:to>
    <xdr:sp macro="" textlink="">
      <xdr:nvSpPr>
        <xdr:cNvPr id="11294" name="Text Box 30">
          <a:extLst>
            <a:ext uri="{FF2B5EF4-FFF2-40B4-BE49-F238E27FC236}">
              <a16:creationId xmlns:a16="http://schemas.microsoft.com/office/drawing/2014/main" id="{3F7D98D8-3996-4F9E-84DB-3F3C14336539}"/>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3600450</xdr:colOff>
      <xdr:row>6</xdr:row>
      <xdr:rowOff>0</xdr:rowOff>
    </xdr:from>
    <xdr:to>
      <xdr:col>24</xdr:col>
      <xdr:colOff>69850</xdr:colOff>
      <xdr:row>6</xdr:row>
      <xdr:rowOff>196850</xdr:rowOff>
    </xdr:to>
    <xdr:sp macro="" textlink="">
      <xdr:nvSpPr>
        <xdr:cNvPr id="179373" name="Text Box 35">
          <a:extLst>
            <a:ext uri="{FF2B5EF4-FFF2-40B4-BE49-F238E27FC236}">
              <a16:creationId xmlns:a16="http://schemas.microsoft.com/office/drawing/2014/main" id="{C7C04577-D660-46FD-94A9-FEC4B09A9CBE}"/>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2" name="Text Box 48">
          <a:extLst>
            <a:ext uri="{FF2B5EF4-FFF2-40B4-BE49-F238E27FC236}">
              <a16:creationId xmlns:a16="http://schemas.microsoft.com/office/drawing/2014/main" id="{8498DDCE-2885-4D68-8D3B-3FDC55F5ECEE}"/>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3" name="Text Box 49">
          <a:extLst>
            <a:ext uri="{FF2B5EF4-FFF2-40B4-BE49-F238E27FC236}">
              <a16:creationId xmlns:a16="http://schemas.microsoft.com/office/drawing/2014/main" id="{8E60E66C-D675-42B8-88E3-E705C8802055}"/>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106918</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E1E777A8-F716-4108-9241-B754697D2B6C}"/>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277053</xdr:colOff>
      <xdr:row>32</xdr:row>
      <xdr:rowOff>219075</xdr:rowOff>
    </xdr:to>
    <xdr:sp macro="" textlink="">
      <xdr:nvSpPr>
        <xdr:cNvPr id="11346" name="Text Box 82">
          <a:extLst>
            <a:ext uri="{FF2B5EF4-FFF2-40B4-BE49-F238E27FC236}">
              <a16:creationId xmlns:a16="http://schemas.microsoft.com/office/drawing/2014/main" id="{A7658ED3-804B-473D-85A9-62F36361188F}"/>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381635</xdr:colOff>
      <xdr:row>6</xdr:row>
      <xdr:rowOff>47625</xdr:rowOff>
    </xdr:from>
    <xdr:to>
      <xdr:col>14</xdr:col>
      <xdr:colOff>495935</xdr:colOff>
      <xdr:row>7</xdr:row>
      <xdr:rowOff>0</xdr:rowOff>
    </xdr:to>
    <xdr:sp macro="" textlink="">
      <xdr:nvSpPr>
        <xdr:cNvPr id="11356" name="Text Box 92">
          <a:extLst>
            <a:ext uri="{FF2B5EF4-FFF2-40B4-BE49-F238E27FC236}">
              <a16:creationId xmlns:a16="http://schemas.microsoft.com/office/drawing/2014/main" id="{83EE0C15-6BAD-4238-9E06-0DB281B3C317}"/>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496159</xdr:colOff>
      <xdr:row>10</xdr:row>
      <xdr:rowOff>15282</xdr:rowOff>
    </xdr:to>
    <xdr:sp macro="" textlink="">
      <xdr:nvSpPr>
        <xdr:cNvPr id="11366" name="Text Box 102">
          <a:extLst>
            <a:ext uri="{FF2B5EF4-FFF2-40B4-BE49-F238E27FC236}">
              <a16:creationId xmlns:a16="http://schemas.microsoft.com/office/drawing/2014/main" id="{AB7FFB8F-91CB-4A1E-AC58-A5B33A88CDD9}"/>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8</xdr:row>
      <xdr:rowOff>9525</xdr:rowOff>
    </xdr:from>
    <xdr:to>
      <xdr:col>14</xdr:col>
      <xdr:colOff>495935</xdr:colOff>
      <xdr:row>8</xdr:row>
      <xdr:rowOff>190500</xdr:rowOff>
    </xdr:to>
    <xdr:sp macro="" textlink="">
      <xdr:nvSpPr>
        <xdr:cNvPr id="6179" name="Text Box 35">
          <a:extLst>
            <a:ext uri="{FF2B5EF4-FFF2-40B4-BE49-F238E27FC236}">
              <a16:creationId xmlns:a16="http://schemas.microsoft.com/office/drawing/2014/main" id="{781392BC-7020-4DBB-BA75-19F6AD4322B8}"/>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xdr:col>
      <xdr:colOff>66022</xdr:colOff>
      <xdr:row>55</xdr:row>
      <xdr:rowOff>160402</xdr:rowOff>
    </xdr:from>
    <xdr:to>
      <xdr:col>17</xdr:col>
      <xdr:colOff>1704334</xdr:colOff>
      <xdr:row>58</xdr:row>
      <xdr:rowOff>138629</xdr:rowOff>
    </xdr:to>
    <xdr:sp macro="" textlink="">
      <xdr:nvSpPr>
        <xdr:cNvPr id="35" name="Text Box 86">
          <a:extLst>
            <a:ext uri="{FF2B5EF4-FFF2-40B4-BE49-F238E27FC236}">
              <a16:creationId xmlns:a16="http://schemas.microsoft.com/office/drawing/2014/main" id="{E526F1EB-11A1-4892-BC25-747731910DA8}"/>
            </a:ext>
          </a:extLst>
        </xdr:cNvPr>
        <xdr:cNvSpPr txBox="1">
          <a:spLocks noChangeArrowheads="1"/>
        </xdr:cNvSpPr>
      </xdr:nvSpPr>
      <xdr:spPr bwMode="auto">
        <a:xfrm>
          <a:off x="218740" y="11590402"/>
          <a:ext cx="8198978" cy="196786"/>
        </a:xfrm>
        <a:prstGeom prst="rect">
          <a:avLst/>
        </a:prstGeom>
        <a:noFill/>
        <a:ln w="9525">
          <a:noFill/>
          <a:miter lim="800000"/>
          <a:headEnd/>
          <a:tailEnd/>
        </a:ln>
      </xdr:spPr>
      <xdr:txBody>
        <a:bodyPr vertOverflow="clip" wrap="square" lIns="27432" tIns="18288" rIns="0" bIns="0" anchor="t" upright="1"/>
        <a:lstStyle/>
        <a:p>
          <a:pPr algn="ctr"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ctr"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37944</xdr:colOff>
      <xdr:row>3</xdr:row>
      <xdr:rowOff>114308</xdr:rowOff>
    </xdr:to>
    <xdr:sp macro="" textlink="">
      <xdr:nvSpPr>
        <xdr:cNvPr id="52" name="WordArt 111">
          <a:extLst>
            <a:ext uri="{FF2B5EF4-FFF2-40B4-BE49-F238E27FC236}">
              <a16:creationId xmlns:a16="http://schemas.microsoft.com/office/drawing/2014/main" id="{B0792726-1FD2-43C2-8889-8ECEB9AEF784}"/>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13971</xdr:rowOff>
    </xdr:from>
    <xdr:to>
      <xdr:col>17</xdr:col>
      <xdr:colOff>317285</xdr:colOff>
      <xdr:row>34</xdr:row>
      <xdr:rowOff>0</xdr:rowOff>
    </xdr:to>
    <xdr:sp macro="" textlink="">
      <xdr:nvSpPr>
        <xdr:cNvPr id="47" name="Text Box 82">
          <a:extLst>
            <a:ext uri="{FF2B5EF4-FFF2-40B4-BE49-F238E27FC236}">
              <a16:creationId xmlns:a16="http://schemas.microsoft.com/office/drawing/2014/main" id="{5CAC2E7E-2D5C-4652-BB2C-89C58A69BEBA}"/>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53" name="Text Box 84">
          <a:extLst>
            <a:ext uri="{FF2B5EF4-FFF2-40B4-BE49-F238E27FC236}">
              <a16:creationId xmlns:a16="http://schemas.microsoft.com/office/drawing/2014/main" id="{1A797B49-76DF-46FA-BE90-156990F4D395}"/>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8" name="Text Box 44">
          <a:extLst>
            <a:ext uri="{FF2B5EF4-FFF2-40B4-BE49-F238E27FC236}">
              <a16:creationId xmlns:a16="http://schemas.microsoft.com/office/drawing/2014/main" id="{5A38EDDC-62CE-4DF0-90D0-550DE695854E}"/>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9" name="Text Box 48">
          <a:extLst>
            <a:ext uri="{FF2B5EF4-FFF2-40B4-BE49-F238E27FC236}">
              <a16:creationId xmlns:a16="http://schemas.microsoft.com/office/drawing/2014/main" id="{BE3A1378-A2D0-43C0-9500-3CEB5F62045B}"/>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60" name="Text Box 58">
          <a:extLst>
            <a:ext uri="{FF2B5EF4-FFF2-40B4-BE49-F238E27FC236}">
              <a16:creationId xmlns:a16="http://schemas.microsoft.com/office/drawing/2014/main" id="{C2019F74-F2B9-416D-B5A2-C23F3BBB0D9B}"/>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1" name="Text Box 44">
          <a:extLst>
            <a:ext uri="{FF2B5EF4-FFF2-40B4-BE49-F238E27FC236}">
              <a16:creationId xmlns:a16="http://schemas.microsoft.com/office/drawing/2014/main" id="{C4FCD72B-FCE0-4851-8653-BB4507EF90E2}"/>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2" name="Text Box 48">
          <a:extLst>
            <a:ext uri="{FF2B5EF4-FFF2-40B4-BE49-F238E27FC236}">
              <a16:creationId xmlns:a16="http://schemas.microsoft.com/office/drawing/2014/main" id="{5FE198C8-109C-478E-927E-611181269C60}"/>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64" name="Text Box 89">
          <a:extLst>
            <a:ext uri="{FF2B5EF4-FFF2-40B4-BE49-F238E27FC236}">
              <a16:creationId xmlns:a16="http://schemas.microsoft.com/office/drawing/2014/main" id="{45C1B23C-E516-4CB1-9179-8781AC2AA6C5}"/>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415295</xdr:colOff>
      <xdr:row>12</xdr:row>
      <xdr:rowOff>42332</xdr:rowOff>
    </xdr:from>
    <xdr:to>
      <xdr:col>17</xdr:col>
      <xdr:colOff>1123874</xdr:colOff>
      <xdr:row>12</xdr:row>
      <xdr:rowOff>266700</xdr:rowOff>
    </xdr:to>
    <xdr:sp macro="" textlink="">
      <xdr:nvSpPr>
        <xdr:cNvPr id="54" name="Text Box 114">
          <a:extLst>
            <a:ext uri="{FF2B5EF4-FFF2-40B4-BE49-F238E27FC236}">
              <a16:creationId xmlns:a16="http://schemas.microsoft.com/office/drawing/2014/main" id="{249ABC7F-599C-4EA4-9CBB-C4D625D7C213}"/>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56" name="Text Box 48">
          <a:extLst>
            <a:ext uri="{FF2B5EF4-FFF2-40B4-BE49-F238E27FC236}">
              <a16:creationId xmlns:a16="http://schemas.microsoft.com/office/drawing/2014/main" id="{2F45F0F4-C3DE-444C-A286-F9F34BF0129A}"/>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5" name="Text Box 49">
          <a:extLst>
            <a:ext uri="{FF2B5EF4-FFF2-40B4-BE49-F238E27FC236}">
              <a16:creationId xmlns:a16="http://schemas.microsoft.com/office/drawing/2014/main" id="{171A6F83-FF3F-45E5-AC39-7B9C9EB289BA}"/>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6" name="Text Box 44">
          <a:extLst>
            <a:ext uri="{FF2B5EF4-FFF2-40B4-BE49-F238E27FC236}">
              <a16:creationId xmlns:a16="http://schemas.microsoft.com/office/drawing/2014/main" id="{B53F9B32-692B-4785-8DF0-3EB1538FC6BE}"/>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8" name="Text Box 48">
          <a:extLst>
            <a:ext uri="{FF2B5EF4-FFF2-40B4-BE49-F238E27FC236}">
              <a16:creationId xmlns:a16="http://schemas.microsoft.com/office/drawing/2014/main" id="{084E32E4-6BFA-4B0D-A2BD-E6FC62B9AAA9}"/>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9" name="Text Box 58">
          <a:extLst>
            <a:ext uri="{FF2B5EF4-FFF2-40B4-BE49-F238E27FC236}">
              <a16:creationId xmlns:a16="http://schemas.microsoft.com/office/drawing/2014/main" id="{A7AF33EE-D930-42A8-9EBA-58FCDF49AD6F}"/>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0" name="Text Box 44">
          <a:extLst>
            <a:ext uri="{FF2B5EF4-FFF2-40B4-BE49-F238E27FC236}">
              <a16:creationId xmlns:a16="http://schemas.microsoft.com/office/drawing/2014/main" id="{4BAF1F58-D7A5-4850-8353-2F5DE4D1C3F0}"/>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1" name="Text Box 48">
          <a:extLst>
            <a:ext uri="{FF2B5EF4-FFF2-40B4-BE49-F238E27FC236}">
              <a16:creationId xmlns:a16="http://schemas.microsoft.com/office/drawing/2014/main" id="{E32922BD-95F8-4977-8280-DD9F8B4057F7}"/>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2" name="Text Box 58">
          <a:extLst>
            <a:ext uri="{FF2B5EF4-FFF2-40B4-BE49-F238E27FC236}">
              <a16:creationId xmlns:a16="http://schemas.microsoft.com/office/drawing/2014/main" id="{2B85823B-D464-4FC7-A784-1FF6748A47BA}"/>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309491</xdr:colOff>
      <xdr:row>16</xdr:row>
      <xdr:rowOff>47656</xdr:rowOff>
    </xdr:to>
    <xdr:sp macro="" textlink="">
      <xdr:nvSpPr>
        <xdr:cNvPr id="2" name="TextBox 1">
          <a:extLst>
            <a:ext uri="{FF2B5EF4-FFF2-40B4-BE49-F238E27FC236}">
              <a16:creationId xmlns:a16="http://schemas.microsoft.com/office/drawing/2014/main" id="{407622BC-EFD6-4D08-AFEE-113395205CCE}"/>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0</xdr:row>
      <xdr:rowOff>249767</xdr:rowOff>
    </xdr:from>
    <xdr:to>
      <xdr:col>8</xdr:col>
      <xdr:colOff>76182</xdr:colOff>
      <xdr:row>1</xdr:row>
      <xdr:rowOff>228600</xdr:rowOff>
    </xdr:to>
    <xdr:sp macro="" textlink="">
      <xdr:nvSpPr>
        <xdr:cNvPr id="79" name="WordArt 111">
          <a:extLst>
            <a:ext uri="{FF2B5EF4-FFF2-40B4-BE49-F238E27FC236}">
              <a16:creationId xmlns:a16="http://schemas.microsoft.com/office/drawing/2014/main" id="{93ACEA8D-95F4-4651-9250-80EB56FDC89E}"/>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0" name="Text Box 48">
          <a:extLst>
            <a:ext uri="{FF2B5EF4-FFF2-40B4-BE49-F238E27FC236}">
              <a16:creationId xmlns:a16="http://schemas.microsoft.com/office/drawing/2014/main" id="{3852F3AC-0A9A-4245-BB0D-4EEDD744268E}"/>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1" name="Text Box 49">
          <a:extLst>
            <a:ext uri="{FF2B5EF4-FFF2-40B4-BE49-F238E27FC236}">
              <a16:creationId xmlns:a16="http://schemas.microsoft.com/office/drawing/2014/main" id="{C20E10CA-B0D0-47CB-941D-470A6EF63188}"/>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2" name="Text Box 44">
          <a:extLst>
            <a:ext uri="{FF2B5EF4-FFF2-40B4-BE49-F238E27FC236}">
              <a16:creationId xmlns:a16="http://schemas.microsoft.com/office/drawing/2014/main" id="{8BE25818-EEE0-4F5F-A935-9E23EDDDC9E9}"/>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3" name="Text Box 48">
          <a:extLst>
            <a:ext uri="{FF2B5EF4-FFF2-40B4-BE49-F238E27FC236}">
              <a16:creationId xmlns:a16="http://schemas.microsoft.com/office/drawing/2014/main" id="{99B71C97-7FEA-4BBB-AFF7-1E68AE8C311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4" name="Text Box 58">
          <a:extLst>
            <a:ext uri="{FF2B5EF4-FFF2-40B4-BE49-F238E27FC236}">
              <a16:creationId xmlns:a16="http://schemas.microsoft.com/office/drawing/2014/main" id="{277BA3AC-BC7B-4DA5-81E1-15248DAA4B1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1663700</xdr:colOff>
      <xdr:row>31</xdr:row>
      <xdr:rowOff>12700</xdr:rowOff>
    </xdr:to>
    <xdr:pic>
      <xdr:nvPicPr>
        <xdr:cNvPr id="179407" name="Picture 86" descr="C:\Users\mumtaz\Downloads\95282942-flat-vector-exotic-cartoon-three-wheeler-tuk-tuk-rickshaw-side-view-of-transport-vehicle-.jpg">
          <a:extLst>
            <a:ext uri="{FF2B5EF4-FFF2-40B4-BE49-F238E27FC236}">
              <a16:creationId xmlns:a16="http://schemas.microsoft.com/office/drawing/2014/main" id="{F02805F9-F899-4968-92EA-A7BA711A38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13971</xdr:rowOff>
    </xdr:from>
    <xdr:to>
      <xdr:col>17</xdr:col>
      <xdr:colOff>317285</xdr:colOff>
      <xdr:row>36</xdr:row>
      <xdr:rowOff>0</xdr:rowOff>
    </xdr:to>
    <xdr:sp macro="" textlink="">
      <xdr:nvSpPr>
        <xdr:cNvPr id="93" name="Text Box 82">
          <a:extLst>
            <a:ext uri="{FF2B5EF4-FFF2-40B4-BE49-F238E27FC236}">
              <a16:creationId xmlns:a16="http://schemas.microsoft.com/office/drawing/2014/main" id="{E3D39050-E331-48AC-B648-161F46513BDF}"/>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79409" name="Picture 94" descr="C:\Users\mumtaz\Desktop\ATI Logo\Amana-Logos-04.png">
          <a:extLst>
            <a:ext uri="{FF2B5EF4-FFF2-40B4-BE49-F238E27FC236}">
              <a16:creationId xmlns:a16="http://schemas.microsoft.com/office/drawing/2014/main" id="{765DD986-553F-4B80-8FE2-C778CEC3E60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47625</xdr:colOff>
      <xdr:row>55</xdr:row>
      <xdr:rowOff>109903</xdr:rowOff>
    </xdr:to>
    <xdr:sp macro="" textlink="">
      <xdr:nvSpPr>
        <xdr:cNvPr id="2" name="Text Box 1">
          <a:extLst>
            <a:ext uri="{FF2B5EF4-FFF2-40B4-BE49-F238E27FC236}">
              <a16:creationId xmlns:a16="http://schemas.microsoft.com/office/drawing/2014/main" id="{49E91A16-8E42-422F-A3B7-ABFBCA2F3DAE}"/>
            </a:ext>
          </a:extLst>
        </xdr:cNvPr>
        <xdr:cNvSpPr txBox="1">
          <a:spLocks noChangeArrowheads="1"/>
        </xdr:cNvSpPr>
      </xdr:nvSpPr>
      <xdr:spPr bwMode="auto">
        <a:xfrm>
          <a:off x="5153025" y="11247755"/>
          <a:ext cx="3676650"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381635</xdr:colOff>
      <xdr:row>7</xdr:row>
      <xdr:rowOff>57150</xdr:rowOff>
    </xdr:from>
    <xdr:to>
      <xdr:col>14</xdr:col>
      <xdr:colOff>495935</xdr:colOff>
      <xdr:row>8</xdr:row>
      <xdr:rowOff>125</xdr:rowOff>
    </xdr:to>
    <xdr:sp macro="" textlink="">
      <xdr:nvSpPr>
        <xdr:cNvPr id="3" name="Text Box 27">
          <a:extLst>
            <a:ext uri="{FF2B5EF4-FFF2-40B4-BE49-F238E27FC236}">
              <a16:creationId xmlns:a16="http://schemas.microsoft.com/office/drawing/2014/main" id="{3E2DCEAF-1DBA-48F6-95BB-B58077FB80EA}"/>
            </a:ext>
          </a:extLst>
        </xdr:cNvPr>
        <xdr:cNvSpPr txBox="1">
          <a:spLocks noChangeArrowheads="1"/>
        </xdr:cNvSpPr>
      </xdr:nvSpPr>
      <xdr:spPr bwMode="auto">
        <a:xfrm>
          <a:off x="5863590" y="1933575"/>
          <a:ext cx="114300" cy="1715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12</xdr:row>
      <xdr:rowOff>38100</xdr:rowOff>
    </xdr:from>
    <xdr:to>
      <xdr:col>15</xdr:col>
      <xdr:colOff>38515</xdr:colOff>
      <xdr:row>13</xdr:row>
      <xdr:rowOff>33053</xdr:rowOff>
    </xdr:to>
    <xdr:sp macro="" textlink="">
      <xdr:nvSpPr>
        <xdr:cNvPr id="4" name="Text Box 28">
          <a:extLst>
            <a:ext uri="{FF2B5EF4-FFF2-40B4-BE49-F238E27FC236}">
              <a16:creationId xmlns:a16="http://schemas.microsoft.com/office/drawing/2014/main" id="{AF4624AC-A7ED-422F-AC00-96E1D64782A5}"/>
            </a:ext>
          </a:extLst>
        </xdr:cNvPr>
        <xdr:cNvSpPr txBox="1">
          <a:spLocks noChangeArrowheads="1"/>
        </xdr:cNvSpPr>
      </xdr:nvSpPr>
      <xdr:spPr bwMode="auto">
        <a:xfrm>
          <a:off x="5863590" y="3057525"/>
          <a:ext cx="251940" cy="23812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10</xdr:row>
      <xdr:rowOff>66675</xdr:rowOff>
    </xdr:from>
    <xdr:to>
      <xdr:col>14</xdr:col>
      <xdr:colOff>505460</xdr:colOff>
      <xdr:row>11</xdr:row>
      <xdr:rowOff>57490</xdr:rowOff>
    </xdr:to>
    <xdr:sp macro="" textlink="">
      <xdr:nvSpPr>
        <xdr:cNvPr id="5" name="Text Box 29">
          <a:extLst>
            <a:ext uri="{FF2B5EF4-FFF2-40B4-BE49-F238E27FC236}">
              <a16:creationId xmlns:a16="http://schemas.microsoft.com/office/drawing/2014/main" id="{EAB91CF6-4C7E-4401-83A3-C195102F0925}"/>
            </a:ext>
          </a:extLst>
        </xdr:cNvPr>
        <xdr:cNvSpPr txBox="1">
          <a:spLocks noChangeArrowheads="1"/>
        </xdr:cNvSpPr>
      </xdr:nvSpPr>
      <xdr:spPr bwMode="auto">
        <a:xfrm>
          <a:off x="5863590" y="2628900"/>
          <a:ext cx="123825" cy="21941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11</xdr:row>
      <xdr:rowOff>57150</xdr:rowOff>
    </xdr:from>
    <xdr:to>
      <xdr:col>14</xdr:col>
      <xdr:colOff>492958</xdr:colOff>
      <xdr:row>12</xdr:row>
      <xdr:rowOff>125</xdr:rowOff>
    </xdr:to>
    <xdr:sp macro="" textlink="">
      <xdr:nvSpPr>
        <xdr:cNvPr id="6" name="Text Box 30">
          <a:extLst>
            <a:ext uri="{FF2B5EF4-FFF2-40B4-BE49-F238E27FC236}">
              <a16:creationId xmlns:a16="http://schemas.microsoft.com/office/drawing/2014/main" id="{B2C740D1-3D7B-4B12-96EF-1A8B6EFD5579}"/>
            </a:ext>
          </a:extLst>
        </xdr:cNvPr>
        <xdr:cNvSpPr txBox="1">
          <a:spLocks noChangeArrowheads="1"/>
        </xdr:cNvSpPr>
      </xdr:nvSpPr>
      <xdr:spPr bwMode="auto">
        <a:xfrm>
          <a:off x="5863590" y="2847975"/>
          <a:ext cx="104775" cy="1715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4356100</xdr:colOff>
      <xdr:row>6</xdr:row>
      <xdr:rowOff>0</xdr:rowOff>
    </xdr:from>
    <xdr:to>
      <xdr:col>24</xdr:col>
      <xdr:colOff>69850</xdr:colOff>
      <xdr:row>6</xdr:row>
      <xdr:rowOff>196850</xdr:rowOff>
    </xdr:to>
    <xdr:sp macro="" textlink="">
      <xdr:nvSpPr>
        <xdr:cNvPr id="180429" name="Text Box 35">
          <a:extLst>
            <a:ext uri="{FF2B5EF4-FFF2-40B4-BE49-F238E27FC236}">
              <a16:creationId xmlns:a16="http://schemas.microsoft.com/office/drawing/2014/main" id="{12D99ECD-A1B3-4C10-9AB9-695915946D06}"/>
            </a:ext>
          </a:extLst>
        </xdr:cNvPr>
        <xdr:cNvSpPr txBox="1">
          <a:spLocks noChangeArrowheads="1"/>
        </xdr:cNvSpPr>
      </xdr:nvSpPr>
      <xdr:spPr bwMode="auto">
        <a:xfrm>
          <a:off x="985520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8" name="Text Box 48">
          <a:extLst>
            <a:ext uri="{FF2B5EF4-FFF2-40B4-BE49-F238E27FC236}">
              <a16:creationId xmlns:a16="http://schemas.microsoft.com/office/drawing/2014/main" id="{B1175D44-FD80-4775-BF37-99E59E11BE37}"/>
            </a:ext>
          </a:extLst>
        </xdr:cNvPr>
        <xdr:cNvSpPr txBox="1">
          <a:spLocks noChangeArrowheads="1"/>
        </xdr:cNvSpPr>
      </xdr:nvSpPr>
      <xdr:spPr bwMode="auto">
        <a:xfrm>
          <a:off x="1645920" y="20478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9" name="Text Box 49">
          <a:extLst>
            <a:ext uri="{FF2B5EF4-FFF2-40B4-BE49-F238E27FC236}">
              <a16:creationId xmlns:a16="http://schemas.microsoft.com/office/drawing/2014/main" id="{68B7FE84-BB7F-418C-8F21-DCBE18A21444}"/>
            </a:ext>
          </a:extLst>
        </xdr:cNvPr>
        <xdr:cNvSpPr txBox="1">
          <a:spLocks noChangeArrowheads="1"/>
        </xdr:cNvSpPr>
      </xdr:nvSpPr>
      <xdr:spPr bwMode="auto">
        <a:xfrm>
          <a:off x="1645920" y="20478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106918</xdr:rowOff>
    </xdr:to>
    <xdr:sp macro="" textlink="">
      <xdr:nvSpPr>
        <xdr:cNvPr id="10" name="AutoShape 71">
          <a:hlinkClick xmlns:r="http://schemas.openxmlformats.org/officeDocument/2006/relationships" r:id="rId1"/>
          <a:extLst>
            <a:ext uri="{FF2B5EF4-FFF2-40B4-BE49-F238E27FC236}">
              <a16:creationId xmlns:a16="http://schemas.microsoft.com/office/drawing/2014/main" id="{F69EF2A7-161C-4663-A6C3-C96D22117203}"/>
            </a:ext>
          </a:extLst>
        </xdr:cNvPr>
        <xdr:cNvSpPr>
          <a:spLocks noChangeArrowheads="1"/>
        </xdr:cNvSpPr>
      </xdr:nvSpPr>
      <xdr:spPr bwMode="auto">
        <a:xfrm>
          <a:off x="9372600" y="2228639"/>
          <a:ext cx="0" cy="1577138"/>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277053</xdr:colOff>
      <xdr:row>32</xdr:row>
      <xdr:rowOff>219075</xdr:rowOff>
    </xdr:to>
    <xdr:sp macro="" textlink="">
      <xdr:nvSpPr>
        <xdr:cNvPr id="11" name="Text Box 82">
          <a:extLst>
            <a:ext uri="{FF2B5EF4-FFF2-40B4-BE49-F238E27FC236}">
              <a16:creationId xmlns:a16="http://schemas.microsoft.com/office/drawing/2014/main" id="{D01B7F9E-54D3-4F1F-8312-D9459E1E88B9}"/>
            </a:ext>
          </a:extLst>
        </xdr:cNvPr>
        <xdr:cNvSpPr txBox="1">
          <a:spLocks noChangeArrowheads="1"/>
        </xdr:cNvSpPr>
      </xdr:nvSpPr>
      <xdr:spPr bwMode="auto">
        <a:xfrm>
          <a:off x="6810375" y="6812493"/>
          <a:ext cx="255284"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381635</xdr:colOff>
      <xdr:row>6</xdr:row>
      <xdr:rowOff>47625</xdr:rowOff>
    </xdr:from>
    <xdr:to>
      <xdr:col>14</xdr:col>
      <xdr:colOff>495935</xdr:colOff>
      <xdr:row>7</xdr:row>
      <xdr:rowOff>0</xdr:rowOff>
    </xdr:to>
    <xdr:sp macro="" textlink="">
      <xdr:nvSpPr>
        <xdr:cNvPr id="12" name="Text Box 92">
          <a:extLst>
            <a:ext uri="{FF2B5EF4-FFF2-40B4-BE49-F238E27FC236}">
              <a16:creationId xmlns:a16="http://schemas.microsoft.com/office/drawing/2014/main" id="{DDAD8279-6280-4726-B16A-C075702FEB78}"/>
            </a:ext>
          </a:extLst>
        </xdr:cNvPr>
        <xdr:cNvSpPr txBox="1">
          <a:spLocks noChangeArrowheads="1"/>
        </xdr:cNvSpPr>
      </xdr:nvSpPr>
      <xdr:spPr bwMode="auto">
        <a:xfrm>
          <a:off x="5863590"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496159</xdr:colOff>
      <xdr:row>10</xdr:row>
      <xdr:rowOff>15282</xdr:rowOff>
    </xdr:to>
    <xdr:sp macro="" textlink="">
      <xdr:nvSpPr>
        <xdr:cNvPr id="13" name="Text Box 102">
          <a:extLst>
            <a:ext uri="{FF2B5EF4-FFF2-40B4-BE49-F238E27FC236}">
              <a16:creationId xmlns:a16="http://schemas.microsoft.com/office/drawing/2014/main" id="{BB40DF01-225A-4296-A052-0B903F3C916B}"/>
            </a:ext>
          </a:extLst>
        </xdr:cNvPr>
        <xdr:cNvSpPr txBox="1">
          <a:spLocks noChangeArrowheads="1"/>
        </xdr:cNvSpPr>
      </xdr:nvSpPr>
      <xdr:spPr bwMode="auto">
        <a:xfrm>
          <a:off x="5836920" y="2362200"/>
          <a:ext cx="141194" cy="222997"/>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8</xdr:row>
      <xdr:rowOff>9525</xdr:rowOff>
    </xdr:from>
    <xdr:to>
      <xdr:col>14</xdr:col>
      <xdr:colOff>495935</xdr:colOff>
      <xdr:row>8</xdr:row>
      <xdr:rowOff>190500</xdr:rowOff>
    </xdr:to>
    <xdr:sp macro="" textlink="">
      <xdr:nvSpPr>
        <xdr:cNvPr id="14" name="Text Box 35">
          <a:extLst>
            <a:ext uri="{FF2B5EF4-FFF2-40B4-BE49-F238E27FC236}">
              <a16:creationId xmlns:a16="http://schemas.microsoft.com/office/drawing/2014/main" id="{E9951588-D142-4985-A433-0600908D5912}"/>
            </a:ext>
          </a:extLst>
        </xdr:cNvPr>
        <xdr:cNvSpPr txBox="1">
          <a:spLocks noChangeArrowheads="1"/>
        </xdr:cNvSpPr>
      </xdr:nvSpPr>
      <xdr:spPr bwMode="auto">
        <a:xfrm>
          <a:off x="5863590" y="21145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xdr:col>
      <xdr:colOff>39354</xdr:colOff>
      <xdr:row>55</xdr:row>
      <xdr:rowOff>169926</xdr:rowOff>
    </xdr:from>
    <xdr:to>
      <xdr:col>19</xdr:col>
      <xdr:colOff>46141</xdr:colOff>
      <xdr:row>58</xdr:row>
      <xdr:rowOff>156340</xdr:rowOff>
    </xdr:to>
    <xdr:sp macro="" textlink="">
      <xdr:nvSpPr>
        <xdr:cNvPr id="15" name="Text Box 86">
          <a:extLst>
            <a:ext uri="{FF2B5EF4-FFF2-40B4-BE49-F238E27FC236}">
              <a16:creationId xmlns:a16="http://schemas.microsoft.com/office/drawing/2014/main" id="{49E709AD-EA89-4631-9F64-86FCC894CB32}"/>
            </a:ext>
          </a:extLst>
        </xdr:cNvPr>
        <xdr:cNvSpPr txBox="1">
          <a:spLocks noChangeArrowheads="1"/>
        </xdr:cNvSpPr>
      </xdr:nvSpPr>
      <xdr:spPr bwMode="auto">
        <a:xfrm>
          <a:off x="283035" y="11599926"/>
          <a:ext cx="8526104" cy="21263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infor@takaful.lk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25400</xdr:rowOff>
    </xdr:from>
    <xdr:to>
      <xdr:col>14</xdr:col>
      <xdr:colOff>37944</xdr:colOff>
      <xdr:row>3</xdr:row>
      <xdr:rowOff>114264</xdr:rowOff>
    </xdr:to>
    <xdr:sp macro="" textlink="">
      <xdr:nvSpPr>
        <xdr:cNvPr id="16" name="WordArt 111">
          <a:extLst>
            <a:ext uri="{FF2B5EF4-FFF2-40B4-BE49-F238E27FC236}">
              <a16:creationId xmlns:a16="http://schemas.microsoft.com/office/drawing/2014/main" id="{74AA54D1-62E0-48AB-88E3-158B102967EB}"/>
            </a:ext>
          </a:extLst>
        </xdr:cNvPr>
        <xdr:cNvSpPr>
          <a:spLocks noChangeArrowheads="1" noChangeShapeType="1" noTextEdit="1"/>
        </xdr:cNvSpPr>
      </xdr:nvSpPr>
      <xdr:spPr bwMode="auto">
        <a:xfrm>
          <a:off x="3571029" y="1019175"/>
          <a:ext cx="1962829" cy="243189"/>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13971</xdr:rowOff>
    </xdr:from>
    <xdr:to>
      <xdr:col>17</xdr:col>
      <xdr:colOff>317285</xdr:colOff>
      <xdr:row>34</xdr:row>
      <xdr:rowOff>0</xdr:rowOff>
    </xdr:to>
    <xdr:sp macro="" textlink="">
      <xdr:nvSpPr>
        <xdr:cNvPr id="17" name="Text Box 82">
          <a:extLst>
            <a:ext uri="{FF2B5EF4-FFF2-40B4-BE49-F238E27FC236}">
              <a16:creationId xmlns:a16="http://schemas.microsoft.com/office/drawing/2014/main" id="{FE20B71A-A072-4DA2-8F02-700ADAFA4E7C}"/>
            </a:ext>
          </a:extLst>
        </xdr:cNvPr>
        <xdr:cNvSpPr txBox="1">
          <a:spLocks noChangeArrowheads="1"/>
        </xdr:cNvSpPr>
      </xdr:nvSpPr>
      <xdr:spPr bwMode="auto">
        <a:xfrm>
          <a:off x="6846782" y="7033896"/>
          <a:ext cx="258809"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34</xdr:row>
      <xdr:rowOff>15876</xdr:rowOff>
    </xdr:from>
    <xdr:to>
      <xdr:col>17</xdr:col>
      <xdr:colOff>349739</xdr:colOff>
      <xdr:row>34</xdr:row>
      <xdr:rowOff>177219</xdr:rowOff>
    </xdr:to>
    <xdr:sp macro="" textlink="">
      <xdr:nvSpPr>
        <xdr:cNvPr id="18" name="Text Box 82">
          <a:extLst>
            <a:ext uri="{FF2B5EF4-FFF2-40B4-BE49-F238E27FC236}">
              <a16:creationId xmlns:a16="http://schemas.microsoft.com/office/drawing/2014/main" id="{F3C99E43-FADB-4A2C-8027-3D3C36F7D3A5}"/>
            </a:ext>
          </a:extLst>
        </xdr:cNvPr>
        <xdr:cNvSpPr txBox="1">
          <a:spLocks noChangeArrowheads="1"/>
        </xdr:cNvSpPr>
      </xdr:nvSpPr>
      <xdr:spPr bwMode="auto">
        <a:xfrm>
          <a:off x="6846781" y="7273926"/>
          <a:ext cx="291198" cy="1751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19" name="Text Box 84">
          <a:extLst>
            <a:ext uri="{FF2B5EF4-FFF2-40B4-BE49-F238E27FC236}">
              <a16:creationId xmlns:a16="http://schemas.microsoft.com/office/drawing/2014/main" id="{8E81C451-8054-4FF8-A975-687F10716686}"/>
            </a:ext>
          </a:extLst>
        </xdr:cNvPr>
        <xdr:cNvSpPr txBox="1">
          <a:spLocks noChangeArrowheads="1"/>
        </xdr:cNvSpPr>
      </xdr:nvSpPr>
      <xdr:spPr bwMode="auto">
        <a:xfrm>
          <a:off x="6838950" y="7734300"/>
          <a:ext cx="299172" cy="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20" name="Text Box 44">
          <a:extLst>
            <a:ext uri="{FF2B5EF4-FFF2-40B4-BE49-F238E27FC236}">
              <a16:creationId xmlns:a16="http://schemas.microsoft.com/office/drawing/2014/main" id="{162AAFA5-88D6-4B1F-B226-2F05542312D6}"/>
            </a:ext>
          </a:extLst>
        </xdr:cNvPr>
        <xdr:cNvSpPr txBox="1">
          <a:spLocks noChangeArrowheads="1"/>
        </xdr:cNvSpPr>
      </xdr:nvSpPr>
      <xdr:spPr bwMode="auto">
        <a:xfrm>
          <a:off x="1645920" y="20478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21" name="Text Box 48">
          <a:extLst>
            <a:ext uri="{FF2B5EF4-FFF2-40B4-BE49-F238E27FC236}">
              <a16:creationId xmlns:a16="http://schemas.microsoft.com/office/drawing/2014/main" id="{F6224852-64A1-4A59-9D07-069F357A928F}"/>
            </a:ext>
          </a:extLst>
        </xdr:cNvPr>
        <xdr:cNvSpPr txBox="1">
          <a:spLocks noChangeArrowheads="1"/>
        </xdr:cNvSpPr>
      </xdr:nvSpPr>
      <xdr:spPr bwMode="auto">
        <a:xfrm>
          <a:off x="1645920" y="20478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22" name="Text Box 58">
          <a:extLst>
            <a:ext uri="{FF2B5EF4-FFF2-40B4-BE49-F238E27FC236}">
              <a16:creationId xmlns:a16="http://schemas.microsoft.com/office/drawing/2014/main" id="{67DF263E-E289-43F4-92C4-55608578C458}"/>
            </a:ext>
          </a:extLst>
        </xdr:cNvPr>
        <xdr:cNvSpPr txBox="1">
          <a:spLocks noChangeArrowheads="1"/>
        </xdr:cNvSpPr>
      </xdr:nvSpPr>
      <xdr:spPr bwMode="auto">
        <a:xfrm>
          <a:off x="1645920" y="20478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23" name="Text Box 44">
          <a:extLst>
            <a:ext uri="{FF2B5EF4-FFF2-40B4-BE49-F238E27FC236}">
              <a16:creationId xmlns:a16="http://schemas.microsoft.com/office/drawing/2014/main" id="{6F91F790-9854-4321-804F-F3CBCADD431B}"/>
            </a:ext>
          </a:extLst>
        </xdr:cNvPr>
        <xdr:cNvSpPr txBox="1">
          <a:spLocks noChangeArrowheads="1"/>
        </xdr:cNvSpPr>
      </xdr:nvSpPr>
      <xdr:spPr bwMode="auto">
        <a:xfrm>
          <a:off x="1645920" y="27241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24" name="Text Box 48">
          <a:extLst>
            <a:ext uri="{FF2B5EF4-FFF2-40B4-BE49-F238E27FC236}">
              <a16:creationId xmlns:a16="http://schemas.microsoft.com/office/drawing/2014/main" id="{8D4BDB18-A478-4C3B-90FF-12306BBEEF8D}"/>
            </a:ext>
          </a:extLst>
        </xdr:cNvPr>
        <xdr:cNvSpPr txBox="1">
          <a:spLocks noChangeArrowheads="1"/>
        </xdr:cNvSpPr>
      </xdr:nvSpPr>
      <xdr:spPr bwMode="auto">
        <a:xfrm>
          <a:off x="1645920" y="27241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25" name="Text Box 89">
          <a:extLst>
            <a:ext uri="{FF2B5EF4-FFF2-40B4-BE49-F238E27FC236}">
              <a16:creationId xmlns:a16="http://schemas.microsoft.com/office/drawing/2014/main" id="{C63F983F-5BFF-4E28-9304-F8BAD140BA22}"/>
            </a:ext>
          </a:extLst>
        </xdr:cNvPr>
        <xdr:cNvSpPr txBox="1">
          <a:spLocks noChangeArrowheads="1"/>
        </xdr:cNvSpPr>
      </xdr:nvSpPr>
      <xdr:spPr bwMode="auto">
        <a:xfrm>
          <a:off x="6838950" y="7734300"/>
          <a:ext cx="299172" cy="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415295</xdr:colOff>
      <xdr:row>12</xdr:row>
      <xdr:rowOff>42332</xdr:rowOff>
    </xdr:from>
    <xdr:to>
      <xdr:col>17</xdr:col>
      <xdr:colOff>1123874</xdr:colOff>
      <xdr:row>13</xdr:row>
      <xdr:rowOff>4762</xdr:rowOff>
    </xdr:to>
    <xdr:sp macro="" textlink="">
      <xdr:nvSpPr>
        <xdr:cNvPr id="26" name="Text Box 114">
          <a:extLst>
            <a:ext uri="{FF2B5EF4-FFF2-40B4-BE49-F238E27FC236}">
              <a16:creationId xmlns:a16="http://schemas.microsoft.com/office/drawing/2014/main" id="{75DA3E74-66E3-41B3-8C3F-E1C487BAEE5A}"/>
            </a:ext>
          </a:extLst>
        </xdr:cNvPr>
        <xdr:cNvSpPr txBox="1">
          <a:spLocks noChangeArrowheads="1"/>
        </xdr:cNvSpPr>
      </xdr:nvSpPr>
      <xdr:spPr bwMode="auto">
        <a:xfrm>
          <a:off x="6725925" y="3061757"/>
          <a:ext cx="1158802" cy="219605"/>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27" name="Text Box 48">
          <a:extLst>
            <a:ext uri="{FF2B5EF4-FFF2-40B4-BE49-F238E27FC236}">
              <a16:creationId xmlns:a16="http://schemas.microsoft.com/office/drawing/2014/main" id="{4BFA22D3-D501-4CD8-9F74-61BF0A267D3E}"/>
            </a:ext>
          </a:extLst>
        </xdr:cNvPr>
        <xdr:cNvSpPr txBox="1">
          <a:spLocks noChangeArrowheads="1"/>
        </xdr:cNvSpPr>
      </xdr:nvSpPr>
      <xdr:spPr bwMode="auto">
        <a:xfrm>
          <a:off x="1645920" y="3181350"/>
          <a:ext cx="114300" cy="952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28" name="Text Box 48">
          <a:extLst>
            <a:ext uri="{FF2B5EF4-FFF2-40B4-BE49-F238E27FC236}">
              <a16:creationId xmlns:a16="http://schemas.microsoft.com/office/drawing/2014/main" id="{4832C40F-301D-46A8-AAE6-A038ADA9F047}"/>
            </a:ext>
          </a:extLst>
        </xdr:cNvPr>
        <xdr:cNvSpPr txBox="1">
          <a:spLocks noChangeArrowheads="1"/>
        </xdr:cNvSpPr>
      </xdr:nvSpPr>
      <xdr:spPr bwMode="auto">
        <a:xfrm>
          <a:off x="1645920" y="3181350"/>
          <a:ext cx="114300" cy="952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29" name="Text Box 48">
          <a:extLst>
            <a:ext uri="{FF2B5EF4-FFF2-40B4-BE49-F238E27FC236}">
              <a16:creationId xmlns:a16="http://schemas.microsoft.com/office/drawing/2014/main" id="{D2DEAAAA-A3CE-4B4C-93E4-722C11300DEF}"/>
            </a:ext>
          </a:extLst>
        </xdr:cNvPr>
        <xdr:cNvSpPr txBox="1">
          <a:spLocks noChangeArrowheads="1"/>
        </xdr:cNvSpPr>
      </xdr:nvSpPr>
      <xdr:spPr bwMode="auto">
        <a:xfrm>
          <a:off x="1645920" y="3181350"/>
          <a:ext cx="114300" cy="952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30" name="Text Box 48">
          <a:extLst>
            <a:ext uri="{FF2B5EF4-FFF2-40B4-BE49-F238E27FC236}">
              <a16:creationId xmlns:a16="http://schemas.microsoft.com/office/drawing/2014/main" id="{305B5DA2-1CFD-4187-B120-54A28B1B883D}"/>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31" name="Text Box 49">
          <a:extLst>
            <a:ext uri="{FF2B5EF4-FFF2-40B4-BE49-F238E27FC236}">
              <a16:creationId xmlns:a16="http://schemas.microsoft.com/office/drawing/2014/main" id="{C5D5EC7D-917C-4734-BCDD-0CE223171E76}"/>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32" name="Text Box 44">
          <a:extLst>
            <a:ext uri="{FF2B5EF4-FFF2-40B4-BE49-F238E27FC236}">
              <a16:creationId xmlns:a16="http://schemas.microsoft.com/office/drawing/2014/main" id="{6C37F216-B88A-4181-8933-D8CADDA4D0A0}"/>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33" name="Text Box 48">
          <a:extLst>
            <a:ext uri="{FF2B5EF4-FFF2-40B4-BE49-F238E27FC236}">
              <a16:creationId xmlns:a16="http://schemas.microsoft.com/office/drawing/2014/main" id="{D335EDAF-E288-40E5-82E6-96C5C4547039}"/>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34" name="Text Box 58">
          <a:extLst>
            <a:ext uri="{FF2B5EF4-FFF2-40B4-BE49-F238E27FC236}">
              <a16:creationId xmlns:a16="http://schemas.microsoft.com/office/drawing/2014/main" id="{2DDB84A3-FC77-4B9F-A7CA-69FE097FDA61}"/>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35" name="Text Box 44">
          <a:extLst>
            <a:ext uri="{FF2B5EF4-FFF2-40B4-BE49-F238E27FC236}">
              <a16:creationId xmlns:a16="http://schemas.microsoft.com/office/drawing/2014/main" id="{DBD3BFE7-477B-45D5-B7FD-EE8184A4AB97}"/>
            </a:ext>
          </a:extLst>
        </xdr:cNvPr>
        <xdr:cNvSpPr txBox="1">
          <a:spLocks noChangeArrowheads="1"/>
        </xdr:cNvSpPr>
      </xdr:nvSpPr>
      <xdr:spPr bwMode="auto">
        <a:xfrm>
          <a:off x="1645920" y="27241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36" name="Text Box 48">
          <a:extLst>
            <a:ext uri="{FF2B5EF4-FFF2-40B4-BE49-F238E27FC236}">
              <a16:creationId xmlns:a16="http://schemas.microsoft.com/office/drawing/2014/main" id="{B1F7D103-54B7-46AA-9664-01F9E76BC35C}"/>
            </a:ext>
          </a:extLst>
        </xdr:cNvPr>
        <xdr:cNvSpPr txBox="1">
          <a:spLocks noChangeArrowheads="1"/>
        </xdr:cNvSpPr>
      </xdr:nvSpPr>
      <xdr:spPr bwMode="auto">
        <a:xfrm>
          <a:off x="1645920" y="27241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37" name="Text Box 58">
          <a:extLst>
            <a:ext uri="{FF2B5EF4-FFF2-40B4-BE49-F238E27FC236}">
              <a16:creationId xmlns:a16="http://schemas.microsoft.com/office/drawing/2014/main" id="{13311197-338D-414B-8B47-A297DBB28C21}"/>
            </a:ext>
          </a:extLst>
        </xdr:cNvPr>
        <xdr:cNvSpPr txBox="1">
          <a:spLocks noChangeArrowheads="1"/>
        </xdr:cNvSpPr>
      </xdr:nvSpPr>
      <xdr:spPr bwMode="auto">
        <a:xfrm>
          <a:off x="1645920" y="27241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38" name="Text Box 48">
          <a:extLst>
            <a:ext uri="{FF2B5EF4-FFF2-40B4-BE49-F238E27FC236}">
              <a16:creationId xmlns:a16="http://schemas.microsoft.com/office/drawing/2014/main" id="{D25ECE43-AB62-453D-BA3D-F11BC26DD92B}"/>
            </a:ext>
          </a:extLst>
        </xdr:cNvPr>
        <xdr:cNvSpPr txBox="1">
          <a:spLocks noChangeArrowheads="1"/>
        </xdr:cNvSpPr>
      </xdr:nvSpPr>
      <xdr:spPr bwMode="auto">
        <a:xfrm>
          <a:off x="1645920" y="3181350"/>
          <a:ext cx="114300" cy="100966"/>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39" name="Text Box 49">
          <a:extLst>
            <a:ext uri="{FF2B5EF4-FFF2-40B4-BE49-F238E27FC236}">
              <a16:creationId xmlns:a16="http://schemas.microsoft.com/office/drawing/2014/main" id="{90332055-A01A-44B7-8A81-BE6998416873}"/>
            </a:ext>
          </a:extLst>
        </xdr:cNvPr>
        <xdr:cNvSpPr txBox="1">
          <a:spLocks noChangeArrowheads="1"/>
        </xdr:cNvSpPr>
      </xdr:nvSpPr>
      <xdr:spPr bwMode="auto">
        <a:xfrm>
          <a:off x="1645920" y="3181350"/>
          <a:ext cx="114300" cy="100966"/>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40" name="Text Box 44">
          <a:extLst>
            <a:ext uri="{FF2B5EF4-FFF2-40B4-BE49-F238E27FC236}">
              <a16:creationId xmlns:a16="http://schemas.microsoft.com/office/drawing/2014/main" id="{12E01CD1-69D5-427A-BA28-E52A0644C0F0}"/>
            </a:ext>
          </a:extLst>
        </xdr:cNvPr>
        <xdr:cNvSpPr txBox="1">
          <a:spLocks noChangeArrowheads="1"/>
        </xdr:cNvSpPr>
      </xdr:nvSpPr>
      <xdr:spPr bwMode="auto">
        <a:xfrm>
          <a:off x="1645920" y="3181350"/>
          <a:ext cx="114300" cy="100966"/>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41" name="Text Box 48">
          <a:extLst>
            <a:ext uri="{FF2B5EF4-FFF2-40B4-BE49-F238E27FC236}">
              <a16:creationId xmlns:a16="http://schemas.microsoft.com/office/drawing/2014/main" id="{5FBF2F44-5A2A-46FE-B6A0-1D42A30635A0}"/>
            </a:ext>
          </a:extLst>
        </xdr:cNvPr>
        <xdr:cNvSpPr txBox="1">
          <a:spLocks noChangeArrowheads="1"/>
        </xdr:cNvSpPr>
      </xdr:nvSpPr>
      <xdr:spPr bwMode="auto">
        <a:xfrm>
          <a:off x="1645920" y="3181350"/>
          <a:ext cx="114300" cy="100966"/>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42" name="Text Box 58">
          <a:extLst>
            <a:ext uri="{FF2B5EF4-FFF2-40B4-BE49-F238E27FC236}">
              <a16:creationId xmlns:a16="http://schemas.microsoft.com/office/drawing/2014/main" id="{794B65EC-19B5-452B-AD64-EC4EA814C411}"/>
            </a:ext>
          </a:extLst>
        </xdr:cNvPr>
        <xdr:cNvSpPr txBox="1">
          <a:spLocks noChangeArrowheads="1"/>
        </xdr:cNvSpPr>
      </xdr:nvSpPr>
      <xdr:spPr bwMode="auto">
        <a:xfrm>
          <a:off x="1645920" y="3181350"/>
          <a:ext cx="114300" cy="100966"/>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309491</xdr:colOff>
      <xdr:row>16</xdr:row>
      <xdr:rowOff>47656</xdr:rowOff>
    </xdr:to>
    <xdr:sp macro="" textlink="">
      <xdr:nvSpPr>
        <xdr:cNvPr id="43" name="TextBox 42">
          <a:extLst>
            <a:ext uri="{FF2B5EF4-FFF2-40B4-BE49-F238E27FC236}">
              <a16:creationId xmlns:a16="http://schemas.microsoft.com/office/drawing/2014/main" id="{8134C1DB-46C7-48FD-8421-B77AC49C69EE}"/>
            </a:ext>
          </a:extLst>
        </xdr:cNvPr>
        <xdr:cNvSpPr txBox="1"/>
      </xdr:nvSpPr>
      <xdr:spPr>
        <a:xfrm>
          <a:off x="6270623" y="3517900"/>
          <a:ext cx="827660" cy="234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1</xdr:row>
      <xdr:rowOff>47625</xdr:rowOff>
    </xdr:from>
    <xdr:to>
      <xdr:col>8</xdr:col>
      <xdr:colOff>2349</xdr:colOff>
      <xdr:row>1</xdr:row>
      <xdr:rowOff>304800</xdr:rowOff>
    </xdr:to>
    <xdr:sp macro="" textlink="">
      <xdr:nvSpPr>
        <xdr:cNvPr id="44" name="WordArt 111">
          <a:extLst>
            <a:ext uri="{FF2B5EF4-FFF2-40B4-BE49-F238E27FC236}">
              <a16:creationId xmlns:a16="http://schemas.microsoft.com/office/drawing/2014/main" id="{02781912-27F4-42FB-9502-B972DA7B2C53}"/>
            </a:ext>
          </a:extLst>
        </xdr:cNvPr>
        <xdr:cNvSpPr>
          <a:spLocks noChangeArrowheads="1" noChangeShapeType="1" noTextEdit="1"/>
        </xdr:cNvSpPr>
      </xdr:nvSpPr>
      <xdr:spPr bwMode="auto">
        <a:xfrm>
          <a:off x="291042" y="619125"/>
          <a:ext cx="2511688"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45" name="Text Box 48">
          <a:extLst>
            <a:ext uri="{FF2B5EF4-FFF2-40B4-BE49-F238E27FC236}">
              <a16:creationId xmlns:a16="http://schemas.microsoft.com/office/drawing/2014/main" id="{1C0CE302-31E1-4609-A68F-6F1FF498610E}"/>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46" name="Text Box 49">
          <a:extLst>
            <a:ext uri="{FF2B5EF4-FFF2-40B4-BE49-F238E27FC236}">
              <a16:creationId xmlns:a16="http://schemas.microsoft.com/office/drawing/2014/main" id="{DECFBD72-537F-4FD5-81AF-BA026436951F}"/>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47" name="Text Box 44">
          <a:extLst>
            <a:ext uri="{FF2B5EF4-FFF2-40B4-BE49-F238E27FC236}">
              <a16:creationId xmlns:a16="http://schemas.microsoft.com/office/drawing/2014/main" id="{3B2D2CC1-D675-45F3-9689-54B6A11BE570}"/>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48" name="Text Box 48">
          <a:extLst>
            <a:ext uri="{FF2B5EF4-FFF2-40B4-BE49-F238E27FC236}">
              <a16:creationId xmlns:a16="http://schemas.microsoft.com/office/drawing/2014/main" id="{1F9EACB4-1DE8-4423-A34C-764A1CC9215B}"/>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49" name="Text Box 58">
          <a:extLst>
            <a:ext uri="{FF2B5EF4-FFF2-40B4-BE49-F238E27FC236}">
              <a16:creationId xmlns:a16="http://schemas.microsoft.com/office/drawing/2014/main" id="{8FEA2400-2394-4DF0-A715-6721C0C1701D}"/>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38100</xdr:colOff>
      <xdr:row>27</xdr:row>
      <xdr:rowOff>63500</xdr:rowOff>
    </xdr:from>
    <xdr:to>
      <xdr:col>18</xdr:col>
      <xdr:colOff>0</xdr:colOff>
      <xdr:row>31</xdr:row>
      <xdr:rowOff>158750</xdr:rowOff>
    </xdr:to>
    <xdr:pic>
      <xdr:nvPicPr>
        <xdr:cNvPr id="180472" name="Picture 85" descr="C:\Users\mumtaz\Downloads\motorcycle-types-objects-icons-set-vector-6122963.jpg">
          <a:extLst>
            <a:ext uri="{FF2B5EF4-FFF2-40B4-BE49-F238E27FC236}">
              <a16:creationId xmlns:a16="http://schemas.microsoft.com/office/drawing/2014/main" id="{EE4CB452-42EC-46BC-B5BD-168EF6AC06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4932" t="4869" r="5272" b="78262"/>
        <a:stretch>
          <a:fillRect/>
        </a:stretch>
      </xdr:blipFill>
      <xdr:spPr bwMode="auto">
        <a:xfrm>
          <a:off x="7207250" y="5854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400050</xdr:colOff>
      <xdr:row>0</xdr:row>
      <xdr:rowOff>158750</xdr:rowOff>
    </xdr:from>
    <xdr:to>
      <xdr:col>18</xdr:col>
      <xdr:colOff>133350</xdr:colOff>
      <xdr:row>2</xdr:row>
      <xdr:rowOff>114300</xdr:rowOff>
    </xdr:to>
    <xdr:pic>
      <xdr:nvPicPr>
        <xdr:cNvPr id="180473" name="Picture 84" descr="C:\Users\mumtaz\Desktop\ATI Logo\Amana-Logos-04.png">
          <a:extLst>
            <a:ext uri="{FF2B5EF4-FFF2-40B4-BE49-F238E27FC236}">
              <a16:creationId xmlns:a16="http://schemas.microsoft.com/office/drawing/2014/main" id="{BC3CAB5F-17E2-41C3-8B66-18FD56F7244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97600" y="158750"/>
          <a:ext cx="2844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EA3D3E8F-026E-4F9C-8A48-1C793199DF73}"/>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382D9A75-7D71-4D0C-9900-5DAD21BAA6EA}"/>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BD2AB6E7-8413-4FFE-A659-39EDDD82C1A5}"/>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69</xdr:row>
      <xdr:rowOff>38100</xdr:rowOff>
    </xdr:from>
    <xdr:to>
      <xdr:col>5</xdr:col>
      <xdr:colOff>831885</xdr:colOff>
      <xdr:row>71</xdr:row>
      <xdr:rowOff>32582</xdr:rowOff>
    </xdr:to>
    <xdr:sp macro="" textlink="">
      <xdr:nvSpPr>
        <xdr:cNvPr id="5" name="Text Box 66">
          <a:extLst>
            <a:ext uri="{FF2B5EF4-FFF2-40B4-BE49-F238E27FC236}">
              <a16:creationId xmlns:a16="http://schemas.microsoft.com/office/drawing/2014/main" id="{E5224E3C-C6A0-4C81-AD7A-77AE1556171C}"/>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A60F4923-5443-4B7F-A6BA-B87126864390}"/>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4B20A174-3238-44E6-BE1F-2C0658BBD970}"/>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63500</xdr:rowOff>
    </xdr:from>
    <xdr:to>
      <xdr:col>12</xdr:col>
      <xdr:colOff>695697</xdr:colOff>
      <xdr:row>71</xdr:row>
      <xdr:rowOff>108771</xdr:rowOff>
    </xdr:to>
    <xdr:sp macro="" textlink="">
      <xdr:nvSpPr>
        <xdr:cNvPr id="8" name="Text Box 469" descr="Large grid">
          <a:extLst>
            <a:ext uri="{FF2B5EF4-FFF2-40B4-BE49-F238E27FC236}">
              <a16:creationId xmlns:a16="http://schemas.microsoft.com/office/drawing/2014/main" id="{B9251FAB-E4BE-4E14-9299-7A9BF49E37AF}"/>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66</xdr:row>
      <xdr:rowOff>116205</xdr:rowOff>
    </xdr:from>
    <xdr:to>
      <xdr:col>5</xdr:col>
      <xdr:colOff>2301663</xdr:colOff>
      <xdr:row>69</xdr:row>
      <xdr:rowOff>109262</xdr:rowOff>
    </xdr:to>
    <xdr:sp macro="" textlink="">
      <xdr:nvSpPr>
        <xdr:cNvPr id="9" name="Text Box 522">
          <a:extLst>
            <a:ext uri="{FF2B5EF4-FFF2-40B4-BE49-F238E27FC236}">
              <a16:creationId xmlns:a16="http://schemas.microsoft.com/office/drawing/2014/main" id="{0460689C-48F3-48E1-967C-3D659BE62761}"/>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61E98A59-25D9-40AD-AD25-9AA516D02FFE}"/>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214C4D69-CB0F-4ED6-86DF-9F98CF33C68C}"/>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4A5A17FD-E694-48A8-AAD2-B8AB44FE6C8E}"/>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4.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3.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453125" style="248" customWidth="1"/>
    <col min="5" max="5" width="5" style="248" customWidth="1"/>
    <col min="6" max="6" width="5.5429687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54296875" style="248" customWidth="1"/>
    <col min="16" max="251" width="9.1796875" style="248"/>
    <col min="252" max="252" width="10.453125" style="248" bestFit="1" customWidth="1"/>
    <col min="253" max="16384" width="9.1796875" style="248"/>
  </cols>
  <sheetData>
    <row r="1" spans="1:254" ht="25" customHeight="1" thickBot="1" x14ac:dyDescent="0.35">
      <c r="A1" s="1470" t="s">
        <v>218</v>
      </c>
      <c r="B1" s="1471"/>
      <c r="C1" s="1471"/>
      <c r="D1" s="1472"/>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235</v>
      </c>
      <c r="Q3" s="249" t="s">
        <v>206</v>
      </c>
    </row>
    <row r="4" spans="1:254" ht="25" customHeight="1" thickBot="1" x14ac:dyDescent="0.35">
      <c r="A4" s="250"/>
      <c r="G4" s="358"/>
      <c r="H4" s="358"/>
      <c r="I4" s="359"/>
      <c r="J4" s="359"/>
      <c r="K4" s="359"/>
      <c r="L4" s="216"/>
      <c r="M4" s="216"/>
      <c r="N4" s="259" t="s">
        <v>236</v>
      </c>
      <c r="O4" s="217" t="s">
        <v>177</v>
      </c>
      <c r="Q4" s="248">
        <v>1</v>
      </c>
      <c r="IR4" s="296" t="s">
        <v>204</v>
      </c>
      <c r="IS4" s="296" t="s">
        <v>205</v>
      </c>
      <c r="IT4" s="296" t="s">
        <v>206</v>
      </c>
    </row>
    <row r="5" spans="1:254" ht="25" customHeight="1" thickBot="1" x14ac:dyDescent="0.35">
      <c r="A5" s="218" t="s">
        <v>207</v>
      </c>
      <c r="C5" s="1474" t="str">
        <f>H5</f>
        <v/>
      </c>
      <c r="D5" s="1475"/>
      <c r="E5" s="1476"/>
      <c r="G5" s="358"/>
      <c r="H5" s="358" t="str">
        <f>IF(Working!$H$65529=N4,O4,IF(Working!$H$65529=N5,O5,IF(Working!$H$65529=N6,O6,IF(Working!$H$65529=N7,O7,IF(Working!$H$65529=N8,O8,IF(Working!$H$65529=N9,O9,IF(Working!$H$65529=N10,O10,IF(Working!$H$65529=N11,O11,I5))))))))</f>
        <v/>
      </c>
      <c r="I5" s="358" t="str">
        <f>IF(Working!$H$65529=N12,O12,IF(Working!$H$65529=N13,O13,IF(Working!$H$65529=N14,O14,IF(Working!$H$65529=N15,O15,IF(Working!$H$65529=N16,O16,IF(Working!$H$65529=N17,O17,IF(Working!$H$65529=N18,O18,IF(Working!$H$65529=N19,O19,J5))))))))</f>
        <v/>
      </c>
      <c r="J5" s="358" t="str">
        <f>IF(Working!$H$65529=N20,O20,IF(Working!$H$65529=N21,O21,IF(Working!$H$65529=N22,O22,IF(Working!$H$65529=N23,O23,IF(Working!$H$65529=N24,O24,IF(Working!$H$65529=N25,O25,IF(Working!$H$65529=N26,O26,IF(Working!$H$65529=N27,O27,K5))))))))</f>
        <v/>
      </c>
      <c r="K5" s="358" t="str">
        <f>IF(Working!$H$65529=N28,O28,IF(Working!$H$65529=N29,O29,IF(Working!$H$65529=N30,O30,IF(Working!$H$65529=N31,O31,""))))</f>
        <v/>
      </c>
      <c r="N5" s="259" t="s">
        <v>237</v>
      </c>
      <c r="O5" s="217" t="s">
        <v>178</v>
      </c>
      <c r="Q5" s="248">
        <f>Q4+1</f>
        <v>2</v>
      </c>
      <c r="IR5" s="215">
        <v>2024</v>
      </c>
      <c r="IS5" s="215" t="s">
        <v>348</v>
      </c>
      <c r="IT5" s="215">
        <v>1</v>
      </c>
    </row>
    <row r="6" spans="1:254" ht="25" customHeight="1" thickBot="1" x14ac:dyDescent="0.3">
      <c r="G6" s="358"/>
      <c r="H6" s="358"/>
      <c r="I6" s="358"/>
      <c r="J6" s="572" t="s">
        <v>417</v>
      </c>
      <c r="K6" s="358"/>
      <c r="N6" s="259" t="s">
        <v>241</v>
      </c>
      <c r="O6" s="217" t="s">
        <v>179</v>
      </c>
      <c r="Q6" s="248">
        <f t="shared" ref="Q6:Q18" si="0">Q5+1</f>
        <v>3</v>
      </c>
    </row>
    <row r="7" spans="1:254" ht="25" customHeight="1" thickBot="1" x14ac:dyDescent="0.35">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1473">
        <f>I3</f>
        <v>45413</v>
      </c>
      <c r="IS7" s="1473"/>
      <c r="IT7" s="1473"/>
    </row>
    <row r="8" spans="1:254" ht="17.149999999999999" customHeight="1" thickBot="1" x14ac:dyDescent="0.3">
      <c r="C8" s="248" t="s">
        <v>209</v>
      </c>
      <c r="F8" s="251" t="s">
        <v>78</v>
      </c>
      <c r="G8" s="358" t="str">
        <f t="shared" si="1"/>
        <v>Jeep</v>
      </c>
      <c r="H8" s="358">
        <f>IF(F8="Yes",1,0)</f>
        <v>1</v>
      </c>
      <c r="I8" s="358"/>
      <c r="J8" s="572" t="s">
        <v>383</v>
      </c>
      <c r="K8" s="358"/>
      <c r="N8" s="259" t="s">
        <v>240</v>
      </c>
      <c r="O8" s="217" t="s">
        <v>181</v>
      </c>
      <c r="Q8" s="248">
        <f t="shared" si="0"/>
        <v>5</v>
      </c>
      <c r="IR8" s="761">
        <f ca="1">TODAY()</f>
        <v>45346</v>
      </c>
    </row>
    <row r="9" spans="1:254" ht="17.149999999999999" customHeight="1" thickBot="1" x14ac:dyDescent="0.3">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x14ac:dyDescent="0.3">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x14ac:dyDescent="0.3">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x14ac:dyDescent="0.3">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x14ac:dyDescent="0.3">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x14ac:dyDescent="0.3">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x14ac:dyDescent="0.3">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x14ac:dyDescent="0.3">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x14ac:dyDescent="0.3">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x14ac:dyDescent="0.25">
      <c r="H18" s="358"/>
      <c r="I18" s="360"/>
      <c r="J18" s="572" t="s">
        <v>386</v>
      </c>
      <c r="K18" s="358"/>
      <c r="N18" s="259" t="s">
        <v>247</v>
      </c>
      <c r="O18" s="217" t="s">
        <v>191</v>
      </c>
      <c r="Q18" s="248">
        <f t="shared" si="0"/>
        <v>15</v>
      </c>
    </row>
    <row r="19" spans="1:17" ht="17.149999999999999" customHeight="1" thickBot="1" x14ac:dyDescent="0.3">
      <c r="G19" s="358"/>
      <c r="H19" s="358"/>
      <c r="I19" s="358"/>
      <c r="J19" s="572" t="s">
        <v>387</v>
      </c>
      <c r="K19" s="358"/>
      <c r="N19" s="259" t="s">
        <v>248</v>
      </c>
      <c r="O19" s="217" t="s">
        <v>192</v>
      </c>
      <c r="Q19" s="248">
        <f t="shared" ref="Q19:Q31" si="2">Q18+1</f>
        <v>16</v>
      </c>
    </row>
    <row r="20" spans="1:17" ht="17.149999999999999" customHeight="1" thickBot="1" x14ac:dyDescent="0.3">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x14ac:dyDescent="0.3">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x14ac:dyDescent="0.3">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x14ac:dyDescent="0.3">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x14ac:dyDescent="0.3">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x14ac:dyDescent="0.25">
      <c r="G25" s="358"/>
      <c r="H25" s="358"/>
      <c r="I25" s="358"/>
      <c r="J25" s="572" t="s">
        <v>419</v>
      </c>
      <c r="K25" s="358"/>
      <c r="N25" s="259" t="s">
        <v>254</v>
      </c>
      <c r="O25" s="217" t="s">
        <v>197</v>
      </c>
      <c r="Q25" s="248">
        <f t="shared" si="2"/>
        <v>22</v>
      </c>
    </row>
    <row r="26" spans="1:17" ht="18" customHeight="1" thickBot="1" x14ac:dyDescent="0.3">
      <c r="G26" s="358"/>
      <c r="H26" s="358"/>
      <c r="I26" s="358"/>
      <c r="J26" s="572" t="s">
        <v>394</v>
      </c>
      <c r="K26" s="358"/>
      <c r="N26" s="259" t="s">
        <v>255</v>
      </c>
      <c r="O26" s="217" t="s">
        <v>198</v>
      </c>
      <c r="Q26" s="248">
        <f t="shared" si="2"/>
        <v>23</v>
      </c>
    </row>
    <row r="27" spans="1:17" ht="25" customHeight="1" thickBot="1" x14ac:dyDescent="0.35">
      <c r="A27" s="253" t="s">
        <v>217</v>
      </c>
      <c r="F27" s="251" t="s">
        <v>78</v>
      </c>
      <c r="G27" s="358"/>
      <c r="H27" s="358"/>
      <c r="I27" s="358"/>
      <c r="J27" s="572" t="s">
        <v>418</v>
      </c>
      <c r="K27" s="358"/>
      <c r="N27" s="259" t="s">
        <v>256</v>
      </c>
      <c r="O27" s="217" t="s">
        <v>199</v>
      </c>
      <c r="Q27" s="248">
        <f t="shared" si="2"/>
        <v>24</v>
      </c>
    </row>
    <row r="28" spans="1:17" ht="25" customHeight="1" thickBot="1" x14ac:dyDescent="0.3">
      <c r="G28" s="358"/>
      <c r="H28" s="358"/>
      <c r="I28" s="358"/>
      <c r="J28" s="572" t="s">
        <v>426</v>
      </c>
      <c r="K28" s="358"/>
      <c r="N28" s="259" t="s">
        <v>257</v>
      </c>
      <c r="O28" s="217" t="s">
        <v>200</v>
      </c>
      <c r="Q28" s="248">
        <f t="shared" si="2"/>
        <v>25</v>
      </c>
    </row>
    <row r="29" spans="1:17" ht="25" customHeight="1" thickBot="1" x14ac:dyDescent="0.35">
      <c r="A29" s="218" t="s">
        <v>278</v>
      </c>
      <c r="C29" s="1"/>
      <c r="F29" s="277">
        <v>19</v>
      </c>
      <c r="G29" s="358"/>
      <c r="I29" s="358"/>
      <c r="J29" s="572" t="s">
        <v>428</v>
      </c>
      <c r="K29" s="358"/>
      <c r="N29" s="259" t="s">
        <v>258</v>
      </c>
      <c r="O29" s="217" t="s">
        <v>201</v>
      </c>
      <c r="Q29" s="248">
        <f t="shared" si="2"/>
        <v>26</v>
      </c>
    </row>
    <row r="30" spans="1:17" ht="25" customHeight="1" thickBot="1" x14ac:dyDescent="0.3">
      <c r="G30" s="358"/>
      <c r="H30" s="358"/>
      <c r="I30" s="358"/>
      <c r="J30" s="572" t="s">
        <v>441</v>
      </c>
      <c r="K30" s="358"/>
      <c r="N30" s="259" t="s">
        <v>259</v>
      </c>
      <c r="O30" s="217" t="s">
        <v>202</v>
      </c>
      <c r="Q30" s="248">
        <f t="shared" si="2"/>
        <v>27</v>
      </c>
    </row>
    <row r="31" spans="1:17" ht="25" customHeight="1" thickBot="1" x14ac:dyDescent="0.35">
      <c r="A31" s="218" t="s">
        <v>289</v>
      </c>
      <c r="C31" s="1"/>
      <c r="F31" s="251" t="s">
        <v>78</v>
      </c>
      <c r="J31" s="572" t="s">
        <v>430</v>
      </c>
      <c r="N31" s="259" t="s">
        <v>260</v>
      </c>
      <c r="O31" s="217" t="s">
        <v>203</v>
      </c>
      <c r="Q31" s="248">
        <f t="shared" si="2"/>
        <v>28</v>
      </c>
    </row>
    <row r="32" spans="1:17" ht="8.25" customHeight="1" x14ac:dyDescent="0.25">
      <c r="A32" s="1477"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477"/>
      <c r="C32" s="1477"/>
      <c r="D32" s="1477"/>
      <c r="E32" s="1477"/>
      <c r="F32" s="1477"/>
      <c r="G32" s="1477"/>
      <c r="J32" s="572" t="s">
        <v>421</v>
      </c>
      <c r="N32" s="259"/>
      <c r="Q32" s="248">
        <f>IF(AND(M3&lt;&gt;0,G3=2),"",29)</f>
        <v>29</v>
      </c>
    </row>
    <row r="33" spans="1:17" ht="25" customHeight="1" x14ac:dyDescent="0.25">
      <c r="A33" s="1477"/>
      <c r="B33" s="1477"/>
      <c r="C33" s="1477"/>
      <c r="D33" s="1477"/>
      <c r="E33" s="1477"/>
      <c r="F33" s="1477"/>
      <c r="G33" s="1477"/>
      <c r="J33" s="572" t="s">
        <v>389</v>
      </c>
      <c r="N33" s="259"/>
      <c r="Q33" s="248">
        <f>IF(G3=2,"",30)</f>
        <v>30</v>
      </c>
    </row>
    <row r="34" spans="1:17" ht="25" customHeight="1" x14ac:dyDescent="0.25">
      <c r="I34" s="573" t="s">
        <v>443</v>
      </c>
      <c r="J34" s="572"/>
      <c r="N34" s="259"/>
      <c r="Q34" s="248">
        <f>IF(OR(G3=2,G3=4,G3=6,G3=9,G3=11),"",31)</f>
        <v>31</v>
      </c>
    </row>
    <row r="35" spans="1:17" ht="25" customHeight="1" x14ac:dyDescent="0.25">
      <c r="J35" s="572"/>
      <c r="N35" s="259"/>
    </row>
    <row r="36" spans="1:17" ht="25" customHeight="1" x14ac:dyDescent="0.25">
      <c r="J36" s="572"/>
    </row>
    <row r="37" spans="1:17" ht="25" customHeight="1" x14ac:dyDescent="0.25">
      <c r="J37" s="572"/>
    </row>
    <row r="38" spans="1:17" ht="25" customHeight="1" x14ac:dyDescent="0.25">
      <c r="J38" s="572"/>
    </row>
    <row r="39" spans="1:17" ht="25" customHeight="1" x14ac:dyDescent="0.25">
      <c r="J39" s="572"/>
    </row>
    <row r="40" spans="1:17" ht="25"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343"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showOutlineSymbols="0" zoomScale="80" zoomScaleNormal="80" workbookViewId="0">
      <selection activeCell="C20" sqref="C20:J24"/>
    </sheetView>
  </sheetViews>
  <sheetFormatPr defaultColWidth="0" defaultRowHeight="12.75" customHeight="1" zeroHeight="1" x14ac:dyDescent="0.25"/>
  <cols>
    <col min="1" max="1" width="2.453125" style="975" customWidth="1"/>
    <col min="2" max="2" width="1.453125" style="975" customWidth="1"/>
    <col min="3" max="3" width="4.453125" style="975" customWidth="1"/>
    <col min="4" max="4" width="10.453125" style="975" customWidth="1"/>
    <col min="5" max="5" width="4.453125" style="975" customWidth="1"/>
    <col min="6" max="6" width="13.453125" style="975" customWidth="1"/>
    <col min="7" max="7" width="4.453125" style="975" customWidth="1"/>
    <col min="8" max="8" width="1.54296875" style="975" customWidth="1"/>
    <col min="9" max="9" width="16.81640625" style="975" customWidth="1"/>
    <col min="10" max="11" width="1.81640625" style="975" customWidth="1"/>
    <col min="12" max="12" width="4.81640625" style="975" customWidth="1"/>
    <col min="13" max="13" width="9.81640625" style="975" customWidth="1"/>
    <col min="14" max="14" width="5.1796875" style="975" customWidth="1"/>
    <col min="15" max="15" width="8.54296875" style="975" customWidth="1"/>
    <col min="16" max="16" width="3.54296875" style="975" customWidth="1"/>
    <col min="17" max="17" width="7.453125" style="975" customWidth="1"/>
    <col min="18" max="18" width="24.81640625" style="975" customWidth="1"/>
    <col min="19" max="19" width="4.54296875" style="975" customWidth="1"/>
    <col min="20" max="20" width="8.81640625" style="975" customWidth="1"/>
    <col min="21" max="21" width="3.54296875" style="975" hidden="1" customWidth="1"/>
    <col min="22" max="22" width="6.81640625" style="978" hidden="1" customWidth="1"/>
    <col min="23" max="24" width="6.453125" style="978" hidden="1" customWidth="1"/>
    <col min="25" max="25" width="4.453125" style="978" hidden="1" customWidth="1"/>
    <col min="26" max="26" width="6.81640625" style="978" hidden="1" customWidth="1"/>
    <col min="27" max="27" width="3.453125" style="978" hidden="1" customWidth="1"/>
    <col min="28" max="28" width="8.81640625" style="978" hidden="1" customWidth="1"/>
    <col min="29" max="29" width="10.1796875" style="978" hidden="1" customWidth="1"/>
    <col min="30" max="253" width="8.81640625" style="975" hidden="1" customWidth="1"/>
    <col min="254" max="254" width="5.54296875" style="975" hidden="1" customWidth="1"/>
    <col min="255" max="255" width="5.1796875" style="975" hidden="1" customWidth="1"/>
    <col min="256" max="16384" width="5.453125" style="975" hidden="1"/>
  </cols>
  <sheetData>
    <row r="1" spans="1:28" ht="45" customHeight="1" thickTop="1" x14ac:dyDescent="0.45">
      <c r="A1" s="971"/>
      <c r="B1" s="972"/>
      <c r="C1" s="973" t="s">
        <v>561</v>
      </c>
      <c r="D1" s="974"/>
      <c r="E1" s="974"/>
      <c r="F1" s="974"/>
      <c r="G1" s="974"/>
      <c r="H1" s="974"/>
      <c r="I1" s="974"/>
      <c r="J1" s="974"/>
      <c r="K1" s="974"/>
      <c r="L1" s="974"/>
      <c r="M1" s="1744" t="str">
        <f ca="1">CONCATENATE('MC Working'!H2," - (QI Code - ", X4,"-",W4,"-",Y4,"-",Z4,"-",AA4,"-", AB4)</f>
        <v>Special Leasing/2019 - (QI Code - 0-50-000-115.2-0-ATI)</v>
      </c>
      <c r="N1" s="1744"/>
      <c r="O1" s="1744"/>
      <c r="P1" s="1744"/>
      <c r="Q1" s="1744"/>
      <c r="R1" s="1744"/>
      <c r="S1" s="1745"/>
      <c r="U1" s="976"/>
      <c r="V1" s="977"/>
      <c r="W1" s="977"/>
      <c r="X1" s="977"/>
      <c r="Y1" s="977"/>
      <c r="Z1" s="977"/>
      <c r="AA1" s="977"/>
      <c r="AB1" s="977"/>
    </row>
    <row r="2" spans="1:28" ht="33.75" customHeight="1" x14ac:dyDescent="0.25">
      <c r="A2" s="979"/>
      <c r="B2" s="980"/>
      <c r="C2" s="981"/>
      <c r="D2" s="981"/>
      <c r="E2" s="981"/>
      <c r="F2" s="981"/>
      <c r="G2" s="981"/>
      <c r="H2" s="981"/>
      <c r="I2" s="981"/>
      <c r="J2" s="981"/>
      <c r="K2" s="981"/>
      <c r="L2" s="981"/>
      <c r="M2" s="1746" t="str">
        <f>IF(U3=0,CONCATENATE("Print  ",'MC Working'!Y48,"  Sheet"),"")</f>
        <v/>
      </c>
      <c r="N2" s="1746"/>
      <c r="O2" s="1746"/>
      <c r="P2" s="1746"/>
      <c r="Q2" s="1746"/>
      <c r="R2" s="1746"/>
      <c r="S2" s="983"/>
      <c r="U2" s="976"/>
      <c r="V2" s="977"/>
      <c r="W2" s="977"/>
      <c r="X2" s="977"/>
      <c r="Y2" s="977"/>
      <c r="Z2" s="977"/>
      <c r="AA2" s="977"/>
      <c r="AB2" s="977"/>
    </row>
    <row r="3" spans="1:28" ht="13" customHeight="1" x14ac:dyDescent="0.25">
      <c r="A3" s="979"/>
      <c r="B3" s="980"/>
      <c r="C3" s="981"/>
      <c r="D3" s="981"/>
      <c r="E3" s="981"/>
      <c r="F3" s="981"/>
      <c r="G3" s="981"/>
      <c r="H3" s="981"/>
      <c r="I3" s="981"/>
      <c r="J3" s="981"/>
      <c r="K3" s="981"/>
      <c r="L3" s="981"/>
      <c r="M3" s="982"/>
      <c r="N3" s="982"/>
      <c r="O3" s="982"/>
      <c r="P3" s="982"/>
      <c r="Q3" s="982"/>
      <c r="R3" s="982"/>
      <c r="S3" s="983"/>
      <c r="U3" s="975">
        <f>IF(AND('MC Working'!Z2=1,'MC Working'!Y48="Motor Cycle Policy"),1,0)</f>
        <v>1</v>
      </c>
      <c r="V3" s="977"/>
      <c r="W3" s="977"/>
      <c r="X3" s="977"/>
      <c r="Y3" s="977"/>
      <c r="Z3" s="977"/>
      <c r="AA3" s="977"/>
      <c r="AB3" s="977"/>
    </row>
    <row r="4" spans="1:28" ht="20.25" customHeight="1" x14ac:dyDescent="0.35">
      <c r="A4" s="979"/>
      <c r="B4" s="984"/>
      <c r="C4" s="985" t="s">
        <v>529</v>
      </c>
      <c r="D4" s="986"/>
      <c r="E4" s="987"/>
      <c r="F4" s="988"/>
      <c r="G4" s="984"/>
      <c r="H4" s="986"/>
      <c r="I4" s="986"/>
      <c r="J4" s="986"/>
      <c r="K4" s="986"/>
      <c r="L4" s="989"/>
      <c r="M4" s="990"/>
      <c r="N4" s="990"/>
      <c r="O4" s="985"/>
      <c r="P4" s="1747">
        <f ca="1">TODAY()</f>
        <v>45346</v>
      </c>
      <c r="Q4" s="1747"/>
      <c r="R4" s="1747"/>
      <c r="S4" s="991"/>
      <c r="W4" s="992">
        <f ca="1">IF('MC Working'!$M$37&lt;0,'MC Working'!$G$37*2,0)</f>
        <v>50</v>
      </c>
      <c r="X4" s="992">
        <f ca="1">IF('MC Working'!$M$36&lt;0,'MC Working'!$H$36*2,0)</f>
        <v>0</v>
      </c>
      <c r="Y4" s="993" t="str">
        <f>IF('MC Working'!$B$21="Free","000","111")</f>
        <v>000</v>
      </c>
      <c r="Z4" s="994">
        <f ca="1">IF('MC Working'!$M$23&lt;0,'MC Working'!$H$23*2,0)</f>
        <v>115.2</v>
      </c>
      <c r="AA4" s="995">
        <f>'MC Working'!$N$60</f>
        <v>0</v>
      </c>
      <c r="AB4" s="978" t="str">
        <f>IF('MC Working'!$C$2="Yes","GUD)","ATI)")</f>
        <v>ATI)</v>
      </c>
    </row>
    <row r="5" spans="1:28" ht="13.5" customHeight="1" x14ac:dyDescent="0.3">
      <c r="A5" s="979"/>
      <c r="B5" s="984"/>
      <c r="C5" s="988" t="s">
        <v>425</v>
      </c>
      <c r="D5" s="987"/>
      <c r="E5" s="987"/>
      <c r="F5" s="988"/>
      <c r="G5" s="984"/>
      <c r="H5" s="984"/>
      <c r="I5" s="984"/>
      <c r="J5" s="984"/>
      <c r="K5" s="984"/>
      <c r="L5" s="984"/>
      <c r="M5" s="990"/>
      <c r="N5" s="990"/>
      <c r="O5" s="985"/>
      <c r="P5" s="985"/>
      <c r="Q5" s="996"/>
      <c r="R5" s="997"/>
      <c r="S5" s="998"/>
      <c r="W5" s="977"/>
      <c r="X5" s="999"/>
      <c r="Y5" s="1000"/>
      <c r="Z5" s="1001"/>
      <c r="AA5" s="1002"/>
      <c r="AB5" s="977"/>
    </row>
    <row r="6" spans="1:28" ht="5.15" customHeight="1" x14ac:dyDescent="0.35">
      <c r="A6" s="979"/>
      <c r="B6" s="984"/>
      <c r="C6" s="1003"/>
      <c r="D6" s="1004"/>
      <c r="E6" s="1004"/>
      <c r="F6" s="1004"/>
      <c r="G6" s="1004"/>
      <c r="H6" s="1004"/>
      <c r="I6" s="1004"/>
      <c r="J6" s="1004"/>
      <c r="K6" s="1004"/>
      <c r="L6" s="1004"/>
      <c r="M6" s="1005"/>
      <c r="N6" s="1005"/>
      <c r="O6" s="1005"/>
      <c r="P6" s="1005"/>
      <c r="Q6" s="1005"/>
      <c r="R6" s="1005"/>
      <c r="S6" s="998"/>
    </row>
    <row r="7" spans="1:28" ht="18" customHeight="1" x14ac:dyDescent="0.3">
      <c r="A7" s="979"/>
      <c r="B7" s="984"/>
      <c r="C7" s="1006" t="s">
        <v>297</v>
      </c>
      <c r="D7" s="1007"/>
      <c r="E7" s="1007"/>
      <c r="F7" s="1007"/>
      <c r="G7" s="1007"/>
      <c r="H7" s="1007"/>
      <c r="I7" s="1007"/>
      <c r="J7" s="1007"/>
      <c r="K7" s="986"/>
      <c r="L7" s="1008" t="s">
        <v>25</v>
      </c>
      <c r="M7" s="1009"/>
      <c r="N7" s="986"/>
      <c r="O7" s="1010"/>
      <c r="P7" s="1748" t="str">
        <f>IF(AND(U3=1,'MC Working'!U2=1),UPPER('MC Working'!H8),"")</f>
        <v>MOTOR CYCLE</v>
      </c>
      <c r="Q7" s="1748"/>
      <c r="R7" s="1748"/>
      <c r="S7" s="1749"/>
    </row>
    <row r="8" spans="1:28" ht="18" customHeight="1" x14ac:dyDescent="0.25">
      <c r="A8" s="979"/>
      <c r="B8" s="984"/>
      <c r="C8" s="1739" t="s">
        <v>526</v>
      </c>
      <c r="D8" s="1740"/>
      <c r="E8" s="1740"/>
      <c r="F8" s="1740"/>
      <c r="G8" s="1740"/>
      <c r="H8" s="1740"/>
      <c r="I8" s="1740"/>
      <c r="J8" s="1741"/>
      <c r="K8" s="1011"/>
      <c r="L8" s="1008" t="s">
        <v>108</v>
      </c>
      <c r="M8" s="1012"/>
      <c r="N8" s="1010"/>
      <c r="O8" s="1010"/>
      <c r="P8" s="1739" t="s">
        <v>526</v>
      </c>
      <c r="Q8" s="1740"/>
      <c r="R8" s="1741"/>
      <c r="S8" s="1013"/>
    </row>
    <row r="9" spans="1:28" ht="18" customHeight="1" x14ac:dyDescent="0.3">
      <c r="A9" s="979"/>
      <c r="B9" s="984"/>
      <c r="C9" s="1014" t="str">
        <f>IF(AND('MC Working'!H12="HYBRID",'MC Working'!H14="No",'MC Working'!B12="Corporate"),CONCATENATE("(",'MC Working'!B12," CUSTOMER)"),"")</f>
        <v/>
      </c>
      <c r="D9" s="1015"/>
      <c r="E9" s="1015"/>
      <c r="F9" s="1015"/>
      <c r="G9" s="1015"/>
      <c r="H9" s="1015"/>
      <c r="I9" s="1015"/>
      <c r="J9" s="1015"/>
      <c r="K9" s="1011"/>
      <c r="L9" s="1008" t="s">
        <v>377</v>
      </c>
      <c r="M9" s="1016"/>
      <c r="N9" s="1010"/>
      <c r="O9" s="1010"/>
      <c r="P9" s="1739" t="s">
        <v>522</v>
      </c>
      <c r="Q9" s="1740"/>
      <c r="R9" s="1741"/>
      <c r="S9" s="1017"/>
    </row>
    <row r="10" spans="1:28" ht="18" customHeight="1" x14ac:dyDescent="0.3">
      <c r="A10" s="979"/>
      <c r="B10" s="984"/>
      <c r="C10" s="1006" t="s">
        <v>296</v>
      </c>
      <c r="D10" s="1007"/>
      <c r="E10" s="1007"/>
      <c r="F10" s="1007"/>
      <c r="G10" s="1018"/>
      <c r="H10" s="1018"/>
      <c r="I10" s="1018"/>
      <c r="J10" s="1018"/>
      <c r="K10" s="1019"/>
      <c r="L10" s="1008" t="s">
        <v>357</v>
      </c>
      <c r="M10" s="1016"/>
      <c r="N10" s="1020"/>
      <c r="O10" s="1020"/>
      <c r="P10" s="1742" t="s">
        <v>525</v>
      </c>
      <c r="Q10" s="1742"/>
      <c r="R10" s="1021" t="s">
        <v>527</v>
      </c>
      <c r="S10" s="1022"/>
    </row>
    <row r="11" spans="1:28" ht="18" customHeight="1" x14ac:dyDescent="0.25">
      <c r="A11" s="979"/>
      <c r="B11" s="984"/>
      <c r="C11" s="1739" t="s">
        <v>526</v>
      </c>
      <c r="D11" s="1740"/>
      <c r="E11" s="1740"/>
      <c r="F11" s="1740"/>
      <c r="G11" s="1740"/>
      <c r="H11" s="1740"/>
      <c r="I11" s="1740"/>
      <c r="J11" s="1741"/>
      <c r="K11" s="1011"/>
      <c r="L11" s="1008" t="s">
        <v>34</v>
      </c>
      <c r="M11" s="1012"/>
      <c r="N11" s="1023"/>
      <c r="O11" s="1020"/>
      <c r="P11" s="1739" t="s">
        <v>528</v>
      </c>
      <c r="Q11" s="1740"/>
      <c r="R11" s="1741"/>
      <c r="S11" s="1024"/>
    </row>
    <row r="12" spans="1:28" ht="18" customHeight="1" x14ac:dyDescent="0.3">
      <c r="A12" s="979"/>
      <c r="B12" s="984"/>
      <c r="C12" s="1025" t="s">
        <v>298</v>
      </c>
      <c r="D12" s="1007"/>
      <c r="E12" s="1007"/>
      <c r="F12" s="1007"/>
      <c r="G12" s="1026"/>
      <c r="H12" s="1026"/>
      <c r="I12" s="1026"/>
      <c r="J12" s="1026"/>
      <c r="K12" s="1027"/>
      <c r="L12" s="1008" t="s">
        <v>35</v>
      </c>
      <c r="M12" s="1012"/>
      <c r="N12" s="1028"/>
      <c r="O12" s="1028"/>
      <c r="P12" s="1743" t="str">
        <f>IF('MC Working'!U2=1,UPPER(V12),"")</f>
        <v>PRIVATE USE ONLY</v>
      </c>
      <c r="Q12" s="1743"/>
      <c r="R12" s="1743"/>
      <c r="S12" s="1030"/>
      <c r="V12" s="978" t="str">
        <f>IF('MC Working'!H9="Private Use","Private Use Only",'MC Working'!H9)</f>
        <v>Private Use Only</v>
      </c>
    </row>
    <row r="13" spans="1:28" ht="20.25" customHeight="1" x14ac:dyDescent="0.3">
      <c r="A13" s="979"/>
      <c r="B13" s="1031">
        <f>IF(OR(C13=I86,C13=I87,C13=I88,C13=I89,C13=I90,C13=I91,C13=I92,C13=I93,C13=I94,C13=I95,C13=I96,C13=I97,C13=I98),1,0)</f>
        <v>0</v>
      </c>
      <c r="C13" s="1728" t="s">
        <v>575</v>
      </c>
      <c r="D13" s="1729"/>
      <c r="E13" s="1729"/>
      <c r="F13" s="1729"/>
      <c r="G13" s="1729"/>
      <c r="H13" s="1729"/>
      <c r="I13" s="1729"/>
      <c r="J13" s="1730"/>
      <c r="K13" s="1032"/>
      <c r="L13" s="1008" t="s">
        <v>408</v>
      </c>
      <c r="M13" s="1012"/>
      <c r="N13" s="1028"/>
      <c r="O13" s="1028"/>
      <c r="P13" s="1731">
        <v>2020</v>
      </c>
      <c r="Q13" s="1732"/>
      <c r="R13" s="1033">
        <f>IF(U3=1,'MC Working'!T12,"")</f>
        <v>2</v>
      </c>
      <c r="S13" s="1030"/>
      <c r="T13" s="1034">
        <f>IF(I13="Ijarah","Ijarah",I13)</f>
        <v>0</v>
      </c>
      <c r="V13" s="978" t="str">
        <f>IF(AND('MC Working'!K14="",'MC Working'!B21="No"),"NOT APPLICABLE",IF(AND('MC Working'!K14="",OR('MC Working'!B21="Yes",'MC Working'!B21="Free")),"APPLICABLE  - TO BE ADVISED",'MC Working'!K14))</f>
        <v>FINTREX FINANCE</v>
      </c>
    </row>
    <row r="14" spans="1:28" ht="14.5" customHeight="1" x14ac:dyDescent="0.3">
      <c r="A14" s="979"/>
      <c r="B14" s="984"/>
      <c r="C14" s="936"/>
      <c r="D14" s="936"/>
      <c r="E14" s="936"/>
      <c r="F14" s="936"/>
      <c r="G14" s="936"/>
      <c r="H14" s="936"/>
      <c r="I14" s="1035"/>
      <c r="J14" s="1036"/>
      <c r="K14" s="1036"/>
      <c r="L14" s="936"/>
      <c r="M14" s="936"/>
      <c r="N14" s="936"/>
      <c r="O14" s="936"/>
      <c r="P14" s="936"/>
      <c r="Q14" s="936"/>
      <c r="R14" s="936"/>
      <c r="S14" s="1037"/>
    </row>
    <row r="15" spans="1:28" ht="6.75" customHeight="1" thickBot="1" x14ac:dyDescent="0.35">
      <c r="A15" s="979"/>
      <c r="B15" s="984"/>
      <c r="C15" s="984"/>
      <c r="D15" s="984"/>
      <c r="E15" s="984"/>
      <c r="F15" s="984"/>
      <c r="G15" s="984"/>
      <c r="H15" s="984"/>
      <c r="I15" s="984"/>
      <c r="J15" s="986"/>
      <c r="K15" s="986"/>
      <c r="L15" s="984"/>
      <c r="M15" s="984"/>
      <c r="N15" s="984"/>
      <c r="O15" s="984"/>
      <c r="P15" s="984"/>
      <c r="Q15" s="984"/>
      <c r="R15" s="984"/>
      <c r="S15" s="1038"/>
    </row>
    <row r="16" spans="1:28" ht="13.4" customHeight="1" x14ac:dyDescent="0.3">
      <c r="A16" s="979"/>
      <c r="B16" s="984"/>
      <c r="C16" s="1039" t="s">
        <v>301</v>
      </c>
      <c r="D16" s="984"/>
      <c r="E16" s="984"/>
      <c r="F16" s="1040" t="str">
        <f>IF('MC Working'!H3="One Year",": One Year",CONCATENATE(": ",'Calculation (2)'!H9," Days"))</f>
        <v>: One Year</v>
      </c>
      <c r="G16" s="984"/>
      <c r="H16" s="984"/>
      <c r="I16" s="1029" t="str">
        <f>IF('MC Working'!H3="One Year","",CONCATENATE("(",'MC Working'!H3," Basis)"))</f>
        <v/>
      </c>
      <c r="J16" s="986"/>
      <c r="K16" s="986"/>
      <c r="L16" s="984"/>
      <c r="M16" s="984"/>
      <c r="N16" s="984"/>
      <c r="O16" s="984"/>
      <c r="P16" s="1041"/>
      <c r="Q16" s="1733">
        <v>500000</v>
      </c>
      <c r="R16" s="1734"/>
      <c r="S16" s="1038"/>
    </row>
    <row r="17" spans="1:32" ht="13.4" customHeight="1" thickBot="1" x14ac:dyDescent="0.35">
      <c r="A17" s="979"/>
      <c r="B17" s="984"/>
      <c r="C17" s="1737" t="str">
        <f>IF('MC Working'!H3="One Year","",CONCATENATE("(From ",'MC Working'!G4," ",'MC Working'!H4," ",'MC Working'!I4," to ",'MC Working'!G5," ",'MC Working'!H5," ",'MC Working'!I5,")"))</f>
        <v/>
      </c>
      <c r="D17" s="1737"/>
      <c r="E17" s="1737"/>
      <c r="F17" s="1737"/>
      <c r="G17" s="1737"/>
      <c r="H17" s="1737"/>
      <c r="I17" s="1737"/>
      <c r="J17" s="986"/>
      <c r="K17" s="986"/>
      <c r="L17" s="1042" t="s">
        <v>168</v>
      </c>
      <c r="M17" s="1016"/>
      <c r="N17" s="984"/>
      <c r="O17" s="984"/>
      <c r="P17" s="1041"/>
      <c r="Q17" s="1735"/>
      <c r="R17" s="1736"/>
      <c r="S17" s="1038"/>
    </row>
    <row r="18" spans="1:32" ht="17.149999999999999" customHeight="1" x14ac:dyDescent="0.3">
      <c r="A18" s="979"/>
      <c r="B18" s="984"/>
      <c r="C18" s="1737"/>
      <c r="D18" s="1737"/>
      <c r="E18" s="1737"/>
      <c r="F18" s="1737"/>
      <c r="G18" s="1737"/>
      <c r="H18" s="1737"/>
      <c r="I18" s="1737"/>
      <c r="J18" s="986"/>
      <c r="K18" s="986"/>
      <c r="L18" s="1043" t="s">
        <v>13</v>
      </c>
      <c r="M18" s="984"/>
      <c r="N18" s="984"/>
      <c r="O18" s="984"/>
      <c r="P18" s="984"/>
      <c r="Q18" s="1044" t="s">
        <v>26</v>
      </c>
      <c r="R18" s="1045">
        <f ca="1">IF(U3=1,'MC Working'!O61,"")</f>
        <v>10549.999999999998</v>
      </c>
      <c r="S18" s="1038"/>
    </row>
    <row r="19" spans="1:32" ht="15" customHeight="1" x14ac:dyDescent="0.3">
      <c r="A19" s="979"/>
      <c r="B19" s="984"/>
      <c r="C19" s="1046" t="s">
        <v>518</v>
      </c>
      <c r="D19" s="1047"/>
      <c r="E19" s="1047"/>
      <c r="F19" s="1047"/>
      <c r="G19" s="1047"/>
      <c r="H19" s="1047"/>
      <c r="I19" s="1047"/>
      <c r="J19" s="986"/>
      <c r="K19" s="986"/>
      <c r="L19" s="1043" t="s">
        <v>23</v>
      </c>
      <c r="M19" s="1016"/>
      <c r="N19" s="984"/>
      <c r="O19" s="984"/>
      <c r="P19" s="984"/>
      <c r="Q19" s="1044" t="s">
        <v>26</v>
      </c>
      <c r="R19" s="1045">
        <f>IF(U3=1,'MC Working'!M40+'MC Working'!M41,"")</f>
        <v>1000</v>
      </c>
      <c r="S19" s="1038"/>
      <c r="T19" s="1048" t="s">
        <v>58</v>
      </c>
    </row>
    <row r="20" spans="1:32" ht="17.149999999999999" customHeight="1" x14ac:dyDescent="0.3">
      <c r="A20" s="979"/>
      <c r="B20" s="984"/>
      <c r="C20" s="1738" t="s">
        <v>519</v>
      </c>
      <c r="D20" s="1738"/>
      <c r="E20" s="1738"/>
      <c r="F20" s="1738"/>
      <c r="G20" s="1738"/>
      <c r="H20" s="1738"/>
      <c r="I20" s="1738"/>
      <c r="J20" s="1738"/>
      <c r="K20" s="986"/>
      <c r="L20" s="1049" t="s">
        <v>24</v>
      </c>
      <c r="M20" s="984"/>
      <c r="N20" s="984"/>
      <c r="O20" s="984"/>
      <c r="P20" s="984"/>
      <c r="Q20" s="1044" t="s">
        <v>26</v>
      </c>
      <c r="R20" s="1045">
        <f>IF(U3=1,'MC Working'!M42+'MC Working'!M43,"")</f>
        <v>250</v>
      </c>
      <c r="S20" s="1038"/>
      <c r="T20" s="1050" t="s">
        <v>78</v>
      </c>
    </row>
    <row r="21" spans="1:32" ht="17.149999999999999" customHeight="1" x14ac:dyDescent="0.3">
      <c r="A21" s="979"/>
      <c r="B21" s="984"/>
      <c r="C21" s="1738"/>
      <c r="D21" s="1738"/>
      <c r="E21" s="1738"/>
      <c r="F21" s="1738"/>
      <c r="G21" s="1738"/>
      <c r="H21" s="1738"/>
      <c r="I21" s="1738"/>
      <c r="J21" s="1738"/>
      <c r="K21" s="986"/>
      <c r="L21" s="1049" t="s">
        <v>146</v>
      </c>
      <c r="M21" s="984"/>
      <c r="N21" s="984"/>
      <c r="O21" s="984"/>
      <c r="P21" s="984"/>
      <c r="Q21" s="1044" t="s">
        <v>26</v>
      </c>
      <c r="R21" s="1045">
        <f ca="1">IF(U3=1,'MC Working'!M62+'MC Working'!M65+'MC Working'!M64,"")</f>
        <v>3370</v>
      </c>
      <c r="S21" s="1038"/>
    </row>
    <row r="22" spans="1:32" ht="17.149999999999999" customHeight="1" thickBot="1" x14ac:dyDescent="0.35">
      <c r="A22" s="979"/>
      <c r="B22" s="984"/>
      <c r="C22" s="1738"/>
      <c r="D22" s="1738"/>
      <c r="E22" s="1738"/>
      <c r="F22" s="1738"/>
      <c r="G22" s="1738"/>
      <c r="H22" s="1738"/>
      <c r="I22" s="1738"/>
      <c r="J22" s="1738"/>
      <c r="K22" s="986"/>
      <c r="L22" s="1049" t="str">
        <f>IF('Rates (2)'!$F$20="Yes","Nation Building Levy (NBL)","VAT")</f>
        <v>VAT</v>
      </c>
      <c r="M22" s="984"/>
      <c r="N22" s="984"/>
      <c r="O22" s="984"/>
      <c r="P22" s="984"/>
      <c r="Q22" s="1044" t="s">
        <v>26</v>
      </c>
      <c r="R22" s="1045">
        <f ca="1">IF(AND('Rates (2)'!$F$20="Yes",$U$3=1),'MC Working'!$M$64*'MC Working'!$C$70,IF($U$3=1,'MC Working'!$M$66*'MC Working'!$C$70,""))</f>
        <v>2730.5999999999995</v>
      </c>
      <c r="S22" s="1038"/>
    </row>
    <row r="23" spans="1:32" ht="17.149999999999999" customHeight="1" thickTop="1" thickBot="1" x14ac:dyDescent="0.35">
      <c r="A23" s="979"/>
      <c r="B23" s="984"/>
      <c r="C23" s="1738"/>
      <c r="D23" s="1738"/>
      <c r="E23" s="1738"/>
      <c r="F23" s="1738"/>
      <c r="G23" s="1738"/>
      <c r="H23" s="1738"/>
      <c r="I23" s="1738"/>
      <c r="J23" s="1738"/>
      <c r="K23" s="986"/>
      <c r="L23" s="1043" t="str">
        <f>IF('Rates (2)'!$F$20="Yes","VAT","Total Contribution")</f>
        <v>Total Contribution</v>
      </c>
      <c r="M23" s="984"/>
      <c r="N23" s="984"/>
      <c r="O23" s="984"/>
      <c r="P23" s="984"/>
      <c r="Q23" s="1044" t="s">
        <v>26</v>
      </c>
      <c r="R23" s="1051">
        <f ca="1">IF(AND('Rates (2)'!$F$20="Yes",U3=1),'MC Working'!$M$66*'MC Working'!$C$70,IF(U3=1,'MC Working'!$M$67,""))</f>
        <v>17900.599999999999</v>
      </c>
      <c r="S23" s="1038"/>
      <c r="Y23" s="1052"/>
    </row>
    <row r="24" spans="1:32" ht="17.149999999999999" customHeight="1" thickTop="1" x14ac:dyDescent="0.3">
      <c r="A24" s="979"/>
      <c r="B24" s="984"/>
      <c r="C24" s="1738"/>
      <c r="D24" s="1738"/>
      <c r="E24" s="1738"/>
      <c r="F24" s="1738"/>
      <c r="G24" s="1738"/>
      <c r="H24" s="1738"/>
      <c r="I24" s="1738"/>
      <c r="J24" s="1738"/>
      <c r="K24" s="986"/>
      <c r="L24" s="1053" t="str">
        <f>IF('Rates (2)'!$F$20="Yes","Total Contribution","")</f>
        <v/>
      </c>
      <c r="M24" s="984"/>
      <c r="N24" s="984"/>
      <c r="O24" s="984"/>
      <c r="P24" s="984"/>
      <c r="Q24" s="734" t="str">
        <f>IF('Rates (2)'!$F$20="Yes","Rs.","")</f>
        <v/>
      </c>
      <c r="R24" s="1054" t="str">
        <f>IF(AND($U$3=1,'Rates (2)'!$F$20="Yes"),'MC Working'!$M$67,"")</f>
        <v/>
      </c>
      <c r="S24" s="1038"/>
    </row>
    <row r="25" spans="1:32" ht="35.25" customHeight="1" x14ac:dyDescent="0.3">
      <c r="A25" s="979"/>
      <c r="B25" s="984"/>
      <c r="C25" s="1055"/>
      <c r="D25" s="1055"/>
      <c r="E25" s="1055"/>
      <c r="F25" s="1055"/>
      <c r="G25" s="1055"/>
      <c r="H25" s="1055"/>
      <c r="I25" s="1055"/>
      <c r="J25" s="1055"/>
      <c r="K25" s="986"/>
      <c r="L25" s="1714" t="str">
        <f>IF('MC Working'!M12="Below 250cc",CONCATENATE(" N.B.:- Not Applicable for HONDA PCX, KTM Models &amp; Motor Cycles engine capacity Above 250cc.   "),IF(AND(B13=1,T13="Ijarah"),"Standard Policy Terms Applicable. No Ijarah Benefits Applicable",""))</f>
        <v xml:space="preserve"> N.B.:- Not Applicable for HONDA PCX, KTM Models &amp; Motor Cycles engine capacity Above 250cc.   </v>
      </c>
      <c r="M25" s="1714"/>
      <c r="N25" s="1714"/>
      <c r="O25" s="1714"/>
      <c r="P25" s="1714"/>
      <c r="Q25" s="1714"/>
      <c r="R25" s="1714"/>
      <c r="S25" s="1715"/>
      <c r="X25" s="1052"/>
      <c r="AB25" s="1056"/>
    </row>
    <row r="26" spans="1:32" ht="14.25" hidden="1" customHeight="1" x14ac:dyDescent="0.3">
      <c r="A26" s="979"/>
      <c r="B26" s="984"/>
      <c r="C26" s="1057"/>
      <c r="D26" s="1057"/>
      <c r="E26" s="1057"/>
      <c r="F26" s="1057"/>
      <c r="G26" s="1057"/>
      <c r="H26" s="1057"/>
      <c r="I26" s="1057"/>
      <c r="J26" s="1057"/>
      <c r="K26" s="1057"/>
      <c r="L26" s="1057"/>
      <c r="M26" s="1057"/>
      <c r="N26" s="1057"/>
      <c r="O26" s="1057"/>
      <c r="P26" s="1057"/>
      <c r="Q26" s="1057"/>
      <c r="R26" s="1057"/>
      <c r="S26" s="1038"/>
    </row>
    <row r="27" spans="1:32" ht="14.25" hidden="1" customHeight="1" x14ac:dyDescent="0.3">
      <c r="A27" s="979"/>
      <c r="B27" s="984"/>
      <c r="C27" s="1057"/>
      <c r="D27" s="1057"/>
      <c r="E27" s="1057"/>
      <c r="F27" s="1057"/>
      <c r="G27" s="1057"/>
      <c r="H27" s="1057"/>
      <c r="I27" s="1057"/>
      <c r="J27" s="1057"/>
      <c r="K27" s="1057"/>
      <c r="L27" s="1057"/>
      <c r="M27" s="1057"/>
      <c r="N27" s="1057"/>
      <c r="O27" s="1057"/>
      <c r="P27" s="1057"/>
      <c r="Q27" s="1057"/>
      <c r="R27" s="1057"/>
      <c r="S27" s="1058"/>
    </row>
    <row r="28" spans="1:32" ht="18" customHeight="1" x14ac:dyDescent="0.3">
      <c r="A28" s="979"/>
      <c r="B28" s="984"/>
      <c r="C28" s="1059" t="s">
        <v>293</v>
      </c>
      <c r="D28" s="1060"/>
      <c r="E28" s="1060"/>
      <c r="F28" s="1060"/>
      <c r="G28" s="1060"/>
      <c r="H28" s="1060"/>
      <c r="I28" s="1060"/>
      <c r="J28" s="1060"/>
      <c r="K28" s="1060"/>
      <c r="L28" s="1060"/>
      <c r="M28" s="1060"/>
      <c r="N28" s="1060"/>
      <c r="O28" s="1060"/>
      <c r="P28" s="1060"/>
      <c r="Q28" s="1060"/>
      <c r="R28" s="1061"/>
      <c r="S28" s="1058"/>
      <c r="V28" s="1062"/>
      <c r="W28" s="1062"/>
      <c r="X28" s="1062"/>
      <c r="Y28" s="1062"/>
      <c r="Z28" s="1062"/>
      <c r="AA28" s="1062"/>
      <c r="AB28" s="1062"/>
      <c r="AC28" s="1062"/>
      <c r="AD28" s="1063"/>
      <c r="AE28" s="1063"/>
      <c r="AF28" s="1063"/>
    </row>
    <row r="29" spans="1:32" ht="18" customHeight="1" x14ac:dyDescent="0.3">
      <c r="A29" s="979"/>
      <c r="B29" s="984"/>
      <c r="C29" s="1064" t="s">
        <v>291</v>
      </c>
      <c r="D29" s="732" t="s">
        <v>319</v>
      </c>
      <c r="E29" s="1057"/>
      <c r="F29" s="1057"/>
      <c r="G29" s="1057"/>
      <c r="H29" s="1057"/>
      <c r="I29" s="1057"/>
      <c r="J29" s="1057"/>
      <c r="K29" s="1057"/>
      <c r="L29" s="1057"/>
      <c r="M29" s="1057"/>
      <c r="N29" s="1057"/>
      <c r="O29" s="1057"/>
      <c r="P29" s="1057"/>
      <c r="Q29" s="1057"/>
      <c r="R29" s="1065"/>
      <c r="S29" s="1058"/>
      <c r="V29" s="1062"/>
      <c r="W29" s="1066"/>
      <c r="X29" s="1062"/>
      <c r="Y29" s="1062"/>
      <c r="Z29" s="1062"/>
      <c r="AA29" s="1062"/>
      <c r="AB29" s="1067"/>
      <c r="AC29" s="1062"/>
      <c r="AD29" s="1063"/>
      <c r="AE29" s="1063"/>
      <c r="AF29" s="1063"/>
    </row>
    <row r="30" spans="1:32" ht="18" customHeight="1" x14ac:dyDescent="0.3">
      <c r="A30" s="979"/>
      <c r="B30" s="984"/>
      <c r="C30" s="1064" t="s">
        <v>292</v>
      </c>
      <c r="D30" s="732" t="str">
        <f>CONCATENATE("Third Party Liability"," (Property Damage limited to Rs.",FIXED(MAX('Rates (2)'!B55,R33),0),")")</f>
        <v>Third Party Liability (Property Damage limited to Rs.100,000)</v>
      </c>
      <c r="E30" s="1057"/>
      <c r="F30" s="1057"/>
      <c r="G30" s="1057"/>
      <c r="H30" s="1057"/>
      <c r="I30" s="1057"/>
      <c r="J30" s="1057"/>
      <c r="K30" s="1057"/>
      <c r="L30" s="1057"/>
      <c r="M30" s="1057"/>
      <c r="N30" s="1057"/>
      <c r="O30" s="1057"/>
      <c r="P30" s="1057"/>
      <c r="Q30" s="1057"/>
      <c r="R30" s="1065"/>
      <c r="S30" s="1058"/>
      <c r="V30" s="1062"/>
      <c r="W30" s="1062"/>
      <c r="X30" s="1062"/>
      <c r="Y30" s="1062"/>
      <c r="Z30" s="1062"/>
      <c r="AA30" s="1062"/>
      <c r="AB30" s="1062"/>
      <c r="AC30" s="1062"/>
      <c r="AD30" s="1063"/>
      <c r="AE30" s="1063"/>
      <c r="AF30" s="1063"/>
    </row>
    <row r="31" spans="1:32" ht="18" customHeight="1" x14ac:dyDescent="0.3">
      <c r="A31" s="979"/>
      <c r="B31" s="984"/>
      <c r="C31" s="1064" t="s">
        <v>290</v>
      </c>
      <c r="D31" s="732" t="s">
        <v>299</v>
      </c>
      <c r="E31" s="1057"/>
      <c r="F31" s="1057"/>
      <c r="G31" s="1057"/>
      <c r="H31" s="1057"/>
      <c r="I31" s="1057"/>
      <c r="J31" s="1057"/>
      <c r="K31" s="1057"/>
      <c r="L31" s="1057"/>
      <c r="M31" s="1057"/>
      <c r="N31" s="1057"/>
      <c r="O31" s="1057"/>
      <c r="P31" s="1057"/>
      <c r="Q31" s="1057"/>
      <c r="R31" s="1068"/>
      <c r="S31" s="1058"/>
      <c r="V31" s="1062"/>
      <c r="W31" s="1062"/>
      <c r="X31" s="1062"/>
      <c r="Y31" s="1062"/>
      <c r="Z31" s="1062"/>
      <c r="AA31" s="1062"/>
      <c r="AB31" s="1062"/>
      <c r="AC31" s="1062"/>
      <c r="AD31" s="1063"/>
      <c r="AE31" s="1063"/>
      <c r="AF31" s="1063"/>
    </row>
    <row r="32" spans="1:32" ht="19" customHeight="1" thickBot="1" x14ac:dyDescent="0.45">
      <c r="A32" s="979"/>
      <c r="B32" s="984"/>
      <c r="C32" s="1069"/>
      <c r="D32" s="1070"/>
      <c r="E32" s="1071"/>
      <c r="F32" s="1071"/>
      <c r="G32" s="1071"/>
      <c r="H32" s="1072" t="str">
        <f>IF('MC Working'!B21="Free","FREE",IF('MC Working'!B21="No","N/A","Yes"))</f>
        <v>FREE</v>
      </c>
      <c r="I32" s="1073"/>
      <c r="J32" s="1074"/>
      <c r="K32" s="986"/>
      <c r="L32" s="1075"/>
      <c r="M32" s="1070"/>
      <c r="N32" s="1076"/>
      <c r="O32" s="1077"/>
      <c r="P32" s="986"/>
      <c r="Q32" s="984"/>
      <c r="R32" s="1070"/>
      <c r="S32" s="1078"/>
      <c r="T32" s="1079" t="s">
        <v>520</v>
      </c>
      <c r="U32" s="1080" t="str">
        <f>'MC Working'!B21</f>
        <v>Free</v>
      </c>
      <c r="V32" s="1062" t="s">
        <v>17</v>
      </c>
      <c r="W32" s="1081">
        <f>IF(OR('MC Working'!R25=2,'MC Working'!AA25=1),1,0)</f>
        <v>0</v>
      </c>
      <c r="X32" s="1062"/>
      <c r="Y32" s="1062"/>
      <c r="Z32" s="1082">
        <f>IF(AND('MC Working'!AA25=1,'MC Working'!R25=2),MAX('MC Working'!H25,'Rates (2)'!C40),IF(AND('MC Working'!AA25=1,'MC Working'!R25&lt;2),'Rates (2)'!C40,IF(AND('MC Working'!AA25=0,'MC Working'!R25=2),'MC Working'!H25,0)))</f>
        <v>0</v>
      </c>
      <c r="AA32" s="1062"/>
      <c r="AB32" s="1062"/>
      <c r="AC32" s="1062"/>
      <c r="AD32" s="1063"/>
      <c r="AE32" s="1063"/>
      <c r="AF32" s="1063"/>
    </row>
    <row r="33" spans="1:32" ht="19" customHeight="1" thickBot="1" x14ac:dyDescent="0.4">
      <c r="A33" s="979"/>
      <c r="B33" s="984"/>
      <c r="C33" s="1083" t="s">
        <v>9</v>
      </c>
      <c r="D33" s="1043" t="s">
        <v>530</v>
      </c>
      <c r="E33" s="1084"/>
      <c r="F33" s="1084"/>
      <c r="G33" s="1084"/>
      <c r="H33" s="986"/>
      <c r="I33" s="986"/>
      <c r="J33" s="1074"/>
      <c r="K33" s="986"/>
      <c r="L33" s="1083" t="s">
        <v>9</v>
      </c>
      <c r="M33" s="1085" t="s">
        <v>6</v>
      </c>
      <c r="N33" s="1086"/>
      <c r="O33" s="989"/>
      <c r="P33" s="989"/>
      <c r="Q33" s="989"/>
      <c r="R33" s="1087">
        <v>100000</v>
      </c>
      <c r="S33" s="1037"/>
      <c r="T33" s="1088" t="s">
        <v>0</v>
      </c>
      <c r="U33" s="1080" t="str">
        <f>'MC Working'!B39</f>
        <v>Yes</v>
      </c>
      <c r="V33" s="1062" t="s">
        <v>38</v>
      </c>
      <c r="W33" s="1081">
        <f>'MC Working'!R29</f>
        <v>1</v>
      </c>
      <c r="X33" s="1062"/>
      <c r="Y33" s="1062"/>
      <c r="Z33" s="1062"/>
      <c r="AA33" s="1062"/>
      <c r="AB33" s="1062"/>
      <c r="AC33" s="1062"/>
      <c r="AD33" s="1063"/>
      <c r="AE33" s="1063"/>
      <c r="AF33" s="1063"/>
    </row>
    <row r="34" spans="1:32" ht="19" customHeight="1" thickBot="1" x14ac:dyDescent="0.4">
      <c r="A34" s="979"/>
      <c r="B34" s="984"/>
      <c r="C34" s="1083" t="s">
        <v>9</v>
      </c>
      <c r="D34" s="1043" t="s">
        <v>265</v>
      </c>
      <c r="E34" s="1084"/>
      <c r="F34" s="1084"/>
      <c r="G34" s="1084"/>
      <c r="H34" s="986"/>
      <c r="I34" s="986"/>
      <c r="J34" s="1074"/>
      <c r="K34" s="986"/>
      <c r="L34" s="1083" t="s">
        <v>9</v>
      </c>
      <c r="M34" s="1085" t="s">
        <v>562</v>
      </c>
      <c r="N34" s="989"/>
      <c r="O34" s="989"/>
      <c r="P34" s="1089"/>
      <c r="Q34" s="989"/>
      <c r="R34" s="1090">
        <v>0</v>
      </c>
      <c r="S34" s="1037"/>
      <c r="T34" s="1091">
        <v>0</v>
      </c>
      <c r="U34" s="1080" t="str">
        <f>'MC Working'!B40</f>
        <v>Yes</v>
      </c>
      <c r="V34" s="1062" t="s">
        <v>37</v>
      </c>
      <c r="W34" s="1081">
        <f>'MC Working'!T48</f>
        <v>1</v>
      </c>
      <c r="X34" s="1062"/>
      <c r="Y34" s="1062"/>
      <c r="Z34" s="1062"/>
      <c r="AA34" s="1062"/>
      <c r="AB34" s="1062"/>
      <c r="AC34" s="1062"/>
      <c r="AD34" s="1063"/>
      <c r="AE34" s="1063"/>
      <c r="AF34" s="1063"/>
    </row>
    <row r="35" spans="1:32" ht="19" customHeight="1" thickBot="1" x14ac:dyDescent="0.4">
      <c r="A35" s="979"/>
      <c r="B35" s="984"/>
      <c r="C35" s="1083" t="s">
        <v>9</v>
      </c>
      <c r="D35" s="1043" t="s">
        <v>266</v>
      </c>
      <c r="E35" s="1092"/>
      <c r="F35" s="1093"/>
      <c r="G35" s="1094"/>
      <c r="H35" s="1095"/>
      <c r="I35" s="1094"/>
      <c r="J35" s="1074"/>
      <c r="K35" s="986"/>
      <c r="L35" s="1083" t="s">
        <v>9</v>
      </c>
      <c r="M35" s="1043" t="s">
        <v>12</v>
      </c>
      <c r="N35" s="989"/>
      <c r="O35" s="989"/>
      <c r="P35" s="989"/>
      <c r="Q35" s="989"/>
      <c r="R35" s="1096">
        <v>0</v>
      </c>
      <c r="S35" s="1037"/>
      <c r="U35" s="1080">
        <f>IF('MC Working'!Y42&gt;0,1,0)</f>
        <v>0</v>
      </c>
      <c r="V35" s="1062" t="s">
        <v>18</v>
      </c>
      <c r="W35" s="1081">
        <f>IF('MC Working'!Z42&gt;0,1,0)</f>
        <v>0</v>
      </c>
      <c r="X35" s="1062" t="s">
        <v>16</v>
      </c>
      <c r="Y35" s="1081">
        <f>IF('MC Working'!X42&gt;0,1,0)</f>
        <v>0</v>
      </c>
      <c r="Z35" s="1062" t="s">
        <v>33</v>
      </c>
      <c r="AA35" s="1081">
        <f>IF('MC Working'!T47=0,0,'MC Working'!O47)</f>
        <v>0</v>
      </c>
      <c r="AB35" s="1062"/>
      <c r="AC35" s="1062"/>
      <c r="AD35" s="1063"/>
      <c r="AE35" s="1063"/>
      <c r="AF35" s="1063"/>
    </row>
    <row r="36" spans="1:32" ht="19" customHeight="1" x14ac:dyDescent="0.35">
      <c r="A36" s="979"/>
      <c r="B36" s="984"/>
      <c r="C36" s="1083" t="s">
        <v>9</v>
      </c>
      <c r="D36" s="734" t="str">
        <f ca="1">IF(AND('MC Working'!$M$36&lt;0,'MC Working'!$I$38="Reveal"),CONCATENATE(K38," - ",MIN('MC Working'!$H$36%,'MC Working'!$R$36%)*100,"%"),K38)</f>
        <v>No Claim Bonus (*)</v>
      </c>
      <c r="E36" s="1097"/>
      <c r="F36" s="1093"/>
      <c r="G36" s="1098"/>
      <c r="H36" s="1095"/>
      <c r="I36" s="1053" t="str">
        <f>IF(I12="Ijarah Leasing","NCB Protection","")</f>
        <v/>
      </c>
      <c r="J36" s="1074"/>
      <c r="K36" s="986"/>
      <c r="L36" s="1083" t="s">
        <v>9</v>
      </c>
      <c r="M36" s="734" t="str">
        <f>IF('MC Working'!H54&gt;0,CONCATENATE("Learner Driver Cover for"," ",'MC Working'!H54,"  ","Person(s)"),"Learner Driver Cover")</f>
        <v>Learner Driver Cover</v>
      </c>
      <c r="N36" s="989"/>
      <c r="O36" s="989"/>
      <c r="P36" s="989"/>
      <c r="Q36" s="989"/>
      <c r="R36" s="989"/>
      <c r="S36" s="1058"/>
      <c r="U36" s="1080" t="str">
        <f>'MC Working'!B41</f>
        <v>Yes</v>
      </c>
      <c r="V36" s="1062" t="s">
        <v>32</v>
      </c>
      <c r="W36" s="1081">
        <f>'MC Working'!O52</f>
        <v>0</v>
      </c>
      <c r="X36" s="1062"/>
      <c r="Y36" s="1081"/>
      <c r="Z36" s="1062"/>
      <c r="AA36" s="1081"/>
      <c r="AB36" s="1062"/>
      <c r="AC36" s="1062"/>
      <c r="AD36" s="1063"/>
      <c r="AE36" s="1063"/>
      <c r="AF36" s="1063"/>
    </row>
    <row r="37" spans="1:32" ht="19" hidden="1" customHeight="1" x14ac:dyDescent="0.35">
      <c r="A37" s="979"/>
      <c r="B37" s="984"/>
      <c r="C37" s="1043"/>
      <c r="D37" s="1043"/>
      <c r="E37" s="1043"/>
      <c r="F37" s="1043"/>
      <c r="G37" s="1099" t="s">
        <v>9</v>
      </c>
      <c r="H37" s="1099" t="s">
        <v>9</v>
      </c>
      <c r="I37" s="1053" t="str">
        <f>IF(I13="Ijarah Leasing","NCB Protection","")</f>
        <v/>
      </c>
      <c r="J37" s="1074"/>
      <c r="K37" s="986"/>
      <c r="L37" s="1083" t="s">
        <v>9</v>
      </c>
      <c r="M37" s="1100"/>
      <c r="N37" s="1101"/>
      <c r="O37" s="986"/>
      <c r="P37" s="986"/>
      <c r="Q37" s="1102"/>
      <c r="R37" s="1103"/>
      <c r="S37" s="1058"/>
      <c r="U37" s="1080">
        <f>IF('MC Working'!Y43&gt;0,1,0)</f>
        <v>0</v>
      </c>
      <c r="V37" s="1062" t="s">
        <v>18</v>
      </c>
      <c r="W37" s="1081">
        <f>IF('MC Working'!Z43&gt;0,1,0)</f>
        <v>0</v>
      </c>
      <c r="X37" s="1062" t="s">
        <v>16</v>
      </c>
      <c r="Y37" s="1081">
        <f>IF('MC Working'!X43&gt;0,1,0)</f>
        <v>0</v>
      </c>
      <c r="Z37" s="1062" t="s">
        <v>31</v>
      </c>
      <c r="AA37" s="1081">
        <f>IF(OR('MC Working'!Q49&gt;0,'MC Working'!H49&gt;0),1,0)</f>
        <v>0</v>
      </c>
      <c r="AB37" s="1062">
        <f>IF(AND('MC Working'!T47=1,'MC Working'!H49&lt;7500),7500,'MC Working'!H49)</f>
        <v>0</v>
      </c>
      <c r="AC37" s="1062"/>
      <c r="AD37" s="1063"/>
      <c r="AE37" s="1063"/>
      <c r="AF37" s="1063"/>
    </row>
    <row r="38" spans="1:32" ht="19" hidden="1" customHeight="1" x14ac:dyDescent="0.35">
      <c r="A38" s="979"/>
      <c r="B38" s="984"/>
      <c r="C38" s="1043"/>
      <c r="D38" s="1043"/>
      <c r="E38" s="1043"/>
      <c r="F38" s="1043"/>
      <c r="G38" s="1084"/>
      <c r="H38" s="986"/>
      <c r="I38" s="986"/>
      <c r="J38" s="1074"/>
      <c r="K38" s="1104" t="str">
        <f ca="1">IF('MC Working'!M37&lt;0,"No Claim Bonus (*)","Earned NCB")</f>
        <v>No Claim Bonus (*)</v>
      </c>
      <c r="L38" s="1083" t="s">
        <v>9</v>
      </c>
      <c r="M38" s="1043"/>
      <c r="N38" s="1101"/>
      <c r="O38" s="1073"/>
      <c r="P38" s="1073"/>
      <c r="Q38" s="1105"/>
      <c r="R38" s="1106"/>
      <c r="S38" s="1058"/>
      <c r="U38" s="1080">
        <f>'MC Working'!O50</f>
        <v>0</v>
      </c>
      <c r="V38" s="1081" t="s">
        <v>30</v>
      </c>
      <c r="W38" s="1081">
        <f ca="1">'MC Working'!P23</f>
        <v>1</v>
      </c>
      <c r="X38" s="1062"/>
      <c r="Y38" s="1062"/>
      <c r="Z38" s="1062"/>
      <c r="AA38" s="1062"/>
      <c r="AB38" s="1062"/>
      <c r="AC38" s="1062"/>
      <c r="AD38" s="1063"/>
      <c r="AE38" s="1063"/>
      <c r="AF38" s="1063"/>
    </row>
    <row r="39" spans="1:32" ht="19" hidden="1" customHeight="1" x14ac:dyDescent="0.35">
      <c r="A39" s="979"/>
      <c r="B39" s="984"/>
      <c r="C39" s="1043"/>
      <c r="D39" s="1043"/>
      <c r="E39" s="1043"/>
      <c r="F39" s="1043"/>
      <c r="G39" s="1107"/>
      <c r="H39" s="1107"/>
      <c r="I39" s="734"/>
      <c r="J39" s="1074"/>
      <c r="K39" s="986"/>
      <c r="L39" s="1094" t="s">
        <v>9</v>
      </c>
      <c r="M39" s="1108" t="str">
        <f>IF(U42=1,"Duty Free Cover","")</f>
        <v/>
      </c>
      <c r="N39" s="989"/>
      <c r="O39" s="989"/>
      <c r="P39" s="989"/>
      <c r="Q39" s="989"/>
      <c r="R39" s="989"/>
      <c r="S39" s="1058"/>
      <c r="T39" s="975" t="s">
        <v>18</v>
      </c>
      <c r="U39" s="1080">
        <f>'MC Working'!O51</f>
        <v>0</v>
      </c>
      <c r="V39" s="1062" t="s">
        <v>29</v>
      </c>
      <c r="W39" s="1081">
        <f>'MC Working'!O22</f>
        <v>0</v>
      </c>
      <c r="X39" s="1062"/>
      <c r="Y39" s="1062"/>
      <c r="Z39" s="1062"/>
      <c r="AA39" s="1062"/>
      <c r="AB39" s="1062"/>
      <c r="AC39" s="1062"/>
      <c r="AD39" s="1063"/>
      <c r="AE39" s="1063"/>
      <c r="AF39" s="1063"/>
    </row>
    <row r="40" spans="1:32" ht="19" hidden="1" customHeight="1" x14ac:dyDescent="0.35">
      <c r="A40" s="979"/>
      <c r="B40" s="984"/>
      <c r="C40" s="1109" t="s">
        <v>9</v>
      </c>
      <c r="D40" s="734" t="str">
        <f>IF($T$40=1,PROPER('MC Working'!$F$58),"")</f>
        <v/>
      </c>
      <c r="E40" s="1076"/>
      <c r="F40" s="1110"/>
      <c r="G40" s="1076"/>
      <c r="H40" s="1076"/>
      <c r="I40" s="734"/>
      <c r="J40" s="1074"/>
      <c r="K40" s="986"/>
      <c r="L40" s="1094" t="s">
        <v>9</v>
      </c>
      <c r="M40" s="734" t="str">
        <f>IF($U$40=1,PROPER('MC Working'!$F$59),"")</f>
        <v/>
      </c>
      <c r="N40" s="989"/>
      <c r="O40" s="989"/>
      <c r="P40" s="989"/>
      <c r="Q40" s="984"/>
      <c r="R40" s="984"/>
      <c r="S40" s="1058"/>
      <c r="T40" s="1111">
        <f>'MC Working'!$O$58</f>
        <v>0</v>
      </c>
      <c r="U40" s="1111">
        <f>'MC Working'!$O$59</f>
        <v>0</v>
      </c>
      <c r="V40" s="1062"/>
      <c r="W40" s="1081"/>
      <c r="X40" s="1062"/>
      <c r="Y40" s="1062"/>
      <c r="Z40" s="1062"/>
      <c r="AA40" s="1062"/>
      <c r="AB40" s="1062"/>
      <c r="AC40" s="1062"/>
      <c r="AD40" s="1063"/>
      <c r="AE40" s="1063"/>
      <c r="AF40" s="1063"/>
    </row>
    <row r="41" spans="1:32" ht="12.75" hidden="1" customHeight="1" x14ac:dyDescent="0.35">
      <c r="A41" s="979"/>
      <c r="B41" s="984"/>
      <c r="C41" s="984"/>
      <c r="D41" s="1716"/>
      <c r="E41" s="1716"/>
      <c r="F41" s="984"/>
      <c r="G41" s="984"/>
      <c r="H41" s="984"/>
      <c r="I41" s="984"/>
      <c r="J41" s="986"/>
      <c r="K41" s="986"/>
      <c r="L41" s="989"/>
      <c r="M41" s="989"/>
      <c r="N41" s="989"/>
      <c r="O41" s="989"/>
      <c r="P41" s="989"/>
      <c r="Q41" s="989"/>
      <c r="R41" s="1102"/>
      <c r="S41" s="1058"/>
      <c r="T41" s="975" t="s">
        <v>27</v>
      </c>
      <c r="U41" s="1080">
        <f>'MC Working'!O54</f>
        <v>0</v>
      </c>
      <c r="V41" s="1112" t="s">
        <v>0</v>
      </c>
      <c r="W41" s="1081">
        <f ca="1">'MC Working'!O36</f>
        <v>1</v>
      </c>
      <c r="X41" s="1062"/>
      <c r="Y41" s="1062"/>
      <c r="Z41" s="1062"/>
      <c r="AA41" s="1062"/>
      <c r="AB41" s="1062"/>
    </row>
    <row r="42" spans="1:32" ht="12" customHeight="1" x14ac:dyDescent="0.3">
      <c r="A42" s="979"/>
      <c r="B42" s="984"/>
      <c r="C42" s="1113"/>
      <c r="D42" s="1113"/>
      <c r="E42" s="1113"/>
      <c r="F42" s="1113"/>
      <c r="G42" s="1113"/>
      <c r="H42" s="1113"/>
      <c r="I42" s="1113"/>
      <c r="J42" s="1113"/>
      <c r="K42" s="1113"/>
      <c r="L42" s="1113"/>
      <c r="M42" s="1113"/>
      <c r="N42" s="1113"/>
      <c r="O42" s="1113"/>
      <c r="P42" s="1113"/>
      <c r="Q42" s="1113"/>
      <c r="R42" s="1113"/>
      <c r="S42" s="1037"/>
      <c r="T42" s="975" t="s">
        <v>43</v>
      </c>
      <c r="U42" s="1080">
        <f>IF('MC Working'!B55="Yes",1,0)</f>
        <v>0</v>
      </c>
      <c r="V42" s="1062" t="s">
        <v>41</v>
      </c>
      <c r="W42" s="1081">
        <v>1</v>
      </c>
      <c r="X42" s="1062" t="s">
        <v>42</v>
      </c>
      <c r="Y42" s="1062">
        <f>'MC Working'!O45</f>
        <v>0</v>
      </c>
      <c r="Z42" s="1062"/>
      <c r="AA42" s="1062"/>
      <c r="AB42" s="1062"/>
    </row>
    <row r="43" spans="1:32" ht="13.5" customHeight="1" x14ac:dyDescent="0.3">
      <c r="A43" s="979"/>
      <c r="B43" s="984"/>
      <c r="C43" s="1717" t="s">
        <v>563</v>
      </c>
      <c r="D43" s="1717"/>
      <c r="E43" s="1717"/>
      <c r="F43" s="1717"/>
      <c r="G43" s="1717"/>
      <c r="H43" s="1717"/>
      <c r="I43" s="1717"/>
      <c r="J43" s="1717"/>
      <c r="K43" s="1717"/>
      <c r="L43" s="1717"/>
      <c r="M43" s="1717"/>
      <c r="N43" s="1717"/>
      <c r="O43" s="1717"/>
      <c r="P43" s="1717"/>
      <c r="Q43" s="1717"/>
      <c r="R43" s="1717"/>
      <c r="S43" s="1037"/>
      <c r="T43" s="975" t="s">
        <v>16</v>
      </c>
      <c r="U43" s="1080">
        <f>'MC Working'!O30</f>
        <v>0</v>
      </c>
      <c r="V43" s="1062" t="s">
        <v>44</v>
      </c>
      <c r="W43" s="1081">
        <f>'MC Working'!E34</f>
        <v>1</v>
      </c>
      <c r="X43" s="1062" t="s">
        <v>48</v>
      </c>
      <c r="Y43" s="1062" t="str">
        <f>'MC Working'!B46</f>
        <v>No</v>
      </c>
      <c r="Z43" s="1062" t="s">
        <v>48</v>
      </c>
      <c r="AA43" s="1062">
        <f>IF('MC Working'!Q48=0,1,'MC Working'!T46)</f>
        <v>0</v>
      </c>
      <c r="AB43" s="1062">
        <f>IF(AND('MC Working'!M8="Motor Coach",'MC Working'!H9="SLTB Route"),1,0)</f>
        <v>0</v>
      </c>
    </row>
    <row r="44" spans="1:32" ht="18" customHeight="1" x14ac:dyDescent="0.3">
      <c r="A44" s="979"/>
      <c r="B44" s="984"/>
      <c r="C44" s="1114" t="s">
        <v>324</v>
      </c>
      <c r="D44" s="1115"/>
      <c r="E44" s="1115"/>
      <c r="F44" s="1115"/>
      <c r="G44" s="1007" t="s">
        <v>325</v>
      </c>
      <c r="H44" s="1115"/>
      <c r="I44" s="1115"/>
      <c r="J44" s="1115"/>
      <c r="K44" s="1115"/>
      <c r="L44" s="1115"/>
      <c r="M44" s="1115"/>
      <c r="N44" s="1115"/>
      <c r="O44" s="1115"/>
      <c r="P44" s="1115"/>
      <c r="Q44" s="1115"/>
      <c r="R44" s="1115"/>
      <c r="S44" s="1037"/>
      <c r="U44" s="1080"/>
      <c r="V44" s="1062"/>
      <c r="W44" s="1081"/>
      <c r="X44" s="1062"/>
      <c r="Y44" s="1062"/>
      <c r="Z44" s="1062"/>
      <c r="AA44" s="1062"/>
      <c r="AB44" s="1062"/>
    </row>
    <row r="45" spans="1:32" ht="18" customHeight="1" x14ac:dyDescent="0.3">
      <c r="A45" s="979"/>
      <c r="B45" s="984">
        <f>IF(AND('Rates (2)'!D71="Yes",'MC Working'!H12="Hybrid"),1,0)</f>
        <v>0</v>
      </c>
      <c r="C45" s="1116" t="s">
        <v>406</v>
      </c>
      <c r="D45" s="1115"/>
      <c r="E45" s="1115"/>
      <c r="F45" s="1115"/>
      <c r="G45" s="1115"/>
      <c r="H45" s="1117" t="s">
        <v>51</v>
      </c>
      <c r="I45" s="1118" t="str">
        <f ca="1">IF(AND(U3=1,'MC Working'!M12="Above 250cc")," as below",IF(AND(U3=1,'MC Working'!R93=0),"Nil",IF(U3=1,CONCATENATE("Rs.",FIXED('MC Working'!R93,0),"/-"),"-")))</f>
        <v>Rs.2,500/-</v>
      </c>
      <c r="J45" s="1119"/>
      <c r="K45" s="1115"/>
      <c r="L45" s="1120" t="str">
        <f>IF(U33="Yes","• Flood &amp; Natural Disaster","")</f>
        <v>• Flood &amp; Natural Disaster</v>
      </c>
      <c r="M45" s="1115"/>
      <c r="N45" s="1115"/>
      <c r="O45" s="1115"/>
      <c r="P45" s="1115"/>
      <c r="Q45" s="1115" t="str">
        <f>IF(U33="Yes","-","")</f>
        <v>-</v>
      </c>
      <c r="R45" s="1118" t="s">
        <v>564</v>
      </c>
      <c r="S45" s="1037"/>
      <c r="U45" s="1080"/>
      <c r="W45" s="1121"/>
    </row>
    <row r="46" spans="1:32" ht="18" customHeight="1" x14ac:dyDescent="0.3">
      <c r="A46" s="979"/>
      <c r="B46" s="984"/>
      <c r="C46" s="1122" t="str">
        <f>IF(AND(U3=1,'MC Working'!M12="Above 250cc"),CONCATENATE("  20% of loss with a minimum of Rs.",FIXED('MC Working'!R93,0),"/-"),"")</f>
        <v/>
      </c>
      <c r="D46" s="1115"/>
      <c r="E46" s="1115"/>
      <c r="F46" s="1115"/>
      <c r="G46" s="1115"/>
      <c r="H46" s="1115"/>
      <c r="I46" s="1123"/>
      <c r="J46" s="1119"/>
      <c r="K46" s="1115"/>
      <c r="L46" s="1124" t="s">
        <v>565</v>
      </c>
      <c r="M46" s="1125"/>
      <c r="N46" s="987"/>
      <c r="O46" s="987"/>
      <c r="P46" s="1115"/>
      <c r="Q46" s="1115"/>
      <c r="R46" s="1115"/>
      <c r="S46" s="1037"/>
      <c r="U46" s="1080"/>
      <c r="W46" s="1121"/>
    </row>
    <row r="47" spans="1:32" ht="18" customHeight="1" x14ac:dyDescent="0.3">
      <c r="A47" s="979"/>
      <c r="B47" s="984"/>
      <c r="C47" s="1126" t="str">
        <f>IF(AND('Rates (2)'!D67="Yes",OR('MC Working'!H12="Hybrid",'MC Working'!H12="Electric")),CONCATENATE("• Excess on Inverter 25%; Excess on Battery : ",'Rates (2)'!A68),"")</f>
        <v/>
      </c>
      <c r="D47" s="1127"/>
      <c r="E47" s="1127"/>
      <c r="F47" s="1127"/>
      <c r="G47" s="1127"/>
      <c r="H47" s="1127"/>
      <c r="I47" s="1127"/>
      <c r="J47" s="1128"/>
      <c r="K47" s="1129"/>
      <c r="L47" s="1129"/>
      <c r="M47" s="1129"/>
      <c r="N47" s="1129"/>
      <c r="O47" s="1129"/>
      <c r="P47" s="1129"/>
      <c r="Q47" s="1115"/>
      <c r="R47" s="1115"/>
      <c r="S47" s="1037"/>
      <c r="U47" s="1080"/>
      <c r="W47" s="1121"/>
    </row>
    <row r="48" spans="1:32" ht="18" customHeight="1" x14ac:dyDescent="0.3">
      <c r="A48" s="979"/>
      <c r="B48" s="984"/>
      <c r="C48" s="1720" t="s">
        <v>300</v>
      </c>
      <c r="D48" s="1721"/>
      <c r="E48" s="1721"/>
      <c r="F48" s="1721"/>
      <c r="G48" s="1721"/>
      <c r="H48" s="1721"/>
      <c r="I48" s="1721"/>
      <c r="J48" s="1721"/>
      <c r="K48" s="1721"/>
      <c r="L48" s="1721"/>
      <c r="M48" s="1721"/>
      <c r="N48" s="1721"/>
      <c r="O48" s="1721"/>
      <c r="P48" s="1721"/>
      <c r="Q48" s="1721"/>
      <c r="R48" s="1721"/>
      <c r="S48" s="1037"/>
      <c r="U48" s="1080"/>
      <c r="W48" s="1121"/>
    </row>
    <row r="49" spans="1:24" ht="40.5" customHeight="1" x14ac:dyDescent="0.3">
      <c r="A49" s="979"/>
      <c r="B49" s="984"/>
      <c r="C49" s="1722"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22"/>
      <c r="E49" s="1722"/>
      <c r="F49" s="1722"/>
      <c r="G49" s="1722"/>
      <c r="H49" s="1722"/>
      <c r="I49" s="1722"/>
      <c r="J49" s="1722"/>
      <c r="K49" s="1722"/>
      <c r="L49" s="1722"/>
      <c r="M49" s="1722"/>
      <c r="N49" s="1722"/>
      <c r="O49" s="1722"/>
      <c r="P49" s="1722"/>
      <c r="Q49" s="1722"/>
      <c r="R49" s="1722"/>
      <c r="S49" s="1037"/>
      <c r="T49" s="975" t="s">
        <v>132</v>
      </c>
      <c r="U49" s="1130">
        <f>IF(AND('MC Working'!M8="Motor Coach",'MC Working'!H9="SLTB Route"),1,0)</f>
        <v>0</v>
      </c>
      <c r="V49" s="978" t="s">
        <v>28</v>
      </c>
      <c r="W49" s="1121">
        <f>'MC Working'!O56</f>
        <v>0</v>
      </c>
      <c r="X49" s="978" t="str">
        <f ca="1">IF('MC Working'!M36&lt;0,"NCB allowed is subject to documentary evidence.","")</f>
        <v/>
      </c>
    </row>
    <row r="50" spans="1:24" ht="17.25" customHeight="1" x14ac:dyDescent="0.3">
      <c r="A50" s="979"/>
      <c r="B50" s="984"/>
      <c r="C50" s="1131" t="s">
        <v>566</v>
      </c>
      <c r="D50" s="1007"/>
      <c r="E50" s="1007"/>
      <c r="F50" s="1007"/>
      <c r="G50" s="1007"/>
      <c r="H50" s="1007"/>
      <c r="I50" s="1007"/>
      <c r="J50" s="1007"/>
      <c r="K50" s="1007"/>
      <c r="L50" s="1007"/>
      <c r="M50" s="1007"/>
      <c r="N50" s="1007"/>
      <c r="O50" s="1007"/>
      <c r="P50" s="1007"/>
      <c r="Q50" s="1007"/>
      <c r="R50" s="1007"/>
      <c r="S50" s="1037"/>
    </row>
    <row r="51" spans="1:24" ht="14.25" customHeight="1" x14ac:dyDescent="0.3">
      <c r="A51" s="979"/>
      <c r="B51" s="984"/>
      <c r="C51" s="1723" t="s">
        <v>567</v>
      </c>
      <c r="D51" s="1723"/>
      <c r="E51" s="1723"/>
      <c r="F51" s="1723"/>
      <c r="G51" s="1723"/>
      <c r="H51" s="1723"/>
      <c r="I51" s="1723"/>
      <c r="J51" s="1723"/>
      <c r="K51" s="1723"/>
      <c r="L51" s="1723"/>
      <c r="M51" s="1723"/>
      <c r="N51" s="1723"/>
      <c r="O51" s="1723"/>
      <c r="P51" s="1723"/>
      <c r="Q51" s="1723"/>
      <c r="R51" s="1723"/>
      <c r="S51" s="1037"/>
    </row>
    <row r="52" spans="1:24" ht="29.25" customHeight="1" x14ac:dyDescent="0.3">
      <c r="A52" s="979"/>
      <c r="B52" s="984"/>
      <c r="C52" s="1723"/>
      <c r="D52" s="1723"/>
      <c r="E52" s="1723"/>
      <c r="F52" s="1723"/>
      <c r="G52" s="1723"/>
      <c r="H52" s="1723"/>
      <c r="I52" s="1723"/>
      <c r="J52" s="1723"/>
      <c r="K52" s="1723"/>
      <c r="L52" s="1723"/>
      <c r="M52" s="1723"/>
      <c r="N52" s="1723"/>
      <c r="O52" s="1723"/>
      <c r="P52" s="1723"/>
      <c r="Q52" s="1723"/>
      <c r="R52" s="1723"/>
      <c r="S52" s="1058"/>
    </row>
    <row r="53" spans="1:24" ht="20.149999999999999" customHeight="1" x14ac:dyDescent="0.3">
      <c r="A53" s="979"/>
      <c r="B53" s="984"/>
      <c r="C53" s="1132" t="s">
        <v>568</v>
      </c>
      <c r="D53" s="1133"/>
      <c r="E53" s="1133"/>
      <c r="F53" s="1133"/>
      <c r="G53" s="1133"/>
      <c r="H53" s="1133"/>
      <c r="I53" s="1133"/>
      <c r="J53" s="1134"/>
      <c r="K53" s="1134"/>
      <c r="L53" s="1134"/>
      <c r="M53" s="1134"/>
      <c r="N53" s="1134"/>
      <c r="O53" s="1134"/>
      <c r="P53" s="1134"/>
      <c r="Q53" s="1134"/>
      <c r="R53" s="1134"/>
      <c r="S53" s="1058"/>
    </row>
    <row r="54" spans="1:24" ht="29.25" customHeight="1" x14ac:dyDescent="0.3">
      <c r="A54" s="979"/>
      <c r="B54" s="984"/>
      <c r="C54" s="1724" t="s">
        <v>570</v>
      </c>
      <c r="D54" s="1725"/>
      <c r="E54" s="1725"/>
      <c r="F54" s="1725"/>
      <c r="G54" s="1725"/>
      <c r="H54" s="1725"/>
      <c r="I54" s="1725"/>
      <c r="J54" s="1725"/>
      <c r="K54" s="1725"/>
      <c r="L54" s="1725"/>
      <c r="M54" s="1725"/>
      <c r="N54" s="1135"/>
      <c r="O54" s="1135"/>
      <c r="P54" s="1135"/>
      <c r="Q54" s="1135"/>
      <c r="R54" s="1135"/>
      <c r="S54" s="1058"/>
    </row>
    <row r="55" spans="1:24" ht="26.25" customHeight="1" x14ac:dyDescent="0.3">
      <c r="A55" s="979"/>
      <c r="B55" s="984"/>
      <c r="C55" s="1725"/>
      <c r="D55" s="1725"/>
      <c r="E55" s="1725"/>
      <c r="F55" s="1725"/>
      <c r="G55" s="1725"/>
      <c r="H55" s="1725"/>
      <c r="I55" s="1725"/>
      <c r="J55" s="1725"/>
      <c r="K55" s="1725"/>
      <c r="L55" s="1725"/>
      <c r="M55" s="1725"/>
      <c r="N55" s="1135"/>
      <c r="O55" s="1135"/>
      <c r="P55" s="1135"/>
      <c r="Q55" s="1135"/>
      <c r="R55" s="1135"/>
      <c r="S55" s="1058"/>
      <c r="V55" s="978">
        <f>IF(OR('MC Working'!E61=0,'MC Working'!E61=""),1,0)</f>
        <v>1</v>
      </c>
    </row>
    <row r="56" spans="1:24" ht="18" customHeight="1" x14ac:dyDescent="0.3">
      <c r="A56" s="979"/>
      <c r="B56" s="984"/>
      <c r="C56" s="1136"/>
      <c r="D56" s="1137"/>
      <c r="E56" s="1137"/>
      <c r="F56" s="1137"/>
      <c r="G56" s="1137"/>
      <c r="H56" s="1137"/>
      <c r="I56" s="1137"/>
      <c r="J56" s="1137"/>
      <c r="K56" s="1137"/>
      <c r="L56" s="1137"/>
      <c r="M56" s="1137"/>
      <c r="N56" s="1726"/>
      <c r="O56" s="1726"/>
      <c r="P56" s="1726"/>
      <c r="Q56" s="1726"/>
      <c r="R56" s="1726"/>
      <c r="S56" s="1058"/>
    </row>
    <row r="57" spans="1:24" ht="30.75" hidden="1" customHeight="1" x14ac:dyDescent="0.3">
      <c r="A57" s="979"/>
      <c r="B57" s="984"/>
      <c r="C57" s="1138"/>
      <c r="D57" s="1137"/>
      <c r="E57" s="1137"/>
      <c r="F57" s="1137"/>
      <c r="G57" s="1137"/>
      <c r="H57" s="1137"/>
      <c r="I57" s="1137"/>
      <c r="J57" s="1137"/>
      <c r="K57" s="1137"/>
      <c r="L57" s="1137"/>
      <c r="M57" s="1137"/>
      <c r="N57" s="1137"/>
      <c r="O57" s="1137"/>
      <c r="P57" s="1137"/>
      <c r="Q57" s="1137"/>
      <c r="R57" s="1137"/>
      <c r="S57" s="1058"/>
    </row>
    <row r="58" spans="1:24" ht="15.75" hidden="1" customHeight="1" x14ac:dyDescent="0.3">
      <c r="A58" s="979"/>
      <c r="B58" s="984"/>
      <c r="C58" s="1727"/>
      <c r="D58" s="1727"/>
      <c r="E58" s="1727"/>
      <c r="F58" s="1727"/>
      <c r="G58" s="1727"/>
      <c r="H58" s="1727"/>
      <c r="I58" s="1727"/>
      <c r="J58" s="1139"/>
      <c r="K58" s="1139"/>
      <c r="L58" s="1139"/>
      <c r="M58" s="1140"/>
      <c r="N58" s="987"/>
      <c r="O58" s="987"/>
      <c r="P58" s="987"/>
      <c r="Q58" s="987"/>
      <c r="R58" s="987"/>
      <c r="S58" s="1141"/>
    </row>
    <row r="59" spans="1:24" ht="27" customHeight="1" x14ac:dyDescent="0.3">
      <c r="A59" s="979"/>
      <c r="B59" s="984"/>
      <c r="C59" s="1718" t="str">
        <f>CONCATENATE("MNI - ",'MC Working'!H23," - ",'MC Working'!H37," - ",'MC Working'!M64)</f>
        <v>MNI - 57.6 - 25 - 2000</v>
      </c>
      <c r="D59" s="1718"/>
      <c r="E59" s="1718"/>
      <c r="F59" s="1718"/>
      <c r="G59" s="1718"/>
      <c r="H59" s="1718"/>
      <c r="I59" s="1718"/>
      <c r="J59" s="984"/>
      <c r="K59" s="984"/>
      <c r="L59" s="1140"/>
      <c r="M59" s="1140"/>
      <c r="N59" s="1142"/>
      <c r="O59" s="1142"/>
      <c r="P59" s="1142"/>
      <c r="Q59" s="1142"/>
      <c r="R59" s="1142"/>
      <c r="S59" s="1141"/>
    </row>
    <row r="60" spans="1:24" ht="2.25" customHeight="1" thickBot="1" x14ac:dyDescent="0.3">
      <c r="A60" s="574"/>
      <c r="B60" s="575"/>
      <c r="C60" s="576"/>
      <c r="D60" s="575"/>
      <c r="E60" s="575"/>
      <c r="F60" s="575"/>
      <c r="G60" s="575"/>
      <c r="H60" s="575"/>
      <c r="I60" s="575"/>
      <c r="J60" s="575"/>
      <c r="K60" s="575"/>
      <c r="L60" s="575"/>
      <c r="M60" s="575"/>
      <c r="N60" s="575"/>
      <c r="O60" s="577"/>
      <c r="P60" s="578"/>
      <c r="Q60" s="579"/>
      <c r="R60" s="580"/>
      <c r="S60" s="581"/>
    </row>
    <row r="61" spans="1:24" ht="16" hidden="1" thickTop="1" x14ac:dyDescent="0.35">
      <c r="A61" s="1143"/>
      <c r="D61" s="1144"/>
      <c r="E61" s="1144"/>
      <c r="F61" s="1144"/>
      <c r="G61" s="1144"/>
      <c r="H61" s="1144"/>
      <c r="J61" s="1145"/>
      <c r="K61" s="1145"/>
      <c r="L61" s="1145"/>
      <c r="M61" s="1145"/>
      <c r="N61" s="1145"/>
      <c r="O61" s="1145"/>
      <c r="P61" s="1145"/>
      <c r="S61" s="1145"/>
    </row>
    <row r="62" spans="1:24" ht="13" hidden="1" thickTop="1" x14ac:dyDescent="0.25"/>
    <row r="63" spans="1:24" ht="13" hidden="1" thickTop="1" x14ac:dyDescent="0.25"/>
    <row r="64" spans="1:24" ht="13" hidden="1" thickTop="1" x14ac:dyDescent="0.25"/>
    <row r="65" spans="1:19" ht="13" hidden="1" thickTop="1" x14ac:dyDescent="0.25">
      <c r="A65" s="1719" t="s">
        <v>401</v>
      </c>
      <c r="B65" s="1719"/>
      <c r="C65" s="1719"/>
      <c r="D65" s="1719"/>
      <c r="E65" s="1719"/>
      <c r="F65" s="1719"/>
      <c r="G65" s="1719"/>
      <c r="H65" s="1719"/>
      <c r="I65" s="1719"/>
      <c r="J65" s="1719"/>
      <c r="K65" s="1719"/>
      <c r="L65" s="1719"/>
      <c r="M65" s="1719"/>
      <c r="N65" s="1719"/>
      <c r="O65" s="1719"/>
      <c r="P65" s="1719"/>
      <c r="Q65" s="1719"/>
      <c r="R65" s="1719"/>
      <c r="S65" s="1719"/>
    </row>
    <row r="66" spans="1:19" ht="13" hidden="1" thickTop="1" x14ac:dyDescent="0.25">
      <c r="A66" s="1719"/>
      <c r="B66" s="1719"/>
      <c r="C66" s="1719"/>
      <c r="D66" s="1719"/>
      <c r="E66" s="1719"/>
      <c r="F66" s="1719"/>
      <c r="G66" s="1719"/>
      <c r="H66" s="1719"/>
      <c r="I66" s="1719"/>
      <c r="J66" s="1719"/>
      <c r="K66" s="1719"/>
      <c r="L66" s="1719"/>
      <c r="M66" s="1719"/>
      <c r="N66" s="1719"/>
      <c r="O66" s="1719"/>
      <c r="P66" s="1719"/>
      <c r="Q66" s="1719"/>
      <c r="R66" s="1719"/>
      <c r="S66" s="1719"/>
    </row>
    <row r="67" spans="1:19" ht="13" hidden="1" thickTop="1" x14ac:dyDescent="0.25">
      <c r="A67" s="1719"/>
      <c r="B67" s="1719"/>
      <c r="C67" s="1719"/>
      <c r="D67" s="1719"/>
      <c r="E67" s="1719"/>
      <c r="F67" s="1719"/>
      <c r="G67" s="1719"/>
      <c r="H67" s="1719"/>
      <c r="I67" s="1719"/>
      <c r="J67" s="1719"/>
      <c r="K67" s="1719"/>
      <c r="L67" s="1719"/>
      <c r="M67" s="1719"/>
      <c r="N67" s="1719"/>
      <c r="O67" s="1719"/>
      <c r="P67" s="1719"/>
      <c r="Q67" s="1719"/>
      <c r="R67" s="1719"/>
      <c r="S67" s="1719"/>
    </row>
    <row r="68" spans="1:19" ht="13" hidden="1" thickTop="1" x14ac:dyDescent="0.25">
      <c r="A68" s="1719"/>
      <c r="B68" s="1719"/>
      <c r="C68" s="1719"/>
      <c r="D68" s="1719"/>
      <c r="E68" s="1719"/>
      <c r="F68" s="1719"/>
      <c r="G68" s="1719"/>
      <c r="H68" s="1719"/>
      <c r="I68" s="1719"/>
      <c r="J68" s="1719"/>
      <c r="K68" s="1719"/>
      <c r="L68" s="1719"/>
      <c r="M68" s="1719"/>
      <c r="N68" s="1719"/>
      <c r="O68" s="1719"/>
      <c r="P68" s="1719"/>
      <c r="Q68" s="1719"/>
      <c r="R68" s="1719"/>
      <c r="S68" s="1719"/>
    </row>
    <row r="69" spans="1:19" ht="13" hidden="1" thickTop="1" x14ac:dyDescent="0.25">
      <c r="A69" s="1719"/>
      <c r="B69" s="1719"/>
      <c r="C69" s="1719"/>
      <c r="D69" s="1719"/>
      <c r="E69" s="1719"/>
      <c r="F69" s="1719"/>
      <c r="G69" s="1719"/>
      <c r="H69" s="1719"/>
      <c r="I69" s="1719"/>
      <c r="J69" s="1719"/>
      <c r="K69" s="1719"/>
      <c r="L69" s="1719"/>
      <c r="M69" s="1719"/>
      <c r="N69" s="1719"/>
      <c r="O69" s="1719"/>
      <c r="P69" s="1719"/>
      <c r="Q69" s="1719"/>
      <c r="R69" s="1719"/>
      <c r="S69" s="1719"/>
    </row>
    <row r="70" spans="1:19" ht="13" hidden="1" thickTop="1" x14ac:dyDescent="0.25">
      <c r="A70" s="1719"/>
      <c r="B70" s="1719"/>
      <c r="C70" s="1719"/>
      <c r="D70" s="1719"/>
      <c r="E70" s="1719"/>
      <c r="F70" s="1719"/>
      <c r="G70" s="1719"/>
      <c r="H70" s="1719"/>
      <c r="I70" s="1719"/>
      <c r="J70" s="1719"/>
      <c r="K70" s="1719"/>
      <c r="L70" s="1719"/>
      <c r="M70" s="1719"/>
      <c r="N70" s="1719"/>
      <c r="O70" s="1719"/>
      <c r="P70" s="1719"/>
      <c r="Q70" s="1719"/>
      <c r="R70" s="1719"/>
      <c r="S70" s="1719"/>
    </row>
    <row r="71" spans="1:19" ht="13" hidden="1" thickTop="1" x14ac:dyDescent="0.25">
      <c r="A71" s="1719"/>
      <c r="B71" s="1719"/>
      <c r="C71" s="1719"/>
      <c r="D71" s="1719"/>
      <c r="E71" s="1719"/>
      <c r="F71" s="1719"/>
      <c r="G71" s="1719"/>
      <c r="H71" s="1719"/>
      <c r="I71" s="1719"/>
      <c r="J71" s="1719"/>
      <c r="K71" s="1719"/>
      <c r="L71" s="1719"/>
      <c r="M71" s="1719"/>
      <c r="N71" s="1719"/>
      <c r="O71" s="1719"/>
      <c r="P71" s="1719"/>
      <c r="Q71" s="1719"/>
      <c r="R71" s="1719"/>
      <c r="S71" s="1719"/>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46" t="s">
        <v>455</v>
      </c>
    </row>
    <row r="87" spans="6:18" ht="14.5" hidden="1" thickTop="1" x14ac:dyDescent="0.25">
      <c r="F87" s="1063" t="s">
        <v>458</v>
      </c>
      <c r="I87" s="1063" t="s">
        <v>458</v>
      </c>
      <c r="R87" s="1146" t="s">
        <v>454</v>
      </c>
    </row>
    <row r="88" spans="6:18" ht="14.5" hidden="1" thickTop="1" x14ac:dyDescent="0.25">
      <c r="I88" s="1063" t="s">
        <v>461</v>
      </c>
      <c r="R88" s="1146" t="s">
        <v>524</v>
      </c>
    </row>
    <row r="89" spans="6:18" ht="14.5" hidden="1" thickTop="1" x14ac:dyDescent="0.25">
      <c r="I89" s="1063" t="s">
        <v>469</v>
      </c>
      <c r="R89" s="1146" t="s">
        <v>455</v>
      </c>
    </row>
    <row r="90" spans="6:18" ht="14.5" hidden="1" thickTop="1" x14ac:dyDescent="0.25">
      <c r="I90" s="1063" t="s">
        <v>523</v>
      </c>
      <c r="R90" s="1146" t="s">
        <v>382</v>
      </c>
    </row>
    <row r="91" spans="6:18" ht="14.5" hidden="1" thickTop="1" x14ac:dyDescent="0.25">
      <c r="I91" s="1063" t="s">
        <v>472</v>
      </c>
      <c r="R91" s="1146" t="s">
        <v>455</v>
      </c>
    </row>
    <row r="92" spans="6:18" ht="14.5" hidden="1" thickTop="1" x14ac:dyDescent="0.25">
      <c r="I92" s="1063" t="s">
        <v>480</v>
      </c>
      <c r="R92" s="1146" t="s">
        <v>456</v>
      </c>
    </row>
    <row r="93" spans="6:18" ht="14.5" hidden="1" thickTop="1" x14ac:dyDescent="0.25">
      <c r="I93" s="1063" t="s">
        <v>481</v>
      </c>
      <c r="R93" s="1146" t="s">
        <v>457</v>
      </c>
    </row>
    <row r="94" spans="6:18" ht="14.5" hidden="1" thickTop="1" x14ac:dyDescent="0.25">
      <c r="I94" s="1063" t="s">
        <v>485</v>
      </c>
      <c r="R94" s="1146" t="s">
        <v>383</v>
      </c>
    </row>
    <row r="95" spans="6:18" ht="14.5" hidden="1" thickTop="1" x14ac:dyDescent="0.25">
      <c r="I95" s="1063" t="s">
        <v>491</v>
      </c>
      <c r="R95" s="1146" t="s">
        <v>459</v>
      </c>
    </row>
    <row r="96" spans="6:18" ht="14.5" hidden="1" thickTop="1" x14ac:dyDescent="0.25">
      <c r="I96" s="1063" t="s">
        <v>498</v>
      </c>
      <c r="R96" s="1146" t="s">
        <v>390</v>
      </c>
    </row>
    <row r="97" spans="9:18" ht="28.5" hidden="1" thickTop="1" x14ac:dyDescent="0.25">
      <c r="I97" s="1063" t="s">
        <v>501</v>
      </c>
      <c r="R97" s="1146" t="s">
        <v>460</v>
      </c>
    </row>
    <row r="98" spans="9:18" ht="14.5" hidden="1" thickTop="1" x14ac:dyDescent="0.25">
      <c r="I98" s="1063" t="s">
        <v>506</v>
      </c>
      <c r="R98" s="1146" t="s">
        <v>431</v>
      </c>
    </row>
    <row r="99" spans="9:18" ht="14.5" hidden="1" thickTop="1" x14ac:dyDescent="0.25">
      <c r="R99" s="1146" t="s">
        <v>462</v>
      </c>
    </row>
    <row r="100" spans="9:18" ht="28.5" hidden="1" thickTop="1" x14ac:dyDescent="0.25">
      <c r="I100" s="1063">
        <f>IF(OR(F87=I86,F87=I87,F87=I88,F87=I89,F87=I90,F87=I91,F87=I92,F87=I93,F87=I94,F87=I95,F87=I96,F87=I97,F87=I98),1,0)</f>
        <v>1</v>
      </c>
      <c r="R100" s="1146" t="s">
        <v>463</v>
      </c>
    </row>
    <row r="101" spans="9:18" ht="28.5" hidden="1" thickTop="1" x14ac:dyDescent="0.25">
      <c r="R101" s="1146" t="s">
        <v>464</v>
      </c>
    </row>
    <row r="102" spans="9:18" ht="14.5" hidden="1" thickTop="1" x14ac:dyDescent="0.25">
      <c r="R102" s="1146" t="s">
        <v>465</v>
      </c>
    </row>
    <row r="103" spans="9:18" ht="28.5" hidden="1" thickTop="1" x14ac:dyDescent="0.25">
      <c r="R103" s="1146" t="s">
        <v>466</v>
      </c>
    </row>
    <row r="104" spans="9:18" ht="28.5" hidden="1" thickTop="1" x14ac:dyDescent="0.25">
      <c r="R104" s="1146" t="s">
        <v>467</v>
      </c>
    </row>
    <row r="105" spans="9:18" ht="14.5" hidden="1" thickTop="1" x14ac:dyDescent="0.25">
      <c r="R105" s="1146" t="s">
        <v>468</v>
      </c>
    </row>
    <row r="106" spans="9:18" ht="28.5" hidden="1" thickTop="1" x14ac:dyDescent="0.25">
      <c r="R106" s="1146" t="s">
        <v>384</v>
      </c>
    </row>
    <row r="107" spans="9:18" ht="28.5" hidden="1" thickTop="1" x14ac:dyDescent="0.25">
      <c r="R107" s="1146" t="s">
        <v>470</v>
      </c>
    </row>
    <row r="108" spans="9:18" ht="28.5" hidden="1" thickTop="1" x14ac:dyDescent="0.25">
      <c r="R108" s="1146" t="s">
        <v>471</v>
      </c>
    </row>
    <row r="109" spans="9:18" ht="14.5" hidden="1" thickTop="1" x14ac:dyDescent="0.25">
      <c r="R109" s="1146" t="s">
        <v>416</v>
      </c>
    </row>
    <row r="110" spans="9:18" ht="28.5" hidden="1" thickTop="1" x14ac:dyDescent="0.25">
      <c r="R110" s="1146" t="s">
        <v>473</v>
      </c>
    </row>
    <row r="111" spans="9:18" ht="28.5" hidden="1" thickTop="1" x14ac:dyDescent="0.25">
      <c r="R111" s="1146" t="s">
        <v>474</v>
      </c>
    </row>
    <row r="112" spans="9:18" ht="14.5" hidden="1" thickTop="1" x14ac:dyDescent="0.25">
      <c r="R112" s="1146" t="s">
        <v>475</v>
      </c>
    </row>
    <row r="113" spans="18:18" ht="14.5" hidden="1" thickTop="1" x14ac:dyDescent="0.25">
      <c r="R113" s="1146" t="s">
        <v>476</v>
      </c>
    </row>
    <row r="114" spans="18:18" ht="14.5" hidden="1" thickTop="1" x14ac:dyDescent="0.25">
      <c r="R114" s="1146" t="s">
        <v>477</v>
      </c>
    </row>
    <row r="115" spans="18:18" ht="28.5" hidden="1" thickTop="1" x14ac:dyDescent="0.25">
      <c r="R115" s="1146" t="s">
        <v>478</v>
      </c>
    </row>
    <row r="116" spans="18:18" ht="14.5" hidden="1" thickTop="1" x14ac:dyDescent="0.25">
      <c r="R116" s="1146" t="s">
        <v>479</v>
      </c>
    </row>
    <row r="117" spans="18:18" ht="14.5" hidden="1" thickTop="1" x14ac:dyDescent="0.25">
      <c r="R117" s="1146" t="s">
        <v>391</v>
      </c>
    </row>
    <row r="118" spans="18:18" ht="14.5" hidden="1" thickTop="1" x14ac:dyDescent="0.25">
      <c r="R118" s="1146" t="s">
        <v>392</v>
      </c>
    </row>
    <row r="119" spans="18:18" ht="14.5" hidden="1" thickTop="1" x14ac:dyDescent="0.25">
      <c r="R119" s="1146" t="s">
        <v>385</v>
      </c>
    </row>
    <row r="120" spans="18:18" ht="14.5" hidden="1" thickTop="1" x14ac:dyDescent="0.25">
      <c r="R120" s="1146" t="s">
        <v>393</v>
      </c>
    </row>
    <row r="121" spans="18:18" ht="14.5" hidden="1" thickTop="1" x14ac:dyDescent="0.25">
      <c r="R121" s="1146" t="s">
        <v>386</v>
      </c>
    </row>
    <row r="122" spans="18:18" ht="14.5" hidden="1" thickTop="1" x14ac:dyDescent="0.25">
      <c r="R122" s="1146" t="s">
        <v>387</v>
      </c>
    </row>
    <row r="123" spans="18:18" ht="28.5" hidden="1" thickTop="1" x14ac:dyDescent="0.25">
      <c r="R123" s="1146" t="s">
        <v>482</v>
      </c>
    </row>
    <row r="124" spans="18:18" ht="14.5" hidden="1" thickTop="1" x14ac:dyDescent="0.25">
      <c r="R124" s="1146" t="s">
        <v>483</v>
      </c>
    </row>
    <row r="125" spans="18:18" ht="14.5" hidden="1" thickTop="1" x14ac:dyDescent="0.25">
      <c r="R125" s="1146" t="s">
        <v>484</v>
      </c>
    </row>
    <row r="126" spans="18:18" ht="14.5" hidden="1" thickTop="1" x14ac:dyDescent="0.25">
      <c r="R126" s="1146" t="s">
        <v>486</v>
      </c>
    </row>
    <row r="127" spans="18:18" ht="14.5" hidden="1" thickTop="1" x14ac:dyDescent="0.25">
      <c r="R127" s="1146" t="s">
        <v>487</v>
      </c>
    </row>
    <row r="128" spans="18:18" ht="28.5" hidden="1" thickTop="1" x14ac:dyDescent="0.25">
      <c r="R128" s="1146" t="s">
        <v>388</v>
      </c>
    </row>
    <row r="129" spans="18:18" ht="28.5" hidden="1" thickTop="1" x14ac:dyDescent="0.25">
      <c r="R129" s="1146" t="s">
        <v>423</v>
      </c>
    </row>
    <row r="130" spans="18:18" ht="28.5" hidden="1" thickTop="1" x14ac:dyDescent="0.25">
      <c r="R130" s="1146" t="s">
        <v>422</v>
      </c>
    </row>
    <row r="131" spans="18:18" ht="14.5" hidden="1" thickTop="1" x14ac:dyDescent="0.25">
      <c r="R131" s="1146" t="s">
        <v>488</v>
      </c>
    </row>
    <row r="132" spans="18:18" ht="28.5" hidden="1" thickTop="1" x14ac:dyDescent="0.25">
      <c r="R132" s="1146" t="s">
        <v>489</v>
      </c>
    </row>
    <row r="133" spans="18:18" ht="14.5" hidden="1" thickTop="1" x14ac:dyDescent="0.25">
      <c r="R133" s="1146" t="s">
        <v>490</v>
      </c>
    </row>
    <row r="134" spans="18:18" ht="28.5" hidden="1" thickTop="1" x14ac:dyDescent="0.25">
      <c r="R134" s="1146" t="s">
        <v>492</v>
      </c>
    </row>
    <row r="135" spans="18:18" ht="14.5" hidden="1" thickTop="1" x14ac:dyDescent="0.25">
      <c r="R135" s="1146" t="s">
        <v>493</v>
      </c>
    </row>
    <row r="136" spans="18:18" ht="28.5" hidden="1" thickTop="1" x14ac:dyDescent="0.25">
      <c r="R136" s="1146" t="s">
        <v>494</v>
      </c>
    </row>
    <row r="137" spans="18:18" ht="28.5" hidden="1" thickTop="1" x14ac:dyDescent="0.25">
      <c r="R137" s="1146" t="s">
        <v>495</v>
      </c>
    </row>
    <row r="138" spans="18:18" ht="14.5" hidden="1" thickTop="1" x14ac:dyDescent="0.25">
      <c r="R138" s="1146" t="s">
        <v>496</v>
      </c>
    </row>
    <row r="139" spans="18:18" ht="14.5" hidden="1" thickTop="1" x14ac:dyDescent="0.25">
      <c r="R139" s="1146" t="s">
        <v>497</v>
      </c>
    </row>
    <row r="140" spans="18:18" ht="28.5" hidden="1" thickTop="1" x14ac:dyDescent="0.25">
      <c r="R140" s="1146" t="s">
        <v>394</v>
      </c>
    </row>
    <row r="141" spans="18:18" ht="28.5" hidden="1" thickTop="1" x14ac:dyDescent="0.25">
      <c r="R141" s="1146" t="s">
        <v>499</v>
      </c>
    </row>
    <row r="142" spans="18:18" ht="28.5" hidden="1" thickTop="1" x14ac:dyDescent="0.25">
      <c r="R142" s="1146" t="s">
        <v>500</v>
      </c>
    </row>
    <row r="143" spans="18:18" ht="14.5" hidden="1" thickTop="1" x14ac:dyDescent="0.25">
      <c r="R143" s="1146" t="s">
        <v>502</v>
      </c>
    </row>
    <row r="144" spans="18:18" ht="28.5" hidden="1" thickTop="1" x14ac:dyDescent="0.25">
      <c r="R144" s="1146" t="s">
        <v>503</v>
      </c>
    </row>
    <row r="145" spans="18:18" ht="14.5" hidden="1" thickTop="1" x14ac:dyDescent="0.25">
      <c r="R145" s="1146" t="s">
        <v>504</v>
      </c>
    </row>
    <row r="146" spans="18:18" ht="14.5" hidden="1" thickTop="1" x14ac:dyDescent="0.25">
      <c r="R146" s="1146" t="s">
        <v>505</v>
      </c>
    </row>
    <row r="147" spans="18:18" ht="28.5" hidden="1" thickTop="1" x14ac:dyDescent="0.25">
      <c r="R147" s="1146" t="s">
        <v>418</v>
      </c>
    </row>
    <row r="148" spans="18:18" ht="14.5" hidden="1" thickTop="1" x14ac:dyDescent="0.25">
      <c r="R148" s="1146" t="s">
        <v>507</v>
      </c>
    </row>
    <row r="149" spans="18:18" ht="14.5" hidden="1" thickTop="1" x14ac:dyDescent="0.25">
      <c r="R149" s="1146" t="s">
        <v>508</v>
      </c>
    </row>
    <row r="150" spans="18:18" ht="14.5" hidden="1" thickTop="1" x14ac:dyDescent="0.25">
      <c r="R150" s="1146" t="s">
        <v>509</v>
      </c>
    </row>
    <row r="151" spans="18:18" ht="14.5" hidden="1" thickTop="1" x14ac:dyDescent="0.25">
      <c r="R151" s="1146" t="s">
        <v>510</v>
      </c>
    </row>
    <row r="152" spans="18:18" ht="14.5" hidden="1" thickTop="1" x14ac:dyDescent="0.25">
      <c r="R152" s="1146" t="s">
        <v>428</v>
      </c>
    </row>
    <row r="153" spans="18:18" ht="28.5" hidden="1" thickTop="1" x14ac:dyDescent="0.25">
      <c r="R153" s="1146" t="s">
        <v>511</v>
      </c>
    </row>
    <row r="154" spans="18:18" ht="28.5" hidden="1" thickTop="1" x14ac:dyDescent="0.25">
      <c r="R154" s="1146" t="s">
        <v>512</v>
      </c>
    </row>
    <row r="155" spans="18:18" ht="28.5" hidden="1" thickTop="1" x14ac:dyDescent="0.25">
      <c r="R155" s="1146" t="s">
        <v>513</v>
      </c>
    </row>
    <row r="156" spans="18:18" ht="14.5" hidden="1" thickTop="1" x14ac:dyDescent="0.25">
      <c r="R156" s="1146" t="s">
        <v>514</v>
      </c>
    </row>
    <row r="157" spans="18:18" ht="28.5" hidden="1" thickTop="1" x14ac:dyDescent="0.25">
      <c r="R157" s="1146" t="s">
        <v>515</v>
      </c>
    </row>
    <row r="158" spans="18:18" ht="28.5" hidden="1" thickTop="1" x14ac:dyDescent="0.25">
      <c r="R158" s="1146" t="s">
        <v>516</v>
      </c>
    </row>
    <row r="159" spans="18:18" ht="28.5" hidden="1" thickTop="1" x14ac:dyDescent="0.25">
      <c r="R159" s="1146" t="s">
        <v>517</v>
      </c>
    </row>
    <row r="160" spans="18:18" ht="14.5" hidden="1" thickTop="1" x14ac:dyDescent="0.25">
      <c r="R160" s="1146" t="s">
        <v>389</v>
      </c>
    </row>
    <row r="161" spans="18:18" ht="14.5" hidden="1" thickTop="1" x14ac:dyDescent="0.25">
      <c r="R161" s="1146"/>
    </row>
    <row r="162" spans="18:18" ht="14.5" hidden="1" thickTop="1" x14ac:dyDescent="0.25">
      <c r="R162" s="1146"/>
    </row>
    <row r="163" spans="18:18" ht="14.5" hidden="1" thickTop="1" x14ac:dyDescent="0.25">
      <c r="R163" s="1146"/>
    </row>
    <row r="164" spans="18:18" ht="14.5" hidden="1" thickTop="1" x14ac:dyDescent="0.25">
      <c r="R164" s="1146"/>
    </row>
    <row r="165" spans="18:18" ht="14.5" hidden="1" thickTop="1" x14ac:dyDescent="0.25">
      <c r="R165" s="1146"/>
    </row>
    <row r="166" spans="18:18" ht="14.5" hidden="1" thickTop="1" x14ac:dyDescent="0.25">
      <c r="R166" s="1146"/>
    </row>
    <row r="167" spans="18:18" ht="14.5" hidden="1" thickTop="1" x14ac:dyDescent="0.25">
      <c r="R167" s="1146"/>
    </row>
    <row r="168" spans="18:18" ht="14.5" hidden="1" thickTop="1" x14ac:dyDescent="0.25">
      <c r="R168" s="1146"/>
    </row>
    <row r="169" spans="18:18" ht="14.5" hidden="1" thickTop="1" x14ac:dyDescent="0.25">
      <c r="R169" s="1146"/>
    </row>
    <row r="170" spans="18:18" ht="14.5" hidden="1" thickTop="1" x14ac:dyDescent="0.25">
      <c r="R170" s="1146"/>
    </row>
    <row r="171" spans="18:18" ht="14.5" hidden="1" thickTop="1" x14ac:dyDescent="0.25">
      <c r="R171" s="1146"/>
    </row>
    <row r="172" spans="18:18" ht="14.5" hidden="1" thickTop="1" x14ac:dyDescent="0.25">
      <c r="R172" s="1146"/>
    </row>
    <row r="173" spans="18:18" ht="13" thickTop="1" x14ac:dyDescent="0.25"/>
  </sheetData>
  <sheetProtection password="F6CE" sheet="1" objects="1" scenarios="1"/>
  <dataConsolidate/>
  <mergeCells count="27">
    <mergeCell ref="M1:S1"/>
    <mergeCell ref="M2:R2"/>
    <mergeCell ref="P4:R4"/>
    <mergeCell ref="P7:S7"/>
    <mergeCell ref="C8:J8"/>
    <mergeCell ref="P8:R8"/>
    <mergeCell ref="P9:R9"/>
    <mergeCell ref="P10:Q10"/>
    <mergeCell ref="C11:J11"/>
    <mergeCell ref="P11:R11"/>
    <mergeCell ref="P12:R12"/>
    <mergeCell ref="C13:J13"/>
    <mergeCell ref="P13:Q13"/>
    <mergeCell ref="Q16:R17"/>
    <mergeCell ref="C17:I18"/>
    <mergeCell ref="C20:J24"/>
    <mergeCell ref="L25:S25"/>
    <mergeCell ref="D41:E41"/>
    <mergeCell ref="C43:R43"/>
    <mergeCell ref="C59:I59"/>
    <mergeCell ref="A65:S71"/>
    <mergeCell ref="C48:R48"/>
    <mergeCell ref="C49:R49"/>
    <mergeCell ref="C51:R52"/>
    <mergeCell ref="C54:M55"/>
    <mergeCell ref="N56:R56"/>
    <mergeCell ref="C58:I58"/>
  </mergeCells>
  <conditionalFormatting sqref="X32">
    <cfRule type="expression" dxfId="163" priority="15" stopIfTrue="1">
      <formula>E32&gt;9%</formula>
    </cfRule>
  </conditionalFormatting>
  <conditionalFormatting sqref="X49">
    <cfRule type="expression" dxfId="162" priority="16" stopIfTrue="1">
      <formula>T42=1</formula>
    </cfRule>
  </conditionalFormatting>
  <conditionalFormatting sqref="M34">
    <cfRule type="expression" dxfId="161" priority="17" stopIfTrue="1">
      <formula>W32=1</formula>
    </cfRule>
  </conditionalFormatting>
  <conditionalFormatting sqref="F36">
    <cfRule type="expression" dxfId="160" priority="18" stopIfTrue="1">
      <formula>W37=3</formula>
    </cfRule>
  </conditionalFormatting>
  <conditionalFormatting sqref="Q37">
    <cfRule type="expression" dxfId="159" priority="19" stopIfTrue="1">
      <formula>X42=1</formula>
    </cfRule>
  </conditionalFormatting>
  <conditionalFormatting sqref="L39">
    <cfRule type="expression" dxfId="158" priority="20" stopIfTrue="1">
      <formula>U42=1</formula>
    </cfRule>
  </conditionalFormatting>
  <conditionalFormatting sqref="C33:C34">
    <cfRule type="expression" dxfId="157" priority="21" stopIfTrue="1">
      <formula>U33="Yes"</formula>
    </cfRule>
  </conditionalFormatting>
  <conditionalFormatting sqref="X25">
    <cfRule type="expression" dxfId="156" priority="22" stopIfTrue="1">
      <formula>W38=1</formula>
    </cfRule>
  </conditionalFormatting>
  <conditionalFormatting sqref="M33">
    <cfRule type="expression" dxfId="155" priority="23" stopIfTrue="1">
      <formula>W34=1</formula>
    </cfRule>
  </conditionalFormatting>
  <conditionalFormatting sqref="L33">
    <cfRule type="expression" dxfId="154" priority="24" stopIfTrue="1">
      <formula>W34=1</formula>
    </cfRule>
  </conditionalFormatting>
  <conditionalFormatting sqref="D33:D34">
    <cfRule type="expression" dxfId="153" priority="25" stopIfTrue="1">
      <formula>U33="Yes"</formula>
    </cfRule>
  </conditionalFormatting>
  <conditionalFormatting sqref="C35">
    <cfRule type="expression" dxfId="152" priority="26" stopIfTrue="1">
      <formula>AND(U36="Yes",U34="Yes")</formula>
    </cfRule>
  </conditionalFormatting>
  <conditionalFormatting sqref="D35">
    <cfRule type="expression" dxfId="151" priority="27" stopIfTrue="1">
      <formula>AND(U36="Yes",U34="Yes")</formula>
    </cfRule>
  </conditionalFormatting>
  <conditionalFormatting sqref="L34">
    <cfRule type="expression" dxfId="150" priority="28" stopIfTrue="1">
      <formula>W32=1</formula>
    </cfRule>
  </conditionalFormatting>
  <conditionalFormatting sqref="M39">
    <cfRule type="expression" dxfId="149" priority="29" stopIfTrue="1">
      <formula>U42=1</formula>
    </cfRule>
  </conditionalFormatting>
  <conditionalFormatting sqref="L36">
    <cfRule type="expression" dxfId="148" priority="30" stopIfTrue="1">
      <formula>U41=1</formula>
    </cfRule>
  </conditionalFormatting>
  <conditionalFormatting sqref="Y23">
    <cfRule type="expression" dxfId="147" priority="31" stopIfTrue="1">
      <formula>AA37=1</formula>
    </cfRule>
  </conditionalFormatting>
  <conditionalFormatting sqref="W29">
    <cfRule type="expression" dxfId="146" priority="32" stopIfTrue="1">
      <formula>W39=1</formula>
    </cfRule>
  </conditionalFormatting>
  <conditionalFormatting sqref="E36">
    <cfRule type="expression" dxfId="145" priority="33" stopIfTrue="1">
      <formula>U37=1</formula>
    </cfRule>
  </conditionalFormatting>
  <conditionalFormatting sqref="M36">
    <cfRule type="expression" dxfId="144" priority="34" stopIfTrue="1">
      <formula>U41=1</formula>
    </cfRule>
  </conditionalFormatting>
  <conditionalFormatting sqref="D36">
    <cfRule type="expression" dxfId="143" priority="35" stopIfTrue="1">
      <formula>W41=1</formula>
    </cfRule>
  </conditionalFormatting>
  <conditionalFormatting sqref="C36">
    <cfRule type="expression" dxfId="142" priority="36" stopIfTrue="1">
      <formula>W41=1</formula>
    </cfRule>
  </conditionalFormatting>
  <conditionalFormatting sqref="C40">
    <cfRule type="expression" dxfId="141" priority="37" stopIfTrue="1">
      <formula>T40=1</formula>
    </cfRule>
  </conditionalFormatting>
  <conditionalFormatting sqref="L40">
    <cfRule type="expression" dxfId="140" priority="38" stopIfTrue="1">
      <formula>U40=1</formula>
    </cfRule>
  </conditionalFormatting>
  <conditionalFormatting sqref="D40">
    <cfRule type="expression" dxfId="139" priority="39" stopIfTrue="1">
      <formula>T40=1</formula>
    </cfRule>
  </conditionalFormatting>
  <conditionalFormatting sqref="M40">
    <cfRule type="expression" dxfId="138" priority="40" stopIfTrue="1">
      <formula>U40=1</formula>
    </cfRule>
  </conditionalFormatting>
  <conditionalFormatting sqref="I16">
    <cfRule type="expression" dxfId="137" priority="41" stopIfTrue="1">
      <formula>T18="One Year"</formula>
    </cfRule>
  </conditionalFormatting>
  <conditionalFormatting sqref="C53">
    <cfRule type="expression" dxfId="136" priority="42" stopIfTrue="1">
      <formula>V55&lt;&gt;0</formula>
    </cfRule>
  </conditionalFormatting>
  <conditionalFormatting sqref="U49">
    <cfRule type="cellIs" dxfId="135" priority="43" stopIfTrue="1" operator="equal">
      <formula>"."</formula>
    </cfRule>
  </conditionalFormatting>
  <conditionalFormatting sqref="X39:X40">
    <cfRule type="expression" dxfId="134" priority="44" stopIfTrue="1">
      <formula>#REF!&gt;1</formula>
    </cfRule>
  </conditionalFormatting>
  <conditionalFormatting sqref="D41:E41">
    <cfRule type="cellIs" dxfId="133" priority="45" stopIfTrue="1" operator="equal">
      <formula>"-"</formula>
    </cfRule>
  </conditionalFormatting>
  <conditionalFormatting sqref="G39:G40 E35 C9">
    <cfRule type="cellIs" dxfId="132" priority="46" stopIfTrue="1" operator="equal">
      <formula>0</formula>
    </cfRule>
  </conditionalFormatting>
  <conditionalFormatting sqref="H36">
    <cfRule type="expression" dxfId="131" priority="47" stopIfTrue="1">
      <formula>#REF!&gt;1000</formula>
    </cfRule>
  </conditionalFormatting>
  <conditionalFormatting sqref="I39:I40">
    <cfRule type="expression" dxfId="130" priority="48" stopIfTrue="1">
      <formula>#REF!=0</formula>
    </cfRule>
  </conditionalFormatting>
  <conditionalFormatting sqref="R5 P4">
    <cfRule type="cellIs" dxfId="129" priority="49" stopIfTrue="1" operator="equal">
      <formula>0</formula>
    </cfRule>
  </conditionalFormatting>
  <conditionalFormatting sqref="L23">
    <cfRule type="cellIs" dxfId="128" priority="50" stopIfTrue="1" operator="equal">
      <formula>"Total Contribution"</formula>
    </cfRule>
  </conditionalFormatting>
  <conditionalFormatting sqref="C8">
    <cfRule type="cellIs" dxfId="127" priority="14" stopIfTrue="1" operator="equal">
      <formula>0</formula>
    </cfRule>
  </conditionalFormatting>
  <conditionalFormatting sqref="Q38">
    <cfRule type="expression" dxfId="126" priority="13" stopIfTrue="1">
      <formula>V42=1</formula>
    </cfRule>
  </conditionalFormatting>
  <conditionalFormatting sqref="R38">
    <cfRule type="expression" dxfId="125" priority="12" stopIfTrue="1">
      <formula>AA43=1</formula>
    </cfRule>
  </conditionalFormatting>
  <conditionalFormatting sqref="G36">
    <cfRule type="expression" dxfId="124" priority="51" stopIfTrue="1">
      <formula>W35=1</formula>
    </cfRule>
  </conditionalFormatting>
  <conditionalFormatting sqref="F35">
    <cfRule type="expression" dxfId="123" priority="7" stopIfTrue="1">
      <formula>W35=3</formula>
    </cfRule>
  </conditionalFormatting>
  <conditionalFormatting sqref="G35">
    <cfRule type="expression" dxfId="122" priority="8" stopIfTrue="1">
      <formula>W35=1</formula>
    </cfRule>
  </conditionalFormatting>
  <conditionalFormatting sqref="H35">
    <cfRule type="expression" dxfId="121" priority="9" stopIfTrue="1">
      <formula>#REF!&gt;1000</formula>
    </cfRule>
  </conditionalFormatting>
  <conditionalFormatting sqref="L35">
    <cfRule type="expression" dxfId="120" priority="10" stopIfTrue="1">
      <formula>AA37=1</formula>
    </cfRule>
  </conditionalFormatting>
  <conditionalFormatting sqref="M35">
    <cfRule type="expression" dxfId="119" priority="11" stopIfTrue="1">
      <formula>AA37=1</formula>
    </cfRule>
  </conditionalFormatting>
  <conditionalFormatting sqref="G37">
    <cfRule type="expression" dxfId="118" priority="6" stopIfTrue="1">
      <formula>AND(B13=1,I13="Ijarah Leasing")</formula>
    </cfRule>
  </conditionalFormatting>
  <conditionalFormatting sqref="H37">
    <cfRule type="expression" dxfId="117" priority="5" stopIfTrue="1">
      <formula>AND(C13=1,J13="Ijarah")</formula>
    </cfRule>
  </conditionalFormatting>
  <conditionalFormatting sqref="C13">
    <cfRule type="cellIs" dxfId="116" priority="4" stopIfTrue="1" operator="equal">
      <formula>0</formula>
    </cfRule>
  </conditionalFormatting>
  <conditionalFormatting sqref="L37:L38">
    <cfRule type="expression" dxfId="115" priority="3" stopIfTrue="1">
      <formula>AND(AD35="Yes",AD33="Yes")</formula>
    </cfRule>
  </conditionalFormatting>
  <conditionalFormatting sqref="C11">
    <cfRule type="cellIs" dxfId="114" priority="2" stopIfTrue="1" operator="equal">
      <formula>0</formula>
    </cfRule>
  </conditionalFormatting>
  <conditionalFormatting sqref="I35">
    <cfRule type="expression" dxfId="113" priority="1" stopIfTrue="1">
      <formula>Y35=1</formula>
    </cfRule>
  </conditionalFormatting>
  <conditionalFormatting sqref="V41">
    <cfRule type="expression" dxfId="112" priority="52" stopIfTrue="1">
      <formula>$E$36&gt;0</formula>
    </cfRule>
  </conditionalFormatting>
  <dataValidations count="11">
    <dataValidation type="list" allowBlank="1" showInputMessage="1" showErrorMessage="1" sqref="R34" xr:uid="{00000000-0002-0000-0900-000000000000}">
      <formula1>"0,25000,50000,75000,100000,125000,150000,175000,200000,225000,250000,275000,300000"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"PETROL,ELECTRIC"</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"2001,2002,2003,2004,2005,2006,2007,2008,2009,2010,2011,2012,2013,2014,2015,2016,2017,2018,2019,2020,2021"</formula1>
    </dataValidation>
    <dataValidation type="list" allowBlank="1" showInputMessage="1" showErrorMessage="1" sqref="T20" xr:uid="{00000000-0002-0000-0900-000008000000}">
      <formula1>"Yes,No"</formula1>
    </dataValidation>
    <dataValidation type="whole" allowBlank="1" showInputMessage="1" showErrorMessage="1" sqref="E36 Q38 G35:H37 I35 C33:C36 L33:L40 C40" xr:uid="{00000000-0002-0000-0900-000009000000}">
      <formula1>0</formula1>
      <formula2>1</formula2>
    </dataValidation>
    <dataValidation type="decimal" allowBlank="1" showInputMessage="1" showErrorMessage="1" sqref="Q16:R17" xr:uid="{00000000-0002-0000-0900-00000A000000}">
      <formula1>150000</formula1>
      <formula2>1100000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tabColor indexed="40"/>
    <pageSetUpPr fitToPage="1"/>
  </sheetPr>
  <dimension ref="A1:AZ153"/>
  <sheetViews>
    <sheetView showGridLines="0" topLeftCell="A42" zoomScale="75" zoomScaleNormal="82" workbookViewId="0">
      <selection activeCell="M64" sqref="M64"/>
    </sheetView>
  </sheetViews>
  <sheetFormatPr defaultColWidth="0" defaultRowHeight="14.25" customHeight="1" zeroHeight="1" x14ac:dyDescent="0.3"/>
  <cols>
    <col min="1" max="1" width="0.81640625" style="1456" customWidth="1"/>
    <col min="2" max="2" width="0.54296875" style="1456" customWidth="1"/>
    <col min="3" max="3" width="5.453125" style="1456" customWidth="1"/>
    <col min="4" max="4" width="3.453125" style="1456" customWidth="1"/>
    <col min="5" max="5" width="4.453125" style="1456" customWidth="1"/>
    <col min="6" max="6" width="33.453125" style="1456" customWidth="1"/>
    <col min="7" max="7" width="4.54296875" style="1456" customWidth="1"/>
    <col min="8" max="8" width="18.54296875" style="1456" customWidth="1"/>
    <col min="9" max="9" width="16.453125" style="1456" customWidth="1"/>
    <col min="10" max="10" width="3.81640625" style="1456" customWidth="1"/>
    <col min="11" max="11" width="14.54296875" style="1456" customWidth="1"/>
    <col min="12" max="12" width="4" style="1456" customWidth="1"/>
    <col min="13" max="13" width="25.453125" style="1456" customWidth="1"/>
    <col min="14" max="14" width="11.453125" style="1456" customWidth="1"/>
    <col min="15" max="15" width="9.81640625" style="1456" customWidth="1"/>
    <col min="16" max="16" width="13.54296875" style="1456" customWidth="1"/>
    <col min="17" max="17" width="5.453125" style="1457" customWidth="1"/>
    <col min="18" max="18" width="6.453125" style="1456" hidden="1" customWidth="1"/>
    <col min="19" max="19" width="5" style="1456" hidden="1" customWidth="1"/>
    <col min="20" max="20" width="9.54296875" style="1456" hidden="1" customWidth="1"/>
    <col min="21" max="21" width="5.453125" style="1456" hidden="1" customWidth="1"/>
    <col min="22" max="22" width="4.54296875" style="1456" hidden="1" customWidth="1"/>
    <col min="23" max="23" width="2.81640625" style="1456" hidden="1" customWidth="1"/>
    <col min="24" max="24" width="0" style="1456" hidden="1" customWidth="1"/>
    <col min="25" max="25" width="5.81640625" style="1456" hidden="1" customWidth="1"/>
    <col min="26" max="26" width="7.1796875" style="1456" hidden="1" customWidth="1"/>
    <col min="27" max="27" width="26.54296875" style="1456" hidden="1" customWidth="1"/>
    <col min="28" max="29" width="0" style="1456" hidden="1" customWidth="1"/>
    <col min="30" max="30" width="27.1796875" style="1456" hidden="1" customWidth="1"/>
    <col min="31" max="35" width="0" style="1456" hidden="1" customWidth="1"/>
    <col min="36" max="36" width="0" style="1458" hidden="1" customWidth="1"/>
    <col min="37" max="38" width="0" style="1456" hidden="1" customWidth="1"/>
    <col min="39" max="39" width="0" style="1457" hidden="1" customWidth="1"/>
    <col min="40" max="46" width="0" style="1456" hidden="1" customWidth="1"/>
    <col min="47" max="47" width="0" style="1458" hidden="1" customWidth="1"/>
    <col min="48" max="49" width="0" style="1456" hidden="1" customWidth="1"/>
    <col min="50" max="50" width="47.453125" style="1459" hidden="1" customWidth="1"/>
    <col min="51" max="16384" width="0" style="1456" hidden="1"/>
  </cols>
  <sheetData>
    <row r="1" spans="2:47" s="975" customFormat="1" ht="45" customHeight="1" thickTop="1" thickBot="1" x14ac:dyDescent="0.35">
      <c r="B1" s="1147"/>
      <c r="C1" s="1148">
        <f ca="1">IF(OR(C70=0,R15=0),0,1)</f>
        <v>1</v>
      </c>
      <c r="D1" s="1149"/>
      <c r="E1" s="1150"/>
      <c r="F1" s="1150"/>
      <c r="G1" s="1150"/>
      <c r="H1" s="1150"/>
      <c r="I1" s="1150"/>
      <c r="J1" s="1150"/>
      <c r="K1" s="1150"/>
      <c r="L1" s="1150"/>
      <c r="M1" s="1151"/>
      <c r="N1" s="1819"/>
      <c r="O1" s="1820"/>
      <c r="P1" s="976"/>
      <c r="Q1" s="976"/>
      <c r="R1" s="976"/>
      <c r="S1" s="976"/>
      <c r="T1" s="976"/>
      <c r="U1" s="975">
        <f>IF(G36="Yes",H23+H36,H23)</f>
        <v>57.6</v>
      </c>
      <c r="V1" s="976"/>
      <c r="W1" s="976"/>
      <c r="X1" s="976"/>
      <c r="Y1" s="976"/>
      <c r="Z1" s="976"/>
      <c r="AA1" s="1152" t="s">
        <v>405</v>
      </c>
      <c r="AB1" s="976"/>
      <c r="AM1" s="1153"/>
    </row>
    <row r="2" spans="2:47" s="975" customFormat="1" ht="18.5" thickBot="1" x14ac:dyDescent="0.45">
      <c r="B2" s="1154"/>
      <c r="C2" s="1155" t="s">
        <v>114</v>
      </c>
      <c r="D2" s="1156"/>
      <c r="E2" s="1157" t="s">
        <v>174</v>
      </c>
      <c r="F2" s="1158"/>
      <c r="G2" s="1159" t="s">
        <v>282</v>
      </c>
      <c r="H2" s="1821" t="s">
        <v>569</v>
      </c>
      <c r="I2" s="1822"/>
      <c r="J2" s="1160"/>
      <c r="K2" s="1823" t="s">
        <v>415</v>
      </c>
      <c r="L2" s="1823"/>
      <c r="M2" s="1824"/>
      <c r="N2" s="1162">
        <f>IF(N1="takafulshariahamana",1,0)</f>
        <v>0</v>
      </c>
      <c r="O2" s="975">
        <f>IF(AND(M8='Administration (2)'!C10,H9='Administration (2)'!C23),0,1)</f>
        <v>1</v>
      </c>
      <c r="Q2" s="975">
        <f>IF(M8='Administration (2)'!C10,0,1)</f>
        <v>1</v>
      </c>
      <c r="R2" s="975">
        <f>IF(H9='Administration (2)'!C23,1,0)</f>
        <v>0</v>
      </c>
      <c r="S2" s="975">
        <f>IF(AND('Rates (2)'!D63="Yes",H11="Chinese"),1,IF(AND('MC Working'!H11="Chinese",'MC Working'!H8&lt;&gt;'Administration (2)'!C14),0,1))</f>
        <v>1</v>
      </c>
      <c r="T2" s="975">
        <f>O2+Q2+R2</f>
        <v>2</v>
      </c>
      <c r="U2" s="1163">
        <f>IF(OR(Z15=0,T2=3,Z2=0),0,1)*Q15*V2*S2</f>
        <v>1</v>
      </c>
      <c r="V2" s="1163">
        <f>IF(H13="",0,1)</f>
        <v>1</v>
      </c>
      <c r="W2" s="975">
        <f>IF(M8="Trade Plate",X2,1)</f>
        <v>1</v>
      </c>
      <c r="X2" s="975">
        <f>IF(H9='Administration (2)'!C20,1,0)</f>
        <v>1</v>
      </c>
      <c r="Y2" s="975">
        <f>IF(M8="Trade Plate",0,1)</f>
        <v>1</v>
      </c>
      <c r="Z2" s="1164">
        <f>IF('Rates (2)'!D50="Yes",1,IF(AND(H9='Administration (2)'!C22,OR(M8='Administration (2)'!C13,M8='Administration (2)'!C14)),0,1))</f>
        <v>1</v>
      </c>
      <c r="AA2" s="975">
        <f>IF(OR(H9='Administration (2)'!C22,H9='Administration (2)'!C23),0,1)</f>
        <v>1</v>
      </c>
    </row>
    <row r="3" spans="2:47" s="975" customFormat="1" ht="18" customHeight="1" thickBot="1" x14ac:dyDescent="0.45">
      <c r="B3" s="1154"/>
      <c r="C3" s="1165"/>
      <c r="D3" s="1166">
        <f>IF(H3="One Year",1,0)</f>
        <v>1</v>
      </c>
      <c r="E3" s="1157" t="s">
        <v>301</v>
      </c>
      <c r="F3" s="1158"/>
      <c r="G3" s="1159" t="s">
        <v>282</v>
      </c>
      <c r="H3" s="1167" t="s">
        <v>303</v>
      </c>
      <c r="I3" s="1168" t="str">
        <f>IF('Calculation (2)'!S6=0,CONCATENATE("     ",'Calculation (2)'!H9," Days"),IF(OR('Calculation (2)'!O6&lt;'Calculation (2)'!O3,'Calculation (2)'!O6&gt;='Calculation (2)'!O4),"Invalid Cover  Period",CONCATENATE("     ",'Calculation (2)'!H9," Days")))</f>
        <v xml:space="preserve">     97 Days</v>
      </c>
      <c r="J3" s="1168"/>
      <c r="K3" s="987"/>
      <c r="L3" s="1825" t="str">
        <f>IF(D3=0,"Charge SRCC/TC Full?","")</f>
        <v/>
      </c>
      <c r="M3" s="1826"/>
      <c r="N3" s="1169">
        <f>IF(H3="One Year",1,IF('MC Working'!H3="Short Period",'Calculation (2)'!O12,'Calculation (2)'!O14)*'Calculation (2)'!S3*'Calculation (2)'!S4*'Calculation (2)'!S6*'Calculation (2)'!N11)</f>
        <v>1</v>
      </c>
      <c r="O3" s="1170" t="e">
        <f>IF(#REF!='Rates (2)'!J86,'Rates (2)'!K86,IF(#REF!='Rates (2)'!J87,'Rates (2)'!K87,IF(#REF!='Rates (2)'!J88,'Rates (2)'!K88,IF(#REF!='Rates (2)'!J89,'Rates (2)'!K89,IF(#REF!='Rates (2)'!J90,'Rates (2)'!K90,0)))))</f>
        <v>#REF!</v>
      </c>
      <c r="P3" s="1170"/>
      <c r="Q3" s="1170"/>
      <c r="R3" s="1170"/>
      <c r="S3" s="1063"/>
      <c r="U3" s="1163"/>
      <c r="V3" s="1163"/>
      <c r="Z3" s="1164"/>
    </row>
    <row r="4" spans="2:47" s="975" customFormat="1" ht="0.75" hidden="1" customHeight="1" thickBot="1" x14ac:dyDescent="0.35">
      <c r="B4" s="1154"/>
      <c r="C4" s="1165"/>
      <c r="D4" s="1156"/>
      <c r="E4" s="1039"/>
      <c r="F4" s="1171" t="str">
        <f>IF(D3=0,"PERIOD                                       FROM","")</f>
        <v/>
      </c>
      <c r="G4" s="1172">
        <v>24</v>
      </c>
      <c r="H4" s="1173" t="s">
        <v>351</v>
      </c>
      <c r="I4" s="1173">
        <v>2013</v>
      </c>
      <c r="J4" s="1174"/>
      <c r="K4" s="1168" t="str">
        <f>IF('Calculation (2)'!S3=0,"Date Error","")</f>
        <v/>
      </c>
      <c r="L4" s="1825"/>
      <c r="M4" s="1826"/>
      <c r="N4" s="1175">
        <f>IF(M5="No",N3,1)</f>
        <v>1</v>
      </c>
      <c r="O4" s="1170" t="s">
        <v>410</v>
      </c>
      <c r="P4" s="1170" t="s">
        <v>411</v>
      </c>
      <c r="Q4" s="1170"/>
      <c r="R4" s="1170"/>
      <c r="S4" s="1063"/>
      <c r="T4" s="1063"/>
      <c r="U4" s="1176"/>
      <c r="V4" s="1176"/>
      <c r="Z4" s="1164"/>
    </row>
    <row r="5" spans="2:47" s="975" customFormat="1" ht="24" hidden="1" customHeight="1" thickBot="1" x14ac:dyDescent="0.4">
      <c r="B5" s="1154"/>
      <c r="C5" s="1165"/>
      <c r="D5" s="1156"/>
      <c r="E5" s="1177"/>
      <c r="F5" s="1178" t="str">
        <f>IF(D3=0,"To","")</f>
        <v/>
      </c>
      <c r="G5" s="1172">
        <v>28</v>
      </c>
      <c r="H5" s="1173" t="s">
        <v>354</v>
      </c>
      <c r="I5" s="1179">
        <v>2013</v>
      </c>
      <c r="J5" s="1174"/>
      <c r="K5" s="1168" t="str">
        <f>IF('Calculation (2)'!S6=0,"Date Error","")</f>
        <v/>
      </c>
      <c r="L5" s="1127"/>
      <c r="M5" s="1180" t="s">
        <v>78</v>
      </c>
      <c r="N5" s="1175" t="str">
        <f>'Rates (2)'!D81</f>
        <v>No</v>
      </c>
      <c r="O5" s="1181">
        <f>H15*N7%</f>
        <v>25000</v>
      </c>
      <c r="P5" s="1181">
        <f>(O5-M40-M42)/P6*100</f>
        <v>21590.909090909092</v>
      </c>
      <c r="Q5" s="1170"/>
      <c r="R5" s="1170"/>
      <c r="S5" s="1063"/>
      <c r="T5" s="1063"/>
      <c r="U5" s="1176"/>
      <c r="V5" s="1176"/>
      <c r="Z5" s="1164"/>
    </row>
    <row r="6" spans="2:47" s="975" customFormat="1" ht="21.75" customHeight="1" thickTop="1" thickBot="1" x14ac:dyDescent="0.45">
      <c r="B6" s="1154"/>
      <c r="C6" s="1182"/>
      <c r="D6" s="1156"/>
      <c r="E6" s="1183" t="s">
        <v>375</v>
      </c>
      <c r="F6" s="1184"/>
      <c r="G6" s="1159" t="s">
        <v>399</v>
      </c>
      <c r="H6" s="1185" t="s">
        <v>446</v>
      </c>
      <c r="I6" s="1827"/>
      <c r="J6" s="1828"/>
      <c r="K6" s="1829"/>
      <c r="L6" s="1830" t="str">
        <f>MC!C8</f>
        <v>to be advised</v>
      </c>
      <c r="M6" s="1831"/>
      <c r="N6" s="1186" t="s">
        <v>49</v>
      </c>
      <c r="O6" s="975">
        <f>IF(AND('Rates (2)'!D79="Yes",(O57+Q57=1)),0,1)</f>
        <v>1</v>
      </c>
      <c r="P6" s="1187">
        <f>IF(H9="Hiring",140,110)</f>
        <v>110</v>
      </c>
      <c r="Q6" s="1188">
        <f>IF(AND(M8='Administration (2)'!C7,H9='Administration (2)'!C20),'Rates (2)'!D6,R6)</f>
        <v>2.2000000000000002</v>
      </c>
      <c r="R6" s="975">
        <f>IF(AND(M8='Administration (2)'!C12,H9='Administration (2)'!C20),'Rates (2)'!D12,T6)</f>
        <v>2.2000000000000002</v>
      </c>
      <c r="T6" s="975">
        <f>IF(AND(M8='Administration (2)'!C8,H9='Administration (2)'!C20),'Rates (2)'!D8,U6)</f>
        <v>2.2000000000000002</v>
      </c>
      <c r="U6" s="1189">
        <f>IF(M8='Administration (2)'!C9,'Rates (2)'!D5,W6)</f>
        <v>2.2000000000000002</v>
      </c>
      <c r="V6" s="1189"/>
      <c r="W6" s="1189">
        <f>IF(M8='Administration (2)'!C10,'Rates (2)'!D11,X6)</f>
        <v>2.2000000000000002</v>
      </c>
      <c r="X6" s="1189">
        <f>IF(M8='Administration (2)'!C11,'Rates (2)'!D10,Y6)</f>
        <v>2.2000000000000002</v>
      </c>
      <c r="Y6" s="975">
        <f>IF(AND(M8='Administration (2)'!C12,H9='Administration (2)'!C21),'Rates (2)'!D13,Z6)</f>
        <v>2.2000000000000002</v>
      </c>
      <c r="Z6" s="1189">
        <f>IF(M8='Administration (2)'!C13,'Rates (2)'!D3,AA6)</f>
        <v>2.2000000000000002</v>
      </c>
      <c r="AA6" s="1189">
        <f>IF(M8='Administration (2)'!C14,'Rates (2)'!D4,AB6)</f>
        <v>2.2000000000000002</v>
      </c>
      <c r="AB6" s="975">
        <f>IF(AND(M8='Administration (2)'!C7,H9='Administration (2)'!C21),'Rates (2)'!D7,AC6)</f>
        <v>0</v>
      </c>
      <c r="AC6" s="975">
        <f>IF(AND(M8='Administration (2)'!C7,H9='Administration (2)'!C22),'Rates (2)'!D7,AD6)</f>
        <v>0</v>
      </c>
      <c r="AD6" s="975">
        <f>IF(AND(M8='Administration (2)'!C8,H9='Administration (2)'!C21),'Rates (2)'!D9,AE6)</f>
        <v>0</v>
      </c>
      <c r="AE6" s="975">
        <f>IF(AND(M8='Administration (2)'!C8,H9='Administration (2)'!C22),'Rates (2)'!D7,AF6)</f>
        <v>0</v>
      </c>
      <c r="AF6" s="975">
        <f>IF(AND(M8='Administration (2)'!C12,H9='Administration (2)'!C22),'Rates (2)'!D13,AG6)</f>
        <v>0</v>
      </c>
      <c r="AG6" s="975">
        <f>IF(M8='Administration (2)'!C15,'Rates (2)'!D14,AH6)</f>
        <v>0</v>
      </c>
      <c r="AH6" s="975">
        <f>IF(M8='Administration (2)'!C17,'Rates (2)'!D16,AI6)</f>
        <v>0</v>
      </c>
      <c r="AI6" s="975">
        <f>IF(M8='Administration (2)'!C16,'Rates (2)'!D16,0)</f>
        <v>0</v>
      </c>
      <c r="AM6" s="975" t="str">
        <f>'Administration (2)'!G7</f>
        <v>Motor Car</v>
      </c>
      <c r="AP6" s="975" t="str">
        <f>'Administration (2)'!I20</f>
        <v>Private Use Only</v>
      </c>
    </row>
    <row r="7" spans="2:47" s="975" customFormat="1" ht="21" thickBot="1" x14ac:dyDescent="0.5">
      <c r="B7" s="1154"/>
      <c r="C7" s="1182"/>
      <c r="D7" s="1156"/>
      <c r="E7" s="1183" t="s">
        <v>280</v>
      </c>
      <c r="F7" s="1184"/>
      <c r="G7" s="1159" t="s">
        <v>400</v>
      </c>
      <c r="H7" s="1808" t="str">
        <f>MC!C11</f>
        <v>to be advised</v>
      </c>
      <c r="I7" s="1809"/>
      <c r="J7" s="1809"/>
      <c r="K7" s="1810"/>
      <c r="L7" s="1811" t="str">
        <f>IF(AND(H15&gt;0,L6=""),"Enter Name","")</f>
        <v/>
      </c>
      <c r="M7" s="1812"/>
      <c r="N7" s="1190">
        <f>IF(M12="Below 250cc",5,10)</f>
        <v>5</v>
      </c>
      <c r="P7" s="1191"/>
      <c r="Q7" s="975">
        <f>Q6*U2</f>
        <v>2.2000000000000002</v>
      </c>
      <c r="T7" s="975" t="str">
        <f>'Administration (2)'!C20</f>
        <v>Private Use Only</v>
      </c>
      <c r="U7" s="1163" t="str">
        <f>'Administration (2)'!C21</f>
        <v>Hiring</v>
      </c>
      <c r="V7" s="1163"/>
      <c r="W7" s="975" t="str">
        <f>'Administration (2)'!C22</f>
        <v>Rent A Vehicle</v>
      </c>
      <c r="X7" s="975">
        <f>IF(M8='Administration (2)'!C10,'Administration (2)'!C23,0)</f>
        <v>0</v>
      </c>
      <c r="Z7" s="1192"/>
      <c r="AM7" s="975" t="str">
        <f>'Administration (2)'!G8</f>
        <v>Jeep</v>
      </c>
      <c r="AP7" s="975" t="str">
        <f>'Administration (2)'!I21</f>
        <v>Hiring</v>
      </c>
    </row>
    <row r="8" spans="2:47" s="975" customFormat="1" ht="21.75" customHeight="1" thickBot="1" x14ac:dyDescent="0.45">
      <c r="B8" s="1154"/>
      <c r="C8" s="1193"/>
      <c r="D8" s="1156"/>
      <c r="E8" s="1183" t="s">
        <v>376</v>
      </c>
      <c r="F8" s="1194"/>
      <c r="G8" s="1159" t="s">
        <v>399</v>
      </c>
      <c r="H8" s="1813" t="s">
        <v>361</v>
      </c>
      <c r="I8" s="1814"/>
      <c r="J8" s="1195"/>
      <c r="K8" s="1196">
        <v>1.2500000000000001E-2</v>
      </c>
      <c r="L8" s="1104" t="str">
        <f>'Administration (2)'!C11</f>
        <v>Motor Lorry</v>
      </c>
      <c r="M8" s="1197" t="str">
        <f>IF(AND(H8='Administration (2)'!C14,'MC Working'!H11="Chinese"),'Administration (2)'!C13,IF(AND(H8='Administration (2)'!C11,'MC Working'!H11="Chinese"),'Administration (2)'!C16,'MC Working'!H8))</f>
        <v>Motor Cycle</v>
      </c>
      <c r="N8" s="1198">
        <f>IF(AND(H12="hybrid",H14="No",'Rates (2)'!D75="Yes",B12="individual"),'Rates (2)'!F75,0)</f>
        <v>0</v>
      </c>
      <c r="O8" s="1144">
        <f>IF(H9="",0,1)</f>
        <v>1</v>
      </c>
      <c r="P8" s="1144"/>
      <c r="Q8" s="1144"/>
      <c r="R8" s="1144"/>
      <c r="S8" s="1144"/>
      <c r="T8" s="1144"/>
      <c r="U8" s="1199"/>
      <c r="V8" s="1199"/>
      <c r="W8" s="975">
        <f>IF(O11=1,U11,U8)</f>
        <v>0</v>
      </c>
      <c r="Z8" s="1192"/>
      <c r="AM8" s="975" t="str">
        <f>'Administration (2)'!G9</f>
        <v>Dual Purpose</v>
      </c>
      <c r="AP8" s="975" t="str">
        <f>'Administration (2)'!I22</f>
        <v>Rent A Vehicle</v>
      </c>
      <c r="AU8" s="975">
        <v>1970</v>
      </c>
    </row>
    <row r="9" spans="2:47" s="975" customFormat="1" ht="16.5" customHeight="1" thickBot="1" x14ac:dyDescent="0.45">
      <c r="B9" s="1154"/>
      <c r="C9" s="1193"/>
      <c r="D9" s="1156"/>
      <c r="E9" s="1183" t="s">
        <v>35</v>
      </c>
      <c r="F9" s="1194"/>
      <c r="G9" s="1159" t="s">
        <v>399</v>
      </c>
      <c r="H9" s="1815" t="s">
        <v>323</v>
      </c>
      <c r="I9" s="1816"/>
      <c r="J9" s="1200"/>
      <c r="K9" s="1817" t="str">
        <f>IF(OR(T2=3,W2=0),"ERROR",IF(O8=0,"&lt;= Select Usage of Vehicle",IF(Z2=0,"NOT ALLOWED","")))</f>
        <v/>
      </c>
      <c r="L9" s="1817"/>
      <c r="M9" s="1818"/>
      <c r="N9" s="1198"/>
      <c r="O9" s="1144"/>
      <c r="P9" s="1144"/>
      <c r="Q9" s="1144"/>
      <c r="R9" s="1144"/>
      <c r="S9" s="1144"/>
      <c r="T9" s="1144"/>
      <c r="U9" s="1199"/>
      <c r="V9" s="1199"/>
      <c r="Z9" s="1192"/>
      <c r="AM9" s="975" t="str">
        <f>'Administration (2)'!G10</f>
        <v>Motor Coach</v>
      </c>
      <c r="AP9" s="975" t="str">
        <f>'Administration (2)'!I23</f>
        <v xml:space="preserve">SLTB Route </v>
      </c>
      <c r="AU9" s="975">
        <f t="shared" ref="AU9:AU42" si="0">AU8+1</f>
        <v>1971</v>
      </c>
    </row>
    <row r="10" spans="2:47" s="975" customFormat="1" ht="18.5" thickBot="1" x14ac:dyDescent="0.45">
      <c r="B10" s="1154"/>
      <c r="C10" s="1193"/>
      <c r="D10" s="1156"/>
      <c r="E10" s="1798" t="s">
        <v>108</v>
      </c>
      <c r="F10" s="1798"/>
      <c r="G10" s="1159" t="s">
        <v>400</v>
      </c>
      <c r="H10" s="1799" t="str">
        <f>MC!P8</f>
        <v>to be advised</v>
      </c>
      <c r="I10" s="1800"/>
      <c r="J10" s="1200"/>
      <c r="K10" s="1202" t="s">
        <v>380</v>
      </c>
      <c r="L10" s="1801" t="str">
        <f>MC!P11</f>
        <v>TO BE ADVISED</v>
      </c>
      <c r="M10" s="1802"/>
      <c r="N10" s="1148"/>
      <c r="O10" s="1144"/>
      <c r="P10" s="1144"/>
      <c r="Q10" s="1144"/>
      <c r="R10" s="1144"/>
      <c r="S10" s="1144"/>
      <c r="T10" s="1144"/>
      <c r="U10" s="1203"/>
      <c r="V10" s="1203"/>
      <c r="Z10" s="1192"/>
      <c r="AM10" s="975" t="str">
        <f>'Administration (2)'!G11</f>
        <v>Motor Lorry</v>
      </c>
      <c r="AP10" s="975" t="str">
        <f>'Administration (2)'!I24</f>
        <v/>
      </c>
      <c r="AU10" s="975">
        <f t="shared" si="0"/>
        <v>1972</v>
      </c>
    </row>
    <row r="11" spans="2:47" s="975" customFormat="1" ht="20.25" customHeight="1" thickBot="1" x14ac:dyDescent="0.45">
      <c r="B11" s="1154"/>
      <c r="C11" s="1193"/>
      <c r="D11" s="1156"/>
      <c r="E11" s="1201" t="s">
        <v>377</v>
      </c>
      <c r="F11" s="1204"/>
      <c r="G11" s="1159" t="s">
        <v>399</v>
      </c>
      <c r="H11" s="1803" t="str">
        <f>MC!P9</f>
        <v>INDIA</v>
      </c>
      <c r="I11" s="1804"/>
      <c r="J11" s="1805" t="s">
        <v>451</v>
      </c>
      <c r="K11" s="1806"/>
      <c r="L11" s="1807"/>
      <c r="M11" s="1205" t="str">
        <f>IF(J11="","&lt;= Enter Field","")</f>
        <v/>
      </c>
      <c r="N11" s="1206"/>
      <c r="O11" s="1144">
        <f>IF(OR(L10="",L6="",H11="",H12="",H13="",H14="",K14="",L13="",J11="",K14=0,AND(O6=0,N16=0)),0,1)</f>
        <v>1</v>
      </c>
      <c r="P11" s="1144"/>
      <c r="Q11" s="1144"/>
      <c r="R11" s="1144"/>
      <c r="S11" s="1144"/>
      <c r="T11" s="1144"/>
      <c r="U11" s="1207"/>
      <c r="V11" s="1207"/>
      <c r="Z11" s="1192"/>
      <c r="AM11" s="975" t="str">
        <f>'Administration (2)'!G12</f>
        <v>Three Wheeler</v>
      </c>
      <c r="AU11" s="975">
        <f t="shared" si="0"/>
        <v>1973</v>
      </c>
    </row>
    <row r="12" spans="2:47" s="975" customFormat="1" ht="18.5" thickBot="1" x14ac:dyDescent="0.45">
      <c r="B12" s="1154"/>
      <c r="C12" s="1193" t="str">
        <f>IF(H12="Petrol (non hybrid)","Petrol",IF(H12="Diesel (non hybrid)","Diesel",IF(H12="Hybrid","Hybrid","Electric")))</f>
        <v>Petrol</v>
      </c>
      <c r="D12" s="1156"/>
      <c r="E12" s="1201" t="s">
        <v>357</v>
      </c>
      <c r="F12" s="1204"/>
      <c r="G12" s="1159" t="s">
        <v>399</v>
      </c>
      <c r="H12" s="1790" t="s">
        <v>452</v>
      </c>
      <c r="I12" s="1791"/>
      <c r="J12" s="1792" t="str">
        <f>IF(H8="Motor Cycle","Important --&gt;","")</f>
        <v>Important --&gt;</v>
      </c>
      <c r="K12" s="1793"/>
      <c r="L12" s="1793"/>
      <c r="M12" s="1208" t="str">
        <f>MC!R10</f>
        <v>Below 250cc</v>
      </c>
      <c r="N12" s="1198"/>
      <c r="O12" s="1144"/>
      <c r="P12" s="1144"/>
      <c r="Q12" s="975">
        <f>IF(M8='Administration (2)'!C7,'Rates (2)'!F6,IF(M8='Administration (2)'!C8,'Rates (2)'!F8,IF(M8='Administration (2)'!C9,'Rates (2)'!F5,IF(M8='Administration (2)'!C10,'Rates (2)'!F11,IF(M8='Administration (2)'!C13,'Rates (2)'!F3,IF(M8='Administration (2)'!C14,'Rates (2)'!F4,IF(M8='Administration (2)'!C11,'Rates (2)'!F10,IF(M8='Administration (2)'!C12,'Rates (2)'!F12,R12))))))))</f>
        <v>2</v>
      </c>
      <c r="R12" s="975">
        <f>IF(M8='Administration (2)'!C15,'Rates (2)'!F14,IF(M8='Administration (2)'!C17,'Rates (2)'!F17,IF(M8='Administration (2)'!C19,'Rates (2)'!F15,IF(M8='Administration (2)'!C16,'Rates (2)'!F16,0))))</f>
        <v>0</v>
      </c>
      <c r="T12" s="975">
        <f>IF(L13&gt;Q12,Q12,L13)</f>
        <v>2</v>
      </c>
      <c r="U12" s="1209"/>
      <c r="V12" s="1209"/>
      <c r="Z12" s="1192"/>
      <c r="AM12" s="975" t="str">
        <f>'Administration (2)'!G14</f>
        <v>Motor Cycle</v>
      </c>
      <c r="AU12" s="975">
        <f>AU11+1</f>
        <v>1974</v>
      </c>
    </row>
    <row r="13" spans="2:47" s="975" customFormat="1" ht="18.5" thickBot="1" x14ac:dyDescent="0.45">
      <c r="B13" s="1154"/>
      <c r="C13" s="1193"/>
      <c r="D13" s="1156"/>
      <c r="E13" s="1183" t="s">
        <v>281</v>
      </c>
      <c r="F13" s="1010"/>
      <c r="G13" s="1159" t="s">
        <v>399</v>
      </c>
      <c r="H13" s="1210">
        <f>MC!P13</f>
        <v>2020</v>
      </c>
      <c r="I13" s="1765" t="str">
        <f>IF(H13="","     Enter Year of Make",IF(Z15=0,CONCATENATE("     Vehicles Above ", 'Administration (2)'!F29," Yrs Not Covered"),""))</f>
        <v/>
      </c>
      <c r="J13" s="1766"/>
      <c r="K13" s="1766"/>
      <c r="L13" s="1211">
        <v>2</v>
      </c>
      <c r="M13" s="1212" t="str">
        <f>IF(OR(L13="",L13=0),"Enter No. of Seats",IF(L13&gt;Q12,CONCATENATE("Max.",Q12," Seats Allowed"),"No.of Seats"))</f>
        <v>No.of Seats</v>
      </c>
      <c r="N13" s="1198"/>
      <c r="O13" s="1144"/>
      <c r="P13" s="1144"/>
      <c r="U13" s="1209"/>
      <c r="V13" s="1209"/>
      <c r="Z13" s="1192"/>
      <c r="AM13" s="975" t="str">
        <f>'Administration (2)'!G15</f>
        <v>Tractor</v>
      </c>
      <c r="AU13" s="975">
        <f t="shared" si="0"/>
        <v>1975</v>
      </c>
    </row>
    <row r="14" spans="2:47" s="975" customFormat="1" ht="18.5" thickBot="1" x14ac:dyDescent="0.45">
      <c r="B14" s="1154"/>
      <c r="C14" s="1193"/>
      <c r="D14" s="1156"/>
      <c r="E14" s="1183" t="s">
        <v>374</v>
      </c>
      <c r="F14" s="1204"/>
      <c r="G14" s="1159" t="s">
        <v>399</v>
      </c>
      <c r="H14" s="1213" t="str">
        <f>IF(MC!C13="Not Applicable","No","Yes")</f>
        <v>Yes</v>
      </c>
      <c r="I14" s="1794" t="str">
        <f>IF(H14="Yes","NAME OF CO.","")</f>
        <v>NAME OF CO.</v>
      </c>
      <c r="J14" s="1795"/>
      <c r="K14" s="1796" t="str">
        <f>MC!C13</f>
        <v>FINTREX FINANCE</v>
      </c>
      <c r="L14" s="1796"/>
      <c r="M14" s="1797"/>
      <c r="N14" s="1198"/>
      <c r="O14" s="1144"/>
      <c r="P14" s="1144"/>
      <c r="T14" s="1214"/>
      <c r="X14" s="1215" t="s">
        <v>222</v>
      </c>
      <c r="Z14" s="1192"/>
      <c r="AM14" s="975" t="str">
        <f>'Administration (2)'!G13</f>
        <v>Motor Cycle (Chinese)</v>
      </c>
      <c r="AU14" s="975">
        <f t="shared" si="0"/>
        <v>1976</v>
      </c>
    </row>
    <row r="15" spans="2:47" s="975" customFormat="1" ht="23.25" customHeight="1" thickBot="1" x14ac:dyDescent="0.45">
      <c r="B15" s="1154"/>
      <c r="C15" s="1193"/>
      <c r="D15" s="1156"/>
      <c r="E15" s="1779" t="str">
        <f>IF(H15&gt;'Rates (2)'!B27,"SUM COVERED - Above Retention","SUM COVERED"                                    )</f>
        <v>SUM COVERED</v>
      </c>
      <c r="F15" s="1779"/>
      <c r="G15" s="1159" t="s">
        <v>399</v>
      </c>
      <c r="H15" s="1780">
        <f>MC!Q16</f>
        <v>500000</v>
      </c>
      <c r="I15" s="1781"/>
      <c r="J15" s="1216"/>
      <c r="K15" s="1217" t="str">
        <f>IF(AND('Rates (2)'!D63="Yes",H11="Chinese"),"N.B.- Chinese Vehicle",IF(AND(H11="Chinese",H8&lt;&gt;'Administration (2)'!C14),"Chinese Vehicles NOT covered",IF(Q15=0,"EXCEED AUTHORIZED LIMIT","")))</f>
        <v/>
      </c>
      <c r="L15" s="1218"/>
      <c r="M15" s="1219" t="str">
        <f>IF(MC!B13=1,MC!T13,"")</f>
        <v/>
      </c>
      <c r="N15" s="1220"/>
      <c r="O15" s="1221">
        <f>IF(T47=0,'Rates (2)'!B25,'Rates (2)'!B24)</f>
        <v>1000000</v>
      </c>
      <c r="P15" s="1221"/>
      <c r="Q15" s="975">
        <f>IF(H15&gt;O15,0,1)</f>
        <v>1</v>
      </c>
      <c r="R15" s="975">
        <f>IF(AND(H15&gt;0,O11&gt;0,O8=1),1,0)</f>
        <v>1</v>
      </c>
      <c r="T15" s="1214"/>
      <c r="X15" s="1215">
        <f ca="1">YEAR(F70)</f>
        <v>2024</v>
      </c>
      <c r="Y15" s="975">
        <f ca="1">X15-H13</f>
        <v>4</v>
      </c>
      <c r="Z15" s="1222">
        <f>IF('Rates (2)'!D52="Yes",1,IF(Y15&gt;'Administration (2)'!F29,0,1))</f>
        <v>1</v>
      </c>
      <c r="AM15" s="975" t="str">
        <f>'Administration (2)'!G16</f>
        <v>Motor Lorry (Chinese)</v>
      </c>
      <c r="AU15" s="975">
        <f t="shared" si="0"/>
        <v>1977</v>
      </c>
    </row>
    <row r="16" spans="2:47" s="975" customFormat="1" ht="16.5" customHeight="1" thickTop="1" thickBot="1" x14ac:dyDescent="0.35">
      <c r="B16" s="1154"/>
      <c r="C16" s="1193"/>
      <c r="D16" s="1223"/>
      <c r="E16" s="1782" t="str">
        <f ca="1">IF('MC Working'!$C$70=0,"This Quotation system is not valid anymore",IF(C67-F70&lt;14,CONCATENATE("This quotation shall expire within ",C67-F70," days"),IF(AND('Rates (2)'!D79="No",O16=1,H14="No",(O57+Q57=1)),"Should Obtain 3 Tier Quotation","")))</f>
        <v/>
      </c>
      <c r="F16" s="1782"/>
      <c r="G16" s="1782"/>
      <c r="H16" s="1782"/>
      <c r="I16" s="1784" t="str">
        <f>IF(N16=0,"Please Get 3 Tier Quotation",IF(H8="","Enter Vehicle Type",IF(H9="","Enter Vehicle Usage",IF(H11="","Enter Vehicle Country of Make",IF(H12="","Enter Fuel Type",IF(H13="","Enter Year of Make",IF(H14="","Enter Lease Status",IF(L6="","Enter Proposer 2nd Name",""))))))))</f>
        <v/>
      </c>
      <c r="J16" s="1784"/>
      <c r="K16" s="1784"/>
      <c r="L16" s="1784"/>
      <c r="M16" s="1785"/>
      <c r="N16" s="1224">
        <f>IF(AND(O6=0,O16=1,H14="No"),0,1)</f>
        <v>1</v>
      </c>
      <c r="O16" s="1144">
        <f>IF(H11="Chinese",0,1)</f>
        <v>1</v>
      </c>
      <c r="P16" s="1144"/>
      <c r="R16" s="1209"/>
      <c r="S16" s="1209"/>
      <c r="T16" s="1214"/>
      <c r="Z16" s="1192"/>
      <c r="AA16" s="976"/>
      <c r="AB16" s="976"/>
      <c r="AC16" s="976"/>
      <c r="AD16" s="976"/>
      <c r="AM16" s="975" t="str">
        <f>'Administration (2)'!G17</f>
        <v>Others</v>
      </c>
      <c r="AU16" s="975">
        <f t="shared" si="0"/>
        <v>1978</v>
      </c>
    </row>
    <row r="17" spans="2:50" s="975" customFormat="1" ht="15" customHeight="1" thickTop="1" thickBot="1" x14ac:dyDescent="0.35">
      <c r="B17" s="1154"/>
      <c r="C17" s="1193"/>
      <c r="D17" s="1156"/>
      <c r="E17" s="1783"/>
      <c r="F17" s="1783"/>
      <c r="G17" s="1783"/>
      <c r="H17" s="1783"/>
      <c r="I17" s="1786"/>
      <c r="J17" s="1786"/>
      <c r="K17" s="1786"/>
      <c r="L17" s="1786"/>
      <c r="M17" s="1787"/>
      <c r="N17" s="1788"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762"/>
      <c r="P17" s="1144"/>
      <c r="R17" s="1209"/>
      <c r="S17" s="1209"/>
      <c r="T17" s="1214"/>
      <c r="Z17" s="1192"/>
      <c r="AM17" s="975">
        <f>'Administration (2)'!G19</f>
        <v>0</v>
      </c>
      <c r="AU17" s="975">
        <f t="shared" si="0"/>
        <v>1979</v>
      </c>
    </row>
    <row r="18" spans="2:50" s="975" customFormat="1" ht="15" customHeight="1" thickBot="1" x14ac:dyDescent="0.35">
      <c r="B18" s="1154"/>
      <c r="C18" s="1193"/>
      <c r="D18" s="1156"/>
      <c r="E18" s="1225" t="s">
        <v>267</v>
      </c>
      <c r="F18" s="986"/>
      <c r="G18" s="986"/>
      <c r="H18" s="1226"/>
      <c r="I18" s="1227">
        <f>IF(K14=F113,1000,0)</f>
        <v>0</v>
      </c>
      <c r="J18" s="1226"/>
      <c r="K18" s="986"/>
      <c r="L18" s="986"/>
      <c r="M18" s="1228"/>
      <c r="N18" s="1789"/>
      <c r="O18" s="1764"/>
      <c r="P18" s="1144"/>
      <c r="R18" s="1209"/>
      <c r="S18" s="1209"/>
      <c r="T18" s="1214"/>
      <c r="Z18" s="1192"/>
      <c r="AU18" s="975">
        <f t="shared" si="0"/>
        <v>1980</v>
      </c>
    </row>
    <row r="19" spans="2:50" s="975" customFormat="1" ht="15.5" thickBot="1" x14ac:dyDescent="0.35">
      <c r="B19" s="1154"/>
      <c r="C19" s="1193"/>
      <c r="D19" s="1156"/>
      <c r="E19" s="1229" t="s">
        <v>378</v>
      </c>
      <c r="F19" s="1230"/>
      <c r="G19" s="1230"/>
      <c r="H19" s="1231"/>
      <c r="I19" s="1232"/>
      <c r="J19" s="1232"/>
      <c r="K19" s="986"/>
      <c r="L19" s="1233">
        <v>0</v>
      </c>
      <c r="M19" s="1234">
        <f ca="1">IF(AND($C$2="Yes",L19=1),N19*C70,(H15*N7%*R15*C70))*N3</f>
        <v>25000</v>
      </c>
      <c r="N19" s="1235">
        <v>0</v>
      </c>
      <c r="O19" s="1144"/>
      <c r="P19" s="1144"/>
      <c r="Q19" s="1236">
        <v>0.01</v>
      </c>
      <c r="R19" s="1209"/>
      <c r="S19" s="1237"/>
      <c r="T19" s="1238"/>
      <c r="U19" s="1237"/>
      <c r="V19" s="1237"/>
      <c r="W19" s="978"/>
      <c r="X19" s="978"/>
      <c r="Y19" s="978"/>
      <c r="Z19" s="1239"/>
      <c r="AA19" s="978"/>
      <c r="AU19" s="975">
        <f t="shared" si="0"/>
        <v>1981</v>
      </c>
    </row>
    <row r="20" spans="2:50" s="975" customFormat="1" ht="16" customHeight="1" thickBot="1" x14ac:dyDescent="0.35">
      <c r="B20" s="1154"/>
      <c r="C20" s="1193"/>
      <c r="D20" s="1240" t="s">
        <v>284</v>
      </c>
      <c r="E20" s="1241" t="s">
        <v>9</v>
      </c>
      <c r="F20" s="1108" t="s">
        <v>166</v>
      </c>
      <c r="G20" s="1108"/>
      <c r="H20" s="1242"/>
      <c r="I20" s="1232"/>
      <c r="J20" s="1232"/>
      <c r="K20" s="986"/>
      <c r="L20" s="1233">
        <v>0</v>
      </c>
      <c r="M20" s="1243">
        <f ca="1">IF(AND($C$2="Yes",L20=1),N20,(M19*H20%))</f>
        <v>0</v>
      </c>
      <c r="N20" s="1235">
        <v>0</v>
      </c>
      <c r="O20" s="1144"/>
      <c r="P20" s="1144"/>
      <c r="Q20" s="1236"/>
      <c r="R20" s="1209"/>
      <c r="S20" s="1237"/>
      <c r="T20" s="1238"/>
      <c r="U20" s="1237"/>
      <c r="V20" s="1237"/>
      <c r="W20" s="978"/>
      <c r="X20" s="978"/>
      <c r="Y20" s="978"/>
      <c r="Z20" s="1239"/>
      <c r="AA20" s="978"/>
      <c r="AM20" s="1153"/>
      <c r="AU20" s="975">
        <f t="shared" si="0"/>
        <v>1982</v>
      </c>
    </row>
    <row r="21" spans="2:50" s="975" customFormat="1" ht="16" customHeight="1" thickBot="1" x14ac:dyDescent="0.45">
      <c r="B21" s="1244" t="str">
        <f>IF(C21=0,"No",IF(C21=1,"Yes","Free"))</f>
        <v>Free</v>
      </c>
      <c r="C21" s="1245">
        <f>IF(H14="Yes",2,0)</f>
        <v>2</v>
      </c>
      <c r="D21" s="1240" t="s">
        <v>284</v>
      </c>
      <c r="E21" s="1241" t="s">
        <v>9</v>
      </c>
      <c r="F21" s="1108" t="s">
        <v>11</v>
      </c>
      <c r="G21" s="1108"/>
      <c r="H21" s="1246" t="str">
        <f>IF(B21="Free","Free",IF(B21="Yes","Charged",""))</f>
        <v>Free</v>
      </c>
      <c r="I21" s="1232"/>
      <c r="J21" s="1232"/>
      <c r="K21" s="986"/>
      <c r="L21" s="1247"/>
      <c r="M21" s="1248">
        <f ca="1">M19*'Rates (2)'!K13%*Q21</f>
        <v>0</v>
      </c>
      <c r="N21" s="1235"/>
      <c r="Q21" s="975">
        <f>IF(B21="Yes",1,0)</f>
        <v>0</v>
      </c>
      <c r="R21" s="1249"/>
      <c r="S21" s="1250"/>
      <c r="T21" s="1237"/>
      <c r="U21" s="1237"/>
      <c r="V21" s="1237"/>
      <c r="W21" s="978"/>
      <c r="X21" s="978"/>
      <c r="Y21" s="978"/>
      <c r="Z21" s="978"/>
      <c r="AA21" s="978"/>
      <c r="AM21" s="1153"/>
      <c r="AU21" s="975">
        <f t="shared" si="0"/>
        <v>1983</v>
      </c>
    </row>
    <row r="22" spans="2:50" s="975" customFormat="1" ht="16" customHeight="1" thickBot="1" x14ac:dyDescent="0.35">
      <c r="B22" s="1251"/>
      <c r="C22" s="1148"/>
      <c r="D22" s="1240" t="s">
        <v>284</v>
      </c>
      <c r="E22" s="1241" t="s">
        <v>9</v>
      </c>
      <c r="F22" s="1108" t="s">
        <v>2</v>
      </c>
      <c r="G22" s="1108"/>
      <c r="H22" s="1252">
        <v>0</v>
      </c>
      <c r="I22" s="1253">
        <f>IF(AND($C$2="Yes",L22=1),K22,H22)</f>
        <v>0</v>
      </c>
      <c r="J22" s="1254"/>
      <c r="K22" s="1255">
        <v>10000</v>
      </c>
      <c r="L22" s="1233">
        <v>0</v>
      </c>
      <c r="M22" s="1256">
        <f>IF(AND($C$2="Yes",L22=1),N22,-IF(I22=2000,MIN('Rates (2)'!K38/100*M19,'Rates (2)'!J38),IF(I22=5000,MIN('Rates (2)'!J39,'Rates (2)'!K39/100*M19),IF(I22=10000,MIN('Rates (2)'!K40/100*M19,'Rates (2)'!J40)))))</f>
        <v>0</v>
      </c>
      <c r="N22" s="1235">
        <v>0</v>
      </c>
      <c r="O22" s="1257">
        <f>IF(I22&gt;0,1,0)</f>
        <v>0</v>
      </c>
      <c r="P22" s="1257"/>
      <c r="Q22" s="1258"/>
      <c r="R22" s="1209"/>
      <c r="S22" s="1237"/>
      <c r="T22" s="1237"/>
      <c r="U22" s="1237"/>
      <c r="V22" s="1237"/>
      <c r="W22" s="1259"/>
      <c r="X22" s="978"/>
      <c r="Y22" s="978"/>
      <c r="Z22" s="1260">
        <f ca="1">M35+M36</f>
        <v>10599.999999999998</v>
      </c>
      <c r="AA22" s="978"/>
      <c r="AM22" s="1153"/>
      <c r="AU22" s="975">
        <f t="shared" si="0"/>
        <v>1984</v>
      </c>
    </row>
    <row r="23" spans="2:50" s="975" customFormat="1" ht="16" customHeight="1" thickBot="1" x14ac:dyDescent="0.35">
      <c r="B23" s="1251"/>
      <c r="C23" s="1148"/>
      <c r="D23" s="1240" t="s">
        <v>284</v>
      </c>
      <c r="E23" s="1241" t="s">
        <v>9</v>
      </c>
      <c r="F23" s="1108" t="s">
        <v>3</v>
      </c>
      <c r="G23" s="1108"/>
      <c r="H23" s="1261">
        <f>IF(M12="Below 250cc",57.6,0)</f>
        <v>57.6</v>
      </c>
      <c r="I23" s="1770" t="str">
        <f ca="1">IF(AND(U23=0,M23&lt;0),"   (Special Rebate Allowed)",IF(U23=0,"   (Rebate Not Allowed)",IF(AND(H12="Hybrid",M23&lt;0),"N.B:- Hybrid Vehicle",IF(AND(H11="Korean",M23&lt;0),"N.B:- Korean Vehicle",""))))</f>
        <v/>
      </c>
      <c r="J23" s="1771"/>
      <c r="K23" s="1771"/>
      <c r="L23" s="1771"/>
      <c r="M23" s="1262">
        <f ca="1">IF(AND($C$2="Yes",O23=1),N23,IF(AND(U23=0,C24=1),-((M19+M21+M22)*I24%),-((M19+M21+M22)*H23%*U23)))</f>
        <v>-14400.000000000002</v>
      </c>
      <c r="N23" s="1235">
        <v>0</v>
      </c>
      <c r="O23" s="1263">
        <v>0</v>
      </c>
      <c r="P23" s="1264">
        <f ca="1">IF(M23&lt;0,1,0)</f>
        <v>1</v>
      </c>
      <c r="Q23" s="1265">
        <f>'Rates (2)'!C29</f>
        <v>75</v>
      </c>
      <c r="R23" s="1266">
        <f>IF(AND(T47=0,'Rates (2)'!C28="No"),1,0)</f>
        <v>0</v>
      </c>
      <c r="S23" s="1267"/>
      <c r="T23" s="1267">
        <f>IF(R23=1,0,IF(AND(H11="Chinese",'Rates (2)'!D64="No"),0,IF(AND(H12="Hybrid",'Rates (2)'!D76="No"),0,IF(AND(H11="Korean",'Rates (2)'!D58="Yes"),1,IF(AND(H11="Korean",H14="No",'Rates (2)'!D58="No"),0,IF(AND(H11="Korean",H14="Yes",'Rates (2)'!D58="No",OR(J11="Reconditioned",J11="Registered")),0,Q23))))))</f>
        <v>75</v>
      </c>
      <c r="U23" s="1267">
        <f>IF(T23=0,0,1)</f>
        <v>1</v>
      </c>
      <c r="V23" s="1267"/>
      <c r="W23" s="1268"/>
      <c r="X23" s="1268"/>
      <c r="Y23" s="1268">
        <v>0</v>
      </c>
      <c r="Z23" s="1268">
        <f ca="1">Z22*-H37%</f>
        <v>-2649.9999999999995</v>
      </c>
      <c r="AA23" s="1268"/>
      <c r="AB23" s="1170"/>
      <c r="AC23" s="1170"/>
      <c r="AD23" s="1170"/>
      <c r="AE23" s="1170"/>
      <c r="AM23" s="1153"/>
      <c r="AU23" s="975">
        <f t="shared" si="0"/>
        <v>1985</v>
      </c>
    </row>
    <row r="24" spans="2:50" s="975" customFormat="1" ht="16" thickBot="1" x14ac:dyDescent="0.4">
      <c r="B24" s="1251"/>
      <c r="C24" s="1148">
        <f>IF(H24=D24,1,0)</f>
        <v>0</v>
      </c>
      <c r="D24" s="1269" t="s">
        <v>404</v>
      </c>
      <c r="E24" s="1270"/>
      <c r="F24" s="987"/>
      <c r="G24" s="1271" t="str">
        <f>IF(U23=0,"Enter Password for Special Rebate =&gt;","")</f>
        <v/>
      </c>
      <c r="H24" s="1272"/>
      <c r="I24" s="1273">
        <v>15</v>
      </c>
      <c r="J24" s="1273"/>
      <c r="K24" s="1274"/>
      <c r="L24" s="1274" t="s">
        <v>285</v>
      </c>
      <c r="M24" s="1275">
        <f ca="1">SUM(M19:M23)</f>
        <v>10599.999999999998</v>
      </c>
      <c r="N24" s="1276"/>
      <c r="O24" s="1257">
        <f ca="1">O23+M24</f>
        <v>10599.999999999998</v>
      </c>
      <c r="P24" s="1257"/>
      <c r="Q24" s="1277"/>
      <c r="R24" s="1277"/>
      <c r="S24" s="1278"/>
      <c r="T24" s="1278"/>
      <c r="U24" s="1278"/>
      <c r="V24" s="1278"/>
      <c r="W24" s="978"/>
      <c r="X24" s="978"/>
      <c r="Y24" s="978"/>
      <c r="Z24" s="1279" t="s">
        <v>158</v>
      </c>
      <c r="AA24" s="978"/>
      <c r="AD24" s="1280" t="s">
        <v>157</v>
      </c>
      <c r="AJ24" s="975">
        <v>0</v>
      </c>
      <c r="AM24" s="1153"/>
      <c r="AU24" s="975">
        <f t="shared" si="0"/>
        <v>1986</v>
      </c>
    </row>
    <row r="25" spans="2:50" s="975" customFormat="1" ht="18" customHeight="1" thickBot="1" x14ac:dyDescent="0.4">
      <c r="B25" s="1251"/>
      <c r="C25" s="1148"/>
      <c r="D25" s="1240" t="s">
        <v>284</v>
      </c>
      <c r="E25" s="1241" t="s">
        <v>9</v>
      </c>
      <c r="F25" s="1108" t="s">
        <v>326</v>
      </c>
      <c r="G25" s="1093" t="s">
        <v>26</v>
      </c>
      <c r="H25" s="1281">
        <f>IF(MC!R34&lt;&gt;"",MC!R34,50000)</f>
        <v>0</v>
      </c>
      <c r="I25" s="1772" t="s">
        <v>447</v>
      </c>
      <c r="J25" s="1773"/>
      <c r="K25" s="1774"/>
      <c r="L25" s="1282">
        <f>IF(H15&gt;0,AD25,0)</f>
        <v>1</v>
      </c>
      <c r="M25" s="1283">
        <f>(H25/25000)*200</f>
        <v>0</v>
      </c>
      <c r="N25" s="1235">
        <v>0</v>
      </c>
      <c r="O25" s="1165">
        <v>0</v>
      </c>
      <c r="P25" s="1144">
        <f>IF(H25&gt;0,1,0)</f>
        <v>0</v>
      </c>
      <c r="Q25" s="1144">
        <f>IF(L27&gt;0,1,0)</f>
        <v>1</v>
      </c>
      <c r="R25" s="1165">
        <f>P25+Q25</f>
        <v>1</v>
      </c>
      <c r="S25" s="1284"/>
      <c r="T25" s="1284"/>
      <c r="U25" s="1284">
        <f>IF(T47=0,'Rates (2)'!K10,IF(U57=1,'Rates (2)'!K8,'Rates (2)'!K9))</f>
        <v>25</v>
      </c>
      <c r="V25" s="1284"/>
      <c r="W25" s="978">
        <f>IF(OR(U62=1,'Rates (2)'!D41="Yes"),MIN(H25/25000*MIN(L25,AC25)*U25,X25),0)</f>
        <v>0</v>
      </c>
      <c r="X25" s="978">
        <f>MIN(H25/25000*MIN(L25,AC25)*U25*Y25,'Rates (2)'!C40/25000*MIN(L25,AC25)*U25*Y25)</f>
        <v>0</v>
      </c>
      <c r="Y25" s="978">
        <f>IF('Rates (2)'!D39="Yes",1,0)</f>
        <v>1</v>
      </c>
      <c r="Z25" s="1285">
        <f>IF(AND(AA25=1,R25=2),MAX(H25,'Rates (2)'!C40),IF(AND(AA25=1,R25&lt;2),'Rates (2)'!C40,IF(AND(AA25=0,R25=2),H25,0)))</f>
        <v>0</v>
      </c>
      <c r="AA25" s="978">
        <f>IF(OR(AND(U62=1,'Rates (2)'!D39="Yes",'Rates (2)'!C40&gt;0),AND(U62=0,'Rates (2)'!D39="Yes",'Rates (2)'!C40&gt;0,'Rates (2)'!D41="Yes")),1,0)</f>
        <v>0</v>
      </c>
      <c r="AB25" s="975">
        <f>IF(AND(AA25=1,H25&lt;'Rates (2)'!C40),AC25,L27)</f>
        <v>1</v>
      </c>
      <c r="AC25" s="975">
        <f>IF(OR(O57+Q57=1,W57=1),MIN(L13,Q12,'Rates (2)'!D42),0)</f>
        <v>0</v>
      </c>
      <c r="AD25" s="975">
        <f>IF(AND(AA25=1,L27&lt;=AC25,H25&lt;='Rates (2)'!C40),AC25,IF(AND(AA25=1,L27=0,H25&gt;'Rates (2)'!C40),AC25,AE25))</f>
        <v>1</v>
      </c>
      <c r="AE25" s="975">
        <f>IF(AND(L27&gt;Q12,Q12&gt;L13),L13,IF(AND(L27&gt;Q12,Q12&lt;=L13),Q12,IF(AND(L27&lt;Q12,L27&gt;L13),L13,L27)))</f>
        <v>1</v>
      </c>
      <c r="AJ25" s="975">
        <f>IF(AND(H9='Administration (2)'!C20,OR(M8='Administration (2)'!C7,M8='Administration (2)'!C8,M8='Administration (2)'!C9)),50000,25000)</f>
        <v>25000</v>
      </c>
      <c r="AM25" s="1153"/>
      <c r="AU25" s="975">
        <f t="shared" si="0"/>
        <v>1987</v>
      </c>
    </row>
    <row r="26" spans="2:50" s="975" customFormat="1" ht="1.5" customHeight="1" thickBot="1" x14ac:dyDescent="0.35">
      <c r="B26" s="1251"/>
      <c r="C26" s="1148"/>
      <c r="D26" s="1286"/>
      <c r="E26" s="1287">
        <f>IF(I25="Full Seating Capacity",1,0)</f>
        <v>0</v>
      </c>
      <c r="F26" s="1029" t="str">
        <f>IF(H25&gt;0,"Full Seating Capacity","")</f>
        <v/>
      </c>
      <c r="G26" s="1287">
        <f>IF(OR(I25="Participant Only",I25="Participant &amp; Driver Only"),1,0)</f>
        <v>0</v>
      </c>
      <c r="H26" s="1108" t="str">
        <f>IF(H25&gt;0,"for Participant","")</f>
        <v/>
      </c>
      <c r="I26" s="1288">
        <f>IF(H15&gt;0,Z25,0)</f>
        <v>0</v>
      </c>
      <c r="J26" s="1288"/>
      <c r="K26" s="1033" t="str">
        <f>IF(H25&gt;0,"for Driver","")</f>
        <v/>
      </c>
      <c r="L26" s="1287">
        <f>IF(OR(I25="Driver Only",I25="Participant &amp; Driver Only"),1,0)</f>
        <v>1</v>
      </c>
      <c r="M26" s="1289"/>
      <c r="N26" s="1220"/>
      <c r="O26" s="1144" t="str">
        <f>IF(AND(E26=0,L25&gt;0),CONCATENATE(MIN(L25,L13)," Persons"),IF(E26=1,"Full Seating Capacity",IF(AND(G26=1,L26=1),"Participant &amp; Driver",IF(G26=1,"Participant only",IF(L26=1,"Driver only","")))))</f>
        <v>1 Persons</v>
      </c>
      <c r="P26" s="1144"/>
      <c r="Q26" s="1144"/>
      <c r="R26" s="1165"/>
      <c r="S26" s="1284"/>
      <c r="T26" s="1284"/>
      <c r="U26" s="1284"/>
      <c r="V26" s="1284"/>
      <c r="W26" s="978"/>
      <c r="X26" s="978"/>
      <c r="Y26" s="978"/>
      <c r="Z26" s="1285"/>
      <c r="AA26" s="978"/>
      <c r="AJ26" s="975">
        <f>AJ25+25000</f>
        <v>50000</v>
      </c>
      <c r="AM26" s="1153"/>
      <c r="AU26" s="975">
        <f t="shared" si="0"/>
        <v>1988</v>
      </c>
      <c r="AX26" s="1290"/>
    </row>
    <row r="27" spans="2:50" s="975" customFormat="1" ht="26.25" hidden="1" customHeight="1" thickBot="1" x14ac:dyDescent="0.35">
      <c r="B27" s="1251"/>
      <c r="C27" s="1148"/>
      <c r="D27" s="1286"/>
      <c r="E27" s="987"/>
      <c r="F27" s="1775" t="str">
        <f>IF(OR($R$25&gt;1,AA25=1),"If PAB for Terrorism is Required for paid Driver or workers, state their number","")</f>
        <v/>
      </c>
      <c r="G27" s="1775"/>
      <c r="H27" s="1775"/>
      <c r="I27" s="1291">
        <v>0</v>
      </c>
      <c r="J27" s="1292"/>
      <c r="K27" s="1293"/>
      <c r="L27" s="1291">
        <f>IF(E26=1,L13,IF(AND(G26=1,L26=1),2,IF(OR(G26=1,L26=1),1,0)))</f>
        <v>1</v>
      </c>
      <c r="M27" s="1294"/>
      <c r="O27" s="1144"/>
      <c r="P27" s="1144"/>
      <c r="Q27" s="1295"/>
      <c r="R27" s="1296"/>
      <c r="S27" s="1297"/>
      <c r="T27" s="1297"/>
      <c r="U27" s="1297"/>
      <c r="V27" s="1297"/>
      <c r="W27" s="1298"/>
      <c r="X27" s="1298"/>
      <c r="Y27" s="978"/>
      <c r="Z27" s="1285"/>
      <c r="AA27" s="978"/>
      <c r="AJ27" s="975">
        <f t="shared" ref="AJ27:AJ43" si="1">AJ26+25000</f>
        <v>75000</v>
      </c>
      <c r="AM27" s="1153"/>
      <c r="AU27" s="975">
        <f t="shared" si="0"/>
        <v>1989</v>
      </c>
      <c r="AX27" s="1290"/>
    </row>
    <row r="28" spans="2:50" s="975" customFormat="1" ht="20.25" hidden="1" customHeight="1" thickBot="1" x14ac:dyDescent="0.35">
      <c r="B28" s="1251"/>
      <c r="C28" s="1148"/>
      <c r="D28" s="1286"/>
      <c r="E28" s="1299"/>
      <c r="F28" s="1775"/>
      <c r="G28" s="1775"/>
      <c r="H28" s="1775"/>
      <c r="I28" s="1776" t="str">
        <f>IF(AND(H25=0,L25=0),"",IF(I27&gt;L25,"Invalid Entry",""))</f>
        <v/>
      </c>
      <c r="J28" s="1776"/>
      <c r="K28" s="1776"/>
      <c r="L28" s="987"/>
      <c r="M28" s="1283"/>
      <c r="N28" s="1300"/>
      <c r="O28" s="1257"/>
      <c r="P28" s="1257"/>
      <c r="Q28" s="1296"/>
      <c r="R28" s="1165"/>
      <c r="S28" s="1284"/>
      <c r="T28" s="1284"/>
      <c r="U28" s="1284"/>
      <c r="V28" s="1284"/>
      <c r="W28" s="978"/>
      <c r="X28" s="978"/>
      <c r="Y28" s="978"/>
      <c r="Z28" s="978">
        <f>IF(I27&gt;L25,L25,I27)</f>
        <v>0</v>
      </c>
      <c r="AA28" s="978"/>
      <c r="AJ28" s="975">
        <f t="shared" si="1"/>
        <v>100000</v>
      </c>
      <c r="AM28" s="1153"/>
      <c r="AU28" s="975">
        <f t="shared" si="0"/>
        <v>1990</v>
      </c>
      <c r="AX28" s="1290"/>
    </row>
    <row r="29" spans="2:50" s="975" customFormat="1" ht="20.25" customHeight="1" thickBot="1" x14ac:dyDescent="0.4">
      <c r="B29" s="1251"/>
      <c r="C29" s="1148"/>
      <c r="D29" s="1240" t="s">
        <v>284</v>
      </c>
      <c r="E29" s="1241" t="s">
        <v>9</v>
      </c>
      <c r="F29" s="1043" t="s">
        <v>47</v>
      </c>
      <c r="G29" s="1043"/>
      <c r="H29" s="1301">
        <v>0</v>
      </c>
      <c r="I29" s="1302" t="str">
        <f>IF(L13&gt;Q12,CONCATENATE(Q12-1," Passengers"),CONCATENATE(L13-1," passengers"))</f>
        <v>1 passengers</v>
      </c>
      <c r="J29" s="1161"/>
      <c r="K29" s="1303">
        <f>IF(AND(H8="Three Wheeler",K14=F113,H29&lt;20000),20000,H29)</f>
        <v>0</v>
      </c>
      <c r="L29" s="1304"/>
      <c r="M29" s="1305">
        <f>IF(AND($C$2="Yes",O29=1),N29,IF(K29=2000,'Rates (2)'!K27,IF(K29=10000,'Rates (2)'!M27,IF(K29=20000,'Rates (2)'!K28,IF(K29=50000,'Rates (2)'!M28,IF(K29=100000,'Rates (2)'!K29,IF(K29=200000,'Rates (2)'!M29,IF(K29=500000,'Rates (2)'!K30,))))))))*T29*U2*R15*Y2*Z49*Y49*Q66*N3</f>
        <v>0</v>
      </c>
      <c r="N29" s="1235">
        <v>0</v>
      </c>
      <c r="O29" s="1263">
        <v>0</v>
      </c>
      <c r="P29" s="1144">
        <f>IF(K29&gt;0,1,0)</f>
        <v>0</v>
      </c>
      <c r="Q29" s="1144">
        <f>IF(I29&gt;0,1,0)</f>
        <v>1</v>
      </c>
      <c r="R29" s="1165">
        <f>P29+Q29</f>
        <v>1</v>
      </c>
      <c r="S29" s="1284"/>
      <c r="T29" s="1237">
        <f>IF(I29&gt;L13-1,L13-1,I29)</f>
        <v>1</v>
      </c>
      <c r="U29" s="1237"/>
      <c r="V29" s="1237">
        <f>IF(AND(H9='Administration (2)'!C21,OR('MC Working'!M8='Administration (2)'!C7,M8='Administration (2)'!C8,M8='Administration (2)'!C9,M8='Administration (2)'!C10,M8='Administration (2)'!C12)),2000,0)</f>
        <v>0</v>
      </c>
      <c r="W29" s="978"/>
      <c r="X29" s="978"/>
      <c r="Y29" s="978"/>
      <c r="Z29" s="978"/>
      <c r="AA29" s="978"/>
      <c r="AJ29" s="975">
        <f t="shared" si="1"/>
        <v>125000</v>
      </c>
      <c r="AM29" s="1153"/>
      <c r="AU29" s="975">
        <f t="shared" si="0"/>
        <v>1991</v>
      </c>
      <c r="AX29" s="1306"/>
    </row>
    <row r="30" spans="2:50" s="975" customFormat="1" ht="21" customHeight="1" thickBot="1" x14ac:dyDescent="0.35">
      <c r="B30" s="1251"/>
      <c r="C30" s="1307" t="s">
        <v>78</v>
      </c>
      <c r="D30" s="1240" t="s">
        <v>284</v>
      </c>
      <c r="E30" s="1241" t="s">
        <v>9</v>
      </c>
      <c r="F30" s="1308" t="str">
        <f>IF(O31=0,"Goods Cover               (Not Provided)",IF(AND(C30="Yes",H30=0),"Goods Cover    - Enter Goods Value","Goods Cover              Goods Value-&gt;"))</f>
        <v>Goods Cover               (Not Provided)</v>
      </c>
      <c r="G30" s="987"/>
      <c r="H30" s="1309">
        <v>0</v>
      </c>
      <c r="I30" s="1777" t="s">
        <v>39</v>
      </c>
      <c r="J30" s="1778"/>
      <c r="K30" s="1310" t="s">
        <v>403</v>
      </c>
      <c r="L30" s="1233">
        <v>0</v>
      </c>
      <c r="M30" s="1248"/>
      <c r="N30" s="1235">
        <v>0</v>
      </c>
      <c r="O30" s="1144">
        <f>IF(AND(C30="Yes",H30&gt;0),1,0)</f>
        <v>0</v>
      </c>
      <c r="P30" s="1144"/>
      <c r="Q30" s="1153"/>
      <c r="S30" s="978"/>
      <c r="T30" s="978">
        <f>IF(C30="Yes",'Rates (2)'!B33,0)</f>
        <v>5000</v>
      </c>
      <c r="U30" s="1260">
        <f>IF(AND(O31=1,C30="Yes"),'Rates (2)'!B31,0)</f>
        <v>0</v>
      </c>
      <c r="V30" s="1260"/>
      <c r="W30" s="978"/>
      <c r="X30" s="978"/>
      <c r="Y30" s="978"/>
      <c r="Z30" s="978"/>
      <c r="AA30" s="978"/>
      <c r="AJ30" s="975">
        <f t="shared" si="1"/>
        <v>150000</v>
      </c>
      <c r="AM30" s="1153"/>
      <c r="AU30" s="975">
        <f t="shared" si="0"/>
        <v>1992</v>
      </c>
    </row>
    <row r="31" spans="2:50" s="975" customFormat="1" ht="0.75" customHeight="1" thickBot="1" x14ac:dyDescent="0.35">
      <c r="B31" s="1311">
        <v>1</v>
      </c>
      <c r="C31" s="1155">
        <v>1</v>
      </c>
      <c r="D31" s="1312"/>
      <c r="E31" s="1313" t="str">
        <f>IF(AND(H30&gt;0,O31&gt;0),"Select Nature of Goods","")</f>
        <v/>
      </c>
      <c r="F31" s="987"/>
      <c r="G31" s="1314" t="s">
        <v>9</v>
      </c>
      <c r="H31" s="732" t="str">
        <f>IF(AND(H30&gt;0,O31=1),"Non Hazardous","")</f>
        <v/>
      </c>
      <c r="I31" s="1315">
        <f>H30*'Rates (2)'!K53%*T31*O30*O31</f>
        <v>0</v>
      </c>
      <c r="J31" s="1316"/>
      <c r="K31" s="1316"/>
      <c r="L31" s="1316"/>
      <c r="M31" s="1317"/>
      <c r="N31" s="1318"/>
      <c r="O31" s="975">
        <f>IF(OR(H8='Administration (2)'!C9,H8='Administration (2)'!C11,H8='Administration (2)'!C12,H8='Administration (2)'!CY1548),1,IF('Rates (2)'!D47="Yes",1,0))</f>
        <v>0</v>
      </c>
      <c r="Q31" s="975">
        <f>B31</f>
        <v>1</v>
      </c>
      <c r="R31" s="975">
        <f>IF(Q31+Q32=3,0,1)</f>
        <v>1</v>
      </c>
      <c r="S31" s="978"/>
      <c r="T31" s="978">
        <f>IF((E32+E33)=0,1,0)</f>
        <v>0</v>
      </c>
      <c r="U31" s="978">
        <f>IF(T31=1,1,0)</f>
        <v>0</v>
      </c>
      <c r="V31" s="978"/>
      <c r="W31" s="978"/>
      <c r="X31" s="978"/>
      <c r="Y31" s="978"/>
      <c r="Z31" s="978"/>
      <c r="AA31" s="978"/>
      <c r="AJ31" s="975">
        <f t="shared" si="1"/>
        <v>175000</v>
      </c>
      <c r="AM31" s="1153"/>
      <c r="AU31" s="975">
        <f t="shared" si="0"/>
        <v>1993</v>
      </c>
      <c r="AX31" s="1306" t="s">
        <v>392</v>
      </c>
    </row>
    <row r="32" spans="2:50" s="975" customFormat="1" ht="23.25" hidden="1" customHeight="1" thickBot="1" x14ac:dyDescent="0.35">
      <c r="B32" s="1251"/>
      <c r="D32" s="1312"/>
      <c r="E32" s="1233">
        <f>IF(I30="Hazardous",1,0)</f>
        <v>0</v>
      </c>
      <c r="F32" s="987"/>
      <c r="G32" s="1314" t="s">
        <v>9</v>
      </c>
      <c r="H32" s="732" t="str">
        <f>IF(AND(H30&gt;0,O31=1),"Hazardous","")</f>
        <v/>
      </c>
      <c r="I32" s="1315">
        <f>H30*'Rates (2)'!K54%*Q32*O30*O31</f>
        <v>0</v>
      </c>
      <c r="J32" s="1316"/>
      <c r="K32" s="1316"/>
      <c r="L32" s="1316"/>
      <c r="M32" s="1317"/>
      <c r="N32" s="1318"/>
      <c r="Q32" s="975">
        <f>IF(Q33=1,0,E32)</f>
        <v>0</v>
      </c>
      <c r="S32" s="978"/>
      <c r="T32" s="978" t="str">
        <f>IF(AND(E33=1,H30&gt;0,C30="Yes"),"Extra Hazardous",U32)</f>
        <v>-</v>
      </c>
      <c r="U32" s="978" t="str">
        <f>IF(AND(H30&gt;0,E32=1,C30="Yes"),"Hazardous",W32)</f>
        <v>-</v>
      </c>
      <c r="V32" s="978"/>
      <c r="W32" s="978" t="str">
        <f>IF(AND(H30&gt;0,C30="Yes"),"Non Hazardous","-")</f>
        <v>-</v>
      </c>
      <c r="X32" s="978"/>
      <c r="Y32" s="978"/>
      <c r="Z32" s="978"/>
      <c r="AA32" s="978"/>
      <c r="AJ32" s="975">
        <f t="shared" si="1"/>
        <v>200000</v>
      </c>
      <c r="AM32" s="1153"/>
      <c r="AU32" s="975">
        <f t="shared" si="0"/>
        <v>1994</v>
      </c>
      <c r="AX32" s="1306" t="s">
        <v>385</v>
      </c>
    </row>
    <row r="33" spans="2:50" s="975" customFormat="1" ht="18" hidden="1" customHeight="1" thickTop="1" thickBot="1" x14ac:dyDescent="0.35">
      <c r="B33" s="1251"/>
      <c r="D33" s="1312"/>
      <c r="E33" s="1233">
        <f>IF(I30="Extra Hazardous",1,0)</f>
        <v>1</v>
      </c>
      <c r="F33" s="987"/>
      <c r="G33" s="1314" t="s">
        <v>9</v>
      </c>
      <c r="H33" s="732" t="str">
        <f>IF(AND(H30&gt;0,O31=1),"Extra Hazardous","")</f>
        <v/>
      </c>
      <c r="I33" s="1315">
        <f>H30*'Rates (2)'!K55%*E33*O30*O31</f>
        <v>0</v>
      </c>
      <c r="J33" s="1316"/>
      <c r="K33" s="1316"/>
      <c r="L33" s="1316"/>
      <c r="M33" s="1317"/>
      <c r="N33" s="1761"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762"/>
      <c r="Q33" s="975">
        <f>E33</f>
        <v>1</v>
      </c>
      <c r="S33" s="978"/>
      <c r="T33" s="978"/>
      <c r="U33" s="978"/>
      <c r="V33" s="978"/>
      <c r="W33" s="978"/>
      <c r="X33" s="978"/>
      <c r="Y33" s="978"/>
      <c r="Z33" s="978"/>
      <c r="AA33" s="978"/>
      <c r="AJ33" s="975">
        <f t="shared" si="1"/>
        <v>225000</v>
      </c>
      <c r="AM33" s="1153"/>
      <c r="AU33" s="975">
        <f t="shared" si="0"/>
        <v>1995</v>
      </c>
      <c r="AX33" s="1306" t="s">
        <v>393</v>
      </c>
    </row>
    <row r="34" spans="2:50" s="975" customFormat="1" ht="18" customHeight="1" thickBot="1" x14ac:dyDescent="0.35">
      <c r="B34" s="1251"/>
      <c r="D34" s="1312"/>
      <c r="E34" s="1233">
        <f>IF(K30="With Fire",1,0)</f>
        <v>1</v>
      </c>
      <c r="F34" s="1124" t="str">
        <f>IF(AND(H30&gt;0,O31=1),"Select to include Damage by Fire","")</f>
        <v/>
      </c>
      <c r="G34" s="1314" t="s">
        <v>9</v>
      </c>
      <c r="H34" s="732" t="str">
        <f>IF(AND(H30&gt;0,O31=1),"Fire","")</f>
        <v/>
      </c>
      <c r="I34" s="1315">
        <f>H30*E34*'Rates (2)'!K56%*O30*O31</f>
        <v>0</v>
      </c>
      <c r="J34" s="1316"/>
      <c r="K34" s="1316"/>
      <c r="L34" s="1316"/>
      <c r="M34" s="1317"/>
      <c r="N34" s="1763"/>
      <c r="O34" s="1764"/>
      <c r="S34" s="978"/>
      <c r="T34" s="978"/>
      <c r="U34" s="978"/>
      <c r="V34" s="978"/>
      <c r="W34" s="978"/>
      <c r="X34" s="978"/>
      <c r="Y34" s="978"/>
      <c r="Z34" s="978"/>
      <c r="AA34" s="978"/>
      <c r="AJ34" s="975">
        <f t="shared" si="1"/>
        <v>250000</v>
      </c>
      <c r="AM34" s="1153"/>
      <c r="AU34" s="1319">
        <f t="shared" si="0"/>
        <v>1996</v>
      </c>
    </row>
    <row r="35" spans="2:50" s="975" customFormat="1" ht="16.5" thickTop="1" thickBot="1" x14ac:dyDescent="0.4">
      <c r="B35" s="1251"/>
      <c r="C35" s="1193"/>
      <c r="D35" s="1320"/>
      <c r="E35" s="1321"/>
      <c r="F35" s="1322"/>
      <c r="G35" s="1323"/>
      <c r="H35" s="1324">
        <f>IF(H36=0,H37,H36)</f>
        <v>25</v>
      </c>
      <c r="I35" s="1325"/>
      <c r="J35" s="1325"/>
      <c r="K35" s="1326"/>
      <c r="L35" s="1326" t="s">
        <v>286</v>
      </c>
      <c r="M35" s="1327">
        <f ca="1">M24+M25+M30</f>
        <v>10599.999999999998</v>
      </c>
      <c r="N35" s="1276"/>
      <c r="O35" s="1144"/>
      <c r="P35" s="1144"/>
      <c r="Q35" s="1209"/>
      <c r="AJ35" s="975">
        <f t="shared" si="1"/>
        <v>275000</v>
      </c>
      <c r="AM35" s="1153"/>
      <c r="AU35" s="1319">
        <f t="shared" si="0"/>
        <v>1997</v>
      </c>
    </row>
    <row r="36" spans="2:50" s="975" customFormat="1" ht="16" customHeight="1" thickBot="1" x14ac:dyDescent="0.4">
      <c r="B36" s="1251"/>
      <c r="C36" s="1148" t="str">
        <f>IF(H38="Upfront NCB","NCB (No Claim Bonus)","No Claim Bonus (NCB)")</f>
        <v>No Claim Bonus (NCB)</v>
      </c>
      <c r="D36" s="1240" t="s">
        <v>284</v>
      </c>
      <c r="E36" s="1241" t="s">
        <v>9</v>
      </c>
      <c r="F36" s="1108" t="s">
        <v>320</v>
      </c>
      <c r="G36" s="1328">
        <f>H36+H37</f>
        <v>25</v>
      </c>
      <c r="H36" s="1329">
        <f>MC!T34</f>
        <v>0</v>
      </c>
      <c r="I36" s="1765" t="str">
        <f>IF(H36&gt;R36,CONCATENATE("NCB ALLOWED - ",R36),IF(H36&gt;0,"Earned NCB - NOT Upfront NCB",IF(AND(M8='Administration (2)'!C19,H9='Administration (2)'!C20),"NCB Not Allowed","")))</f>
        <v/>
      </c>
      <c r="J36" s="1766"/>
      <c r="K36" s="1766"/>
      <c r="L36" s="1233">
        <v>0</v>
      </c>
      <c r="M36" s="1262">
        <f ca="1">IF(AND($C$2="Yes",L36=1),N36,(-M35/1*MIN(H36%,R36%)*Y2))</f>
        <v>0</v>
      </c>
      <c r="N36" s="1330">
        <v>0</v>
      </c>
      <c r="O36" s="1144">
        <f ca="1">IF(OR(AND(H36&gt;0%,M36&lt;0),M37&lt;0),1,0)</f>
        <v>1</v>
      </c>
      <c r="P36" s="1144"/>
      <c r="Q36" s="1331"/>
      <c r="R36" s="1332">
        <f>IF(T47=0,35,IF(U57=1,75,65))</f>
        <v>35</v>
      </c>
      <c r="S36" s="1332"/>
      <c r="T36" s="1209"/>
      <c r="U36" s="1209"/>
      <c r="V36" s="1209"/>
      <c r="AJ36" s="975">
        <f t="shared" si="1"/>
        <v>300000</v>
      </c>
      <c r="AU36" s="1319">
        <f t="shared" si="0"/>
        <v>1998</v>
      </c>
      <c r="AX36" s="1333"/>
    </row>
    <row r="37" spans="2:50" s="975" customFormat="1" ht="16" customHeight="1" thickBot="1" x14ac:dyDescent="0.4">
      <c r="B37" s="1251"/>
      <c r="C37" s="1148"/>
      <c r="D37" s="1240"/>
      <c r="E37" s="1334" t="s">
        <v>9</v>
      </c>
      <c r="F37" s="1108" t="s">
        <v>321</v>
      </c>
      <c r="G37" s="1335">
        <f>IF(H36+H37&gt;35,35-H36,H37)</f>
        <v>25</v>
      </c>
      <c r="H37" s="1336">
        <f>IF(M12="Below 250cc",25,0)</f>
        <v>25</v>
      </c>
      <c r="I37" s="1767" t="str">
        <f>IF(G37&lt;&gt;H37,CONCATENATE(G37,"% NCB Allowed (Max - 35%)"),"")</f>
        <v/>
      </c>
      <c r="J37" s="1768"/>
      <c r="K37" s="1768"/>
      <c r="L37" s="1233">
        <v>0</v>
      </c>
      <c r="M37" s="1337">
        <f ca="1">IF(AND($C$2="Yes",L37=1),Q37,(-M35/1*G37%))</f>
        <v>-2649.9999999999995</v>
      </c>
      <c r="N37" s="1330">
        <v>-121</v>
      </c>
      <c r="O37" s="1144"/>
      <c r="P37" s="1144"/>
      <c r="Q37" s="1331"/>
      <c r="R37" s="1332">
        <f>IF(H36+H37&gt;R36,0,1)</f>
        <v>1</v>
      </c>
      <c r="S37" s="1332"/>
      <c r="T37" s="1209"/>
      <c r="U37" s="1209"/>
      <c r="V37" s="1209"/>
      <c r="AU37" s="1319">
        <f t="shared" si="0"/>
        <v>1999</v>
      </c>
      <c r="AX37" s="1333"/>
    </row>
    <row r="38" spans="2:50" s="975" customFormat="1" ht="15" customHeight="1" thickBot="1" x14ac:dyDescent="0.35">
      <c r="B38" s="1251"/>
      <c r="C38" s="1193"/>
      <c r="D38" s="1338"/>
      <c r="E38" s="1339"/>
      <c r="F38" s="1322"/>
      <c r="G38" s="1340"/>
      <c r="H38" s="1341" t="s">
        <v>320</v>
      </c>
      <c r="I38" s="1342" t="s">
        <v>398</v>
      </c>
      <c r="J38" s="1343"/>
      <c r="K38" s="1344"/>
      <c r="L38" s="1326" t="s">
        <v>287</v>
      </c>
      <c r="M38" s="1327">
        <f ca="1">(M35+M36+M37)*C70</f>
        <v>7949.9999999999982</v>
      </c>
      <c r="N38" s="1276"/>
      <c r="O38" s="1345">
        <f ca="1">M35+M36</f>
        <v>10599.999999999998</v>
      </c>
      <c r="P38" s="975">
        <f>IF(O44=1,'Rates (2)'!K4,'Rates (2)'!K3)</f>
        <v>0.2</v>
      </c>
      <c r="Q38" s="975">
        <f>IF(B40="Yes",1,0)</f>
        <v>1</v>
      </c>
      <c r="R38" s="1346"/>
      <c r="S38" s="1346"/>
      <c r="T38" s="1346"/>
      <c r="U38" s="1346"/>
      <c r="V38" s="1346"/>
      <c r="AA38" s="978"/>
      <c r="AB38" s="978"/>
      <c r="AC38" s="978"/>
      <c r="AD38" s="978"/>
      <c r="AE38" s="978"/>
      <c r="AF38" s="978"/>
      <c r="AG38" s="978"/>
      <c r="AH38" s="978"/>
      <c r="AJ38" s="975">
        <f>AJ36+25000</f>
        <v>325000</v>
      </c>
      <c r="AU38" s="1319">
        <f t="shared" si="0"/>
        <v>2000</v>
      </c>
      <c r="AX38" s="1333"/>
    </row>
    <row r="39" spans="2:50" s="975" customFormat="1" ht="15" customHeight="1" thickBot="1" x14ac:dyDescent="0.45">
      <c r="B39" s="1244" t="str">
        <f>IF(C39=1,"Yes","No")</f>
        <v>Yes</v>
      </c>
      <c r="C39" s="1347">
        <v>1</v>
      </c>
      <c r="D39" s="1240" t="s">
        <v>284</v>
      </c>
      <c r="E39" s="1241" t="s">
        <v>9</v>
      </c>
      <c r="F39" s="1108" t="s">
        <v>288</v>
      </c>
      <c r="G39" s="1108"/>
      <c r="H39" s="1348"/>
      <c r="I39" s="1232"/>
      <c r="J39" s="1232"/>
      <c r="K39" s="986"/>
      <c r="L39" s="1233">
        <v>0</v>
      </c>
      <c r="M39" s="1248">
        <f ca="1">IF(AND($C$2="Yes",L39=1),N39,IF(B39="Yes",M19*'Rates (2)'!K11%,0))</f>
        <v>2500</v>
      </c>
      <c r="N39" s="1235">
        <v>0</v>
      </c>
      <c r="O39" s="975">
        <f>IF(B40="Yes",1,0)</f>
        <v>1</v>
      </c>
      <c r="P39" s="975">
        <f>IF(O44=1,'Rates (2)'!K6,'Rates (2)'!K5)</f>
        <v>0.05</v>
      </c>
      <c r="Q39" s="975">
        <f>IF(B41="Yes",1,0)</f>
        <v>1</v>
      </c>
      <c r="R39" s="1346"/>
      <c r="S39" s="1346"/>
      <c r="T39" s="1346"/>
      <c r="U39" s="1346"/>
      <c r="V39" s="1346"/>
      <c r="AA39" s="978"/>
      <c r="AB39" s="978"/>
      <c r="AC39" s="978"/>
      <c r="AD39" s="978"/>
      <c r="AE39" s="978"/>
      <c r="AF39" s="978"/>
      <c r="AG39" s="978"/>
      <c r="AH39" s="978"/>
      <c r="AJ39" s="975">
        <f t="shared" si="1"/>
        <v>350000</v>
      </c>
      <c r="AU39" s="1319">
        <f t="shared" si="0"/>
        <v>2001</v>
      </c>
      <c r="AX39" s="1333"/>
    </row>
    <row r="40" spans="2:50" s="975" customFormat="1" ht="16" customHeight="1" thickBot="1" x14ac:dyDescent="0.35">
      <c r="B40" s="1244" t="str">
        <f>IF(C40=1,"Yes","No")</f>
        <v>Yes</v>
      </c>
      <c r="C40" s="1347">
        <v>1</v>
      </c>
      <c r="D40" s="1240" t="s">
        <v>284</v>
      </c>
      <c r="E40" s="1241" t="s">
        <v>9</v>
      </c>
      <c r="F40" s="1108" t="s">
        <v>14</v>
      </c>
      <c r="G40" s="1108"/>
      <c r="H40" s="1232"/>
      <c r="I40" s="1232"/>
      <c r="J40" s="1232"/>
      <c r="K40" s="986"/>
      <c r="L40" s="1233">
        <v>0</v>
      </c>
      <c r="M40" s="1248">
        <f>IF(AND($C$2="Yes",L40=1),N40,(Q38*P38%*H15*U2*Z2*N4))</f>
        <v>1000</v>
      </c>
      <c r="N40" s="1235">
        <v>0</v>
      </c>
      <c r="O40" s="1769"/>
      <c r="P40" s="1769"/>
      <c r="Q40" s="1769"/>
      <c r="R40" s="1769"/>
      <c r="S40" s="1769"/>
      <c r="T40" s="1769"/>
      <c r="U40" s="1769"/>
      <c r="V40" s="1769"/>
      <c r="AA40" s="978"/>
      <c r="AB40" s="978"/>
      <c r="AC40" s="978"/>
      <c r="AD40" s="978"/>
      <c r="AE40" s="978"/>
      <c r="AF40" s="978"/>
      <c r="AG40" s="978"/>
      <c r="AH40" s="978"/>
      <c r="AJ40" s="975">
        <f t="shared" si="1"/>
        <v>375000</v>
      </c>
      <c r="AU40" s="1319">
        <f t="shared" si="0"/>
        <v>2002</v>
      </c>
      <c r="AX40" s="1333"/>
    </row>
    <row r="41" spans="2:50" s="975" customFormat="1" ht="16" customHeight="1" thickBot="1" x14ac:dyDescent="0.35">
      <c r="B41" s="1244" t="str">
        <f>IF(C42=1,"Yes","No")</f>
        <v>Yes</v>
      </c>
      <c r="C41" s="1193"/>
      <c r="D41" s="1349">
        <f>IF(OR($R$25&gt;1,AA25=1),1,0)</f>
        <v>0</v>
      </c>
      <c r="E41" s="1233">
        <v>1</v>
      </c>
      <c r="F41" s="1108" t="str">
        <f>IF(AND($C$40=1,D41=1),CONCATENATE("     PAB by SRCC (Rs.",Y42,")"),"")</f>
        <v/>
      </c>
      <c r="G41" s="1233">
        <v>1</v>
      </c>
      <c r="H41" s="1350" t="str">
        <f>IF(AND($C$40=1,M30&gt;0),"   Goods Cover by SRCC","")</f>
        <v/>
      </c>
      <c r="I41" s="1351"/>
      <c r="J41" s="1233">
        <v>1</v>
      </c>
      <c r="K41" s="1352" t="str">
        <f>IF(AND($C$40=1,OR(H50&gt;0,H51&gt;0)),"WCT by SRCC","")</f>
        <v/>
      </c>
      <c r="L41" s="1233">
        <v>1</v>
      </c>
      <c r="M41" s="1248">
        <v>0</v>
      </c>
      <c r="N41" s="1235">
        <v>0</v>
      </c>
      <c r="O41" s="1769"/>
      <c r="P41" s="1769"/>
      <c r="Q41" s="1769"/>
      <c r="R41" s="1769"/>
      <c r="S41" s="1769"/>
      <c r="T41" s="1769"/>
      <c r="U41" s="1769"/>
      <c r="V41" s="1769"/>
      <c r="X41" s="1346" t="s">
        <v>19</v>
      </c>
      <c r="Y41" s="1346" t="s">
        <v>17</v>
      </c>
      <c r="Z41" s="1346" t="s">
        <v>18</v>
      </c>
      <c r="AA41" s="1353"/>
      <c r="AB41" s="1354" t="s">
        <v>147</v>
      </c>
      <c r="AC41" s="1355" t="s">
        <v>150</v>
      </c>
      <c r="AD41" s="1356" t="s">
        <v>151</v>
      </c>
      <c r="AE41" s="1355" t="s">
        <v>150</v>
      </c>
      <c r="AF41" s="978"/>
      <c r="AG41" s="978" t="s">
        <v>153</v>
      </c>
      <c r="AH41" s="978" t="s">
        <v>152</v>
      </c>
      <c r="AJ41" s="975">
        <f t="shared" si="1"/>
        <v>400000</v>
      </c>
      <c r="AU41" s="1319">
        <f t="shared" si="0"/>
        <v>2003</v>
      </c>
    </row>
    <row r="42" spans="2:50" s="975" customFormat="1" ht="18.75" customHeight="1" thickBot="1" x14ac:dyDescent="0.35">
      <c r="B42" s="1357"/>
      <c r="C42" s="1358">
        <f>IF(MC!T20="No",0,1)</f>
        <v>1</v>
      </c>
      <c r="D42" s="1240" t="s">
        <v>284</v>
      </c>
      <c r="E42" s="1241" t="s">
        <v>9</v>
      </c>
      <c r="F42" s="1108" t="s">
        <v>379</v>
      </c>
      <c r="G42" s="1108"/>
      <c r="H42" s="1359" t="str">
        <f>IF(X42&gt;0,CONCATENATE("    (Rs.",X42,")"),"")</f>
        <v/>
      </c>
      <c r="I42" s="1232"/>
      <c r="J42" s="1232"/>
      <c r="K42" s="1359" t="str">
        <f>IF(Z42&gt;0,CONCATENATE("  (Rs.",FIXED(Z42),")"),"")</f>
        <v/>
      </c>
      <c r="L42" s="1233">
        <v>0</v>
      </c>
      <c r="M42" s="1248">
        <f>IF(AND($C$2="Yes",L42=1),N41,(H15*P39%*Q39*U2*Q38*Z2*N4))</f>
        <v>250</v>
      </c>
      <c r="N42" s="1360">
        <v>0</v>
      </c>
      <c r="O42" s="1165"/>
      <c r="Q42" s="1361" t="str">
        <f>IF(G41=1,"Yes","No")</f>
        <v>Yes</v>
      </c>
      <c r="R42" s="1188"/>
      <c r="T42" s="1165" t="str">
        <f>IF(E41=1,"Yes","No")</f>
        <v>Yes</v>
      </c>
      <c r="U42" s="1188"/>
      <c r="W42" s="1165" t="str">
        <f>IF(J41=1,"Yes","No")</f>
        <v>Yes</v>
      </c>
      <c r="X42" s="1362">
        <f>IF(AND(B40="Yes",Q42="Yes",C30="Yes"),H30*'Rates (2)'!Q8%,0)*Z49*O31</f>
        <v>0</v>
      </c>
      <c r="Y42" s="1362">
        <f>IF(AND(B40="Yes",T42="Yes"),AE42,0)</f>
        <v>0</v>
      </c>
      <c r="Z42" s="1362">
        <f>IF(AND(B40="Yes",W42="Yes"),(M50+M51)*'Rates (2)'!Q9%,0)</f>
        <v>0</v>
      </c>
      <c r="AA42" s="1363"/>
      <c r="AB42" s="1364">
        <f>IF(Y48="Commercial Vehicle Policy",1,0)</f>
        <v>0</v>
      </c>
      <c r="AC42" s="1364">
        <f>IF(OR(Y48="Private car policy",Y48="Motor Cycle Policy"),1,0)</f>
        <v>1</v>
      </c>
      <c r="AD42" s="978">
        <f>IF(AND(M8='Administration (2)'!C10,H9='Administration (2)'!C23),1,0)</f>
        <v>0</v>
      </c>
      <c r="AE42" s="978">
        <f>IF(AC42=1,I26*L25*'Rates (2)'!Q6%,AF42)</f>
        <v>0</v>
      </c>
      <c r="AF42" s="978">
        <f>AG42+AH42</f>
        <v>0</v>
      </c>
      <c r="AG42" s="978">
        <f>Z28*I26*'Rates (2)'!Q6%</f>
        <v>0</v>
      </c>
      <c r="AH42" s="978">
        <f>IF(AD42=1,(L25-Z28)*Z25*'Rates (2)'!Q7%,(L25-Z28)*Z25*'Rates (2)'!Q6%)</f>
        <v>0</v>
      </c>
      <c r="AJ42" s="975">
        <f>AJ41+25000</f>
        <v>425000</v>
      </c>
      <c r="AU42" s="1319">
        <f t="shared" si="0"/>
        <v>2004</v>
      </c>
      <c r="AX42" s="1333"/>
    </row>
    <row r="43" spans="2:50" s="975" customFormat="1" ht="16" customHeight="1" x14ac:dyDescent="0.3">
      <c r="B43" s="1357"/>
      <c r="C43" s="1193"/>
      <c r="D43" s="1365"/>
      <c r="E43" s="1233">
        <v>0</v>
      </c>
      <c r="F43" s="1108" t="str">
        <f>IF(AND($C$40=1,C42=1,D41=1),CONCATENATE("     PAB by TC (Rs.",Y43,")"),"")</f>
        <v/>
      </c>
      <c r="G43" s="1233">
        <v>1</v>
      </c>
      <c r="H43" s="1350" t="str">
        <f>IF(AND($C$40=1,C42=1,M30&gt;0),"   Goods Cover by TC","")</f>
        <v/>
      </c>
      <c r="I43" s="1351"/>
      <c r="J43" s="1233">
        <v>1</v>
      </c>
      <c r="K43" s="1352" t="str">
        <f>IF(AND($C$40=1,C42=1,OR(H50&gt;0,H51&gt;0)),"WCT by TC","")</f>
        <v/>
      </c>
      <c r="L43" s="1233">
        <v>0</v>
      </c>
      <c r="M43" s="1248">
        <f>IF(AND($C$2="Yes",L43=1),N43,(SUM(X43:Z43)*U2*R15*Y2))</f>
        <v>0</v>
      </c>
      <c r="N43" s="1235">
        <v>0</v>
      </c>
      <c r="O43" s="1165"/>
      <c r="Q43" s="1361" t="str">
        <f>IF(G43=1,"Yes","No")</f>
        <v>Yes</v>
      </c>
      <c r="R43" s="1366"/>
      <c r="T43" s="1165" t="str">
        <f>IF(E43=1,"Yes","No")</f>
        <v>No</v>
      </c>
      <c r="U43" s="1366"/>
      <c r="W43" s="1165" t="str">
        <f>IF(J43=1,"Yes","No")</f>
        <v>Yes</v>
      </c>
      <c r="X43" s="1362">
        <f>IF(AND(B40="Yes",B41="Yes",Q42="Yes",Q43="Yes",C30="Yes"),H30*'Rates (2)'!R8%,0)*Z49*O31</f>
        <v>0</v>
      </c>
      <c r="Y43" s="1362">
        <f>IF(AND(B40="Yes",B41="Yes",T42="Yes",T43="Yes"),AE43,0)</f>
        <v>0</v>
      </c>
      <c r="Z43" s="1362">
        <f>IF(AND(B40="Yes",B41="Yes",W42="Yes",W43="Yes"),(M50+M51)*'Rates (2)'!R9%,0)</f>
        <v>0</v>
      </c>
      <c r="AA43" s="1363"/>
      <c r="AB43" s="1364"/>
      <c r="AC43" s="1364"/>
      <c r="AD43" s="978"/>
      <c r="AE43" s="978">
        <f>IF(AC42=1,I26*L25*'Rates (2)'!R6%,AF43)</f>
        <v>0</v>
      </c>
      <c r="AF43" s="978">
        <f>AG43+AH43</f>
        <v>0</v>
      </c>
      <c r="AG43" s="978">
        <f>Z28*I26*'Rates (2)'!R4%</f>
        <v>0</v>
      </c>
      <c r="AH43" s="978">
        <f>IF(AD42=1,'Rates (2)'!R7,(L25-Z28)*Z25*'Rates (2)'!R5%)</f>
        <v>0</v>
      </c>
      <c r="AJ43" s="975">
        <f t="shared" si="1"/>
        <v>450000</v>
      </c>
      <c r="AU43" s="1319">
        <f t="shared" ref="AU43:AU85" ca="1" si="2">IF(AU42&gt;=$AW$46,"",AU42+1)</f>
        <v>2005</v>
      </c>
      <c r="AX43" s="1333"/>
    </row>
    <row r="44" spans="2:50" s="975" customFormat="1" ht="16" customHeight="1" x14ac:dyDescent="0.3">
      <c r="B44" s="1357"/>
      <c r="C44" s="1193"/>
      <c r="D44" s="1240" t="s">
        <v>284</v>
      </c>
      <c r="E44" s="1241" t="s">
        <v>9</v>
      </c>
      <c r="F44" s="1108" t="s">
        <v>125</v>
      </c>
      <c r="G44" s="1108"/>
      <c r="H44" s="1359" t="str">
        <f>IF(X43&gt;0,CONCATENATE("    (Rs.",X43,")"),"")</f>
        <v/>
      </c>
      <c r="I44" s="1232"/>
      <c r="J44" s="1232"/>
      <c r="K44" s="1359" t="str">
        <f>IF(Z43&gt;0,CONCATENATE("  (Rs.",FIXED(Z43),")"),"")</f>
        <v/>
      </c>
      <c r="L44" s="1233">
        <v>0</v>
      </c>
      <c r="M44" s="1248">
        <f ca="1">IF(AND($C$2="Yes",L44=1),M19*N44%,(M19*'Rates (2)'!K14%*O44*R44))</f>
        <v>0</v>
      </c>
      <c r="N44" s="1367">
        <v>0</v>
      </c>
      <c r="O44" s="1165">
        <f>IF(OR(H9='Administration (2)'!C21,H9='Administration (2)'!C22),1,Q44)</f>
        <v>0</v>
      </c>
      <c r="P44" s="1165"/>
      <c r="Q44" s="1165">
        <f>IF(AND(M8='Administration (2)'!C10,H9='Administration (2)'!C23),1,0)</f>
        <v>0</v>
      </c>
      <c r="R44" s="1209">
        <f>IF('Rates (2)'!M14="Free",0,1)</f>
        <v>1</v>
      </c>
      <c r="S44" s="1209"/>
      <c r="T44" s="1209"/>
      <c r="U44" s="1209"/>
      <c r="V44" s="1209"/>
      <c r="X44" s="1215"/>
      <c r="Y44" s="1215"/>
      <c r="Z44" s="1215"/>
      <c r="AA44" s="978"/>
      <c r="AB44" s="978"/>
      <c r="AC44" s="978"/>
      <c r="AD44" s="978"/>
      <c r="AE44" s="978"/>
      <c r="AF44" s="978"/>
      <c r="AG44" s="978"/>
      <c r="AH44" s="978"/>
      <c r="AJ44" s="975">
        <f>AJ43+25000</f>
        <v>475000</v>
      </c>
      <c r="AU44" s="1319">
        <f t="shared" ca="1" si="2"/>
        <v>2006</v>
      </c>
      <c r="AX44" s="1333"/>
    </row>
    <row r="45" spans="2:50" s="975" customFormat="1" ht="15" customHeight="1" thickBot="1" x14ac:dyDescent="0.35">
      <c r="B45" s="1357" t="str">
        <f>IF(C47=1,"Yes","No")</f>
        <v>No</v>
      </c>
      <c r="C45" s="1368">
        <v>0</v>
      </c>
      <c r="D45" s="1240" t="s">
        <v>284</v>
      </c>
      <c r="E45" s="1241" t="s">
        <v>9</v>
      </c>
      <c r="F45" s="1108" t="s">
        <v>450</v>
      </c>
      <c r="G45" s="1108"/>
      <c r="H45" s="1232"/>
      <c r="I45" s="1232"/>
      <c r="J45" s="1232"/>
      <c r="K45" s="986"/>
      <c r="L45" s="1233">
        <v>0</v>
      </c>
      <c r="M45" s="1248"/>
      <c r="N45" s="1369">
        <v>0</v>
      </c>
      <c r="O45" s="1284">
        <f>C45</f>
        <v>0</v>
      </c>
      <c r="P45" s="1284"/>
      <c r="Q45" s="1284"/>
      <c r="R45" s="1237">
        <f>IF('Rates (2)'!M15="Free",0,1)</f>
        <v>1</v>
      </c>
      <c r="S45" s="1237"/>
      <c r="T45" s="1237"/>
      <c r="U45" s="1237"/>
      <c r="V45" s="1209"/>
      <c r="AA45" s="978"/>
      <c r="AB45" s="978"/>
      <c r="AC45" s="978"/>
      <c r="AD45" s="978"/>
      <c r="AE45" s="978"/>
      <c r="AF45" s="978"/>
      <c r="AG45" s="978"/>
      <c r="AH45" s="978"/>
      <c r="AJ45" s="975">
        <f>IF(AJ44=500000,"",AJ44+25000)</f>
        <v>500000</v>
      </c>
      <c r="AU45" s="1319">
        <f t="shared" ca="1" si="2"/>
        <v>2007</v>
      </c>
      <c r="AX45" s="1333"/>
    </row>
    <row r="46" spans="2:50" s="975" customFormat="1" ht="15.75" customHeight="1" thickBot="1" x14ac:dyDescent="0.35">
      <c r="B46" s="1244" t="str">
        <f>IF(C46=1,"Yes","No")</f>
        <v>No</v>
      </c>
      <c r="C46" s="1370">
        <v>0</v>
      </c>
      <c r="D46" s="1240" t="s">
        <v>284</v>
      </c>
      <c r="E46" s="1241" t="s">
        <v>9</v>
      </c>
      <c r="F46" s="1108" t="s">
        <v>279</v>
      </c>
      <c r="G46" s="1108"/>
      <c r="H46" s="1766" t="str">
        <f>IF(U57=1,"Free Cover",IF(AND(B46="Yes",Q48=1,Q46=0,U46=0),"Only for Private Dual Purpose Vehicles",""))</f>
        <v/>
      </c>
      <c r="I46" s="1766"/>
      <c r="J46" s="1766"/>
      <c r="K46" s="1766"/>
      <c r="L46" s="1233">
        <v>0</v>
      </c>
      <c r="M46" s="1248">
        <f ca="1">IF(AND($C$2="Yes",L46=1),N46,(M19*'Rates (2)'!K19%*T46))</f>
        <v>0</v>
      </c>
      <c r="N46" s="1371">
        <v>0</v>
      </c>
      <c r="O46" s="978">
        <f>IF(B46="Yes",1,0)</f>
        <v>0</v>
      </c>
      <c r="P46" s="978"/>
      <c r="Q46" s="978">
        <f>IF(AND(M8='Administration (2)'!C9,H9='Administration (2)'!C20),1,U46)</f>
        <v>0</v>
      </c>
      <c r="R46" s="1237">
        <f>O46+Q46</f>
        <v>0</v>
      </c>
      <c r="S46" s="1237"/>
      <c r="T46" s="1237">
        <f>IF(R46=2,1,0)</f>
        <v>0</v>
      </c>
      <c r="U46" s="1237">
        <f>IF(AND('Rates (2)'!O19="Yes",Q48=1),1,0)</f>
        <v>0</v>
      </c>
      <c r="V46" s="1209"/>
      <c r="AA46" s="978"/>
      <c r="AB46" s="978"/>
      <c r="AC46" s="978"/>
      <c r="AD46" s="978"/>
      <c r="AE46" s="978"/>
      <c r="AF46" s="978"/>
      <c r="AG46" s="978"/>
      <c r="AH46" s="978"/>
      <c r="AU46" s="1319">
        <f t="shared" ca="1" si="2"/>
        <v>2008</v>
      </c>
      <c r="AW46" s="975">
        <f ca="1">YEAR(F70)</f>
        <v>2024</v>
      </c>
      <c r="AX46" s="1333"/>
    </row>
    <row r="47" spans="2:50" s="975" customFormat="1" ht="15.75" customHeight="1" thickBot="1" x14ac:dyDescent="0.35">
      <c r="B47" s="1357"/>
      <c r="C47" s="1193"/>
      <c r="D47" s="1240" t="s">
        <v>284</v>
      </c>
      <c r="E47" s="1241" t="s">
        <v>9</v>
      </c>
      <c r="F47" s="1108" t="s">
        <v>448</v>
      </c>
      <c r="G47" s="1108"/>
      <c r="H47" s="1372">
        <v>300000</v>
      </c>
      <c r="I47" s="1232" t="s">
        <v>110</v>
      </c>
      <c r="J47" s="1232"/>
      <c r="K47" s="1373" t="str">
        <f>IF(AND(H47&gt;0,T47=0),"Not Applicable",0)</f>
        <v>Not Applicable</v>
      </c>
      <c r="L47" s="1233">
        <v>1</v>
      </c>
      <c r="M47" s="1305">
        <v>0</v>
      </c>
      <c r="N47" s="1371">
        <v>0</v>
      </c>
      <c r="O47" s="1374">
        <f>IF(H47&gt;0,1,0)</f>
        <v>1</v>
      </c>
      <c r="P47" s="1374"/>
      <c r="Q47" s="1284"/>
      <c r="R47" s="1237"/>
      <c r="S47" s="1237"/>
      <c r="T47" s="978">
        <f>IF(OR(M8='Administration (2)'!C13,M8='Administration (2)'!C14,),0,1)</f>
        <v>0</v>
      </c>
      <c r="U47" s="1237"/>
      <c r="V47" s="1209"/>
      <c r="AA47" s="978"/>
      <c r="AB47" s="978"/>
      <c r="AC47" s="978"/>
      <c r="AD47" s="978"/>
      <c r="AE47" s="978"/>
      <c r="AF47" s="978"/>
      <c r="AG47" s="978"/>
      <c r="AH47" s="978"/>
      <c r="AU47" s="1319">
        <f t="shared" ca="1" si="2"/>
        <v>2009</v>
      </c>
      <c r="AX47" s="1333"/>
    </row>
    <row r="48" spans="2:50" s="975" customFormat="1" ht="16" customHeight="1" thickBot="1" x14ac:dyDescent="0.35">
      <c r="B48" s="1357"/>
      <c r="C48" s="1193"/>
      <c r="D48" s="1240" t="s">
        <v>284</v>
      </c>
      <c r="E48" s="1241" t="s">
        <v>9</v>
      </c>
      <c r="F48" s="1108" t="s">
        <v>6</v>
      </c>
      <c r="G48" s="1108"/>
      <c r="H48" s="1375">
        <f>IF(MC!R33&lt;&gt;"",MC!R33,100000)</f>
        <v>100000</v>
      </c>
      <c r="I48" s="1232" t="s">
        <v>109</v>
      </c>
      <c r="J48" s="1232"/>
      <c r="K48" s="1376">
        <f>IF(AND(Q48=0,H48&gt;0),"Free Unlimited Cover",0)</f>
        <v>0</v>
      </c>
      <c r="L48" s="1233">
        <v>0</v>
      </c>
      <c r="M48" s="1305">
        <f>IF(AND($C$2="Yes",L48=1),N48,IF(H48&lt;100000,0,IF(H48=100000,'Rates (2)'!K17*R48,IF(H48&lt;=300000,'Rates (2)'!K18*R48,IF(H48&lt;=500000,'Rates (2)'!M17*R48,IF(H48&lt;=1000000,'Rates (2)'!M18*R48,IF(H48&lt;=2000000,1200*R48,H48*0.1%)))))))*U2*Q48*R15*Z2*Q66*N3</f>
        <v>100</v>
      </c>
      <c r="N48" s="1371">
        <v>0</v>
      </c>
      <c r="O48" s="1374">
        <f>IF(H48&gt;1,1,0)</f>
        <v>1</v>
      </c>
      <c r="P48" s="1374"/>
      <c r="Q48" s="1377">
        <f>IF(O57+Q57=1,0,1)</f>
        <v>1</v>
      </c>
      <c r="R48" s="1237">
        <f>IF(AND(H48&gt;=100000,Q48=1),1,0)</f>
        <v>1</v>
      </c>
      <c r="S48" s="1237"/>
      <c r="T48" s="978">
        <f>IF(OR(Q48=0,H48&gt;0),1,0)</f>
        <v>1</v>
      </c>
      <c r="U48" s="1237"/>
      <c r="V48" s="1209"/>
      <c r="X48" s="975">
        <f>IF(O57+Q57=1,0,1)</f>
        <v>1</v>
      </c>
      <c r="Y48" s="975" t="str">
        <f>IF(X48=0,"Private Car Policy",Z48)</f>
        <v>Motor Cycle Policy</v>
      </c>
      <c r="Z48" s="975" t="str">
        <f>IF(T47=0,"Motor Cycle Policy",AA48)</f>
        <v>Motor Cycle Policy</v>
      </c>
      <c r="AA48" s="978" t="str">
        <f>IF(M8='Administration (2)'!C19,"Trade Plate Policy","Commercial Vehicle Policy")</f>
        <v>Commercial Vehicle Policy</v>
      </c>
      <c r="AB48" s="978"/>
      <c r="AC48" s="978"/>
      <c r="AD48" s="978"/>
      <c r="AE48" s="978"/>
      <c r="AF48" s="978"/>
      <c r="AG48" s="978"/>
      <c r="AH48" s="978"/>
      <c r="AU48" s="1319">
        <f t="shared" ca="1" si="2"/>
        <v>2010</v>
      </c>
      <c r="AX48" s="1333"/>
    </row>
    <row r="49" spans="2:50" s="975" customFormat="1" ht="15" customHeight="1" thickBot="1" x14ac:dyDescent="0.35">
      <c r="B49" s="1357"/>
      <c r="C49" s="1193"/>
      <c r="D49" s="1240" t="s">
        <v>284</v>
      </c>
      <c r="E49" s="1241" t="s">
        <v>9</v>
      </c>
      <c r="F49" s="1108" t="s">
        <v>12</v>
      </c>
      <c r="G49" s="1108"/>
      <c r="H49" s="1375">
        <f>MC!R35</f>
        <v>0</v>
      </c>
      <c r="I49" s="1753" t="str">
        <f>IF(Q49&gt;0,CONCATENATE("Free Cover of Rs.",Q49,"/-"),"")</f>
        <v/>
      </c>
      <c r="J49" s="1754"/>
      <c r="K49" s="1754"/>
      <c r="L49" s="1233">
        <v>0</v>
      </c>
      <c r="M49" s="1305">
        <f>IF(AND($C$2="Yes",L49=1),N49,((H49*'Rates (2)'!K32%-R49)*U2*R15*Y2*Z2))*N3</f>
        <v>0</v>
      </c>
      <c r="N49" s="1371">
        <v>0</v>
      </c>
      <c r="O49" s="1378">
        <f>IF(H49&gt;='Rates (2)'!B36,1,0)</f>
        <v>0</v>
      </c>
      <c r="P49" s="1378"/>
      <c r="Q49" s="1237">
        <f>IF(T47=0,'Rates (2)'!C38,'Rates (2)'!B36)</f>
        <v>0</v>
      </c>
      <c r="R49" s="1237">
        <f>IF(H49&lt;=Q49,H49*'Rates (2)'!K32%,Q49*'Rates (2)'!K32%)</f>
        <v>0</v>
      </c>
      <c r="S49" s="1237"/>
      <c r="T49" s="1237"/>
      <c r="U49" s="978"/>
      <c r="Y49" s="975">
        <f>IF(Y48="Private Car Policy",0,1)</f>
        <v>1</v>
      </c>
      <c r="Z49" s="975">
        <f>IF(Y48="Motor Cycle Policy",0,1)</f>
        <v>0</v>
      </c>
      <c r="AU49" s="1319">
        <f t="shared" ca="1" si="2"/>
        <v>2011</v>
      </c>
      <c r="AX49" s="1333"/>
    </row>
    <row r="50" spans="2:50" s="975" customFormat="1" ht="15.75" customHeight="1" thickBot="1" x14ac:dyDescent="0.35">
      <c r="B50" s="1357"/>
      <c r="C50" s="1193"/>
      <c r="D50" s="1240" t="s">
        <v>284</v>
      </c>
      <c r="E50" s="1241" t="s">
        <v>9</v>
      </c>
      <c r="F50" s="1379" t="s">
        <v>112</v>
      </c>
      <c r="G50" s="1379"/>
      <c r="H50" s="1380">
        <v>0</v>
      </c>
      <c r="I50" s="1232" t="s">
        <v>21</v>
      </c>
      <c r="J50" s="1232"/>
      <c r="K50" s="1381"/>
      <c r="L50" s="1233">
        <v>0</v>
      </c>
      <c r="M50" s="1305">
        <f>IF(AND($C$2="Yes",L50=1),N50,(H50*R50*U2*R15*Y2))*N3</f>
        <v>0</v>
      </c>
      <c r="N50" s="1235">
        <v>0</v>
      </c>
      <c r="O50" s="1144">
        <f>IF(H50&gt;0,1,0)</f>
        <v>0</v>
      </c>
      <c r="P50" s="1144"/>
      <c r="Q50" s="975">
        <f>IF((O50+O51)&gt;0,1,0)</f>
        <v>0</v>
      </c>
      <c r="R50" s="1209">
        <f>IF(O57+Q57=1,'Rates (2)'!K23,'Rates (2)'!K24)</f>
        <v>600</v>
      </c>
      <c r="S50" s="1209"/>
      <c r="T50" s="1209"/>
      <c r="AU50" s="1319">
        <f t="shared" ca="1" si="2"/>
        <v>2012</v>
      </c>
      <c r="AX50" s="1333"/>
    </row>
    <row r="51" spans="2:50" s="975" customFormat="1" ht="1.5" customHeight="1" thickBot="1" x14ac:dyDescent="0.35">
      <c r="B51" s="1357"/>
      <c r="C51" s="1193"/>
      <c r="D51" s="1240" t="s">
        <v>284</v>
      </c>
      <c r="E51" s="1241" t="s">
        <v>9</v>
      </c>
      <c r="F51" s="1108" t="s">
        <v>20</v>
      </c>
      <c r="G51" s="1108"/>
      <c r="H51" s="1382">
        <v>0</v>
      </c>
      <c r="I51" s="1232" t="s">
        <v>22</v>
      </c>
      <c r="J51" s="1232"/>
      <c r="K51" s="1383"/>
      <c r="L51" s="1233">
        <v>0</v>
      </c>
      <c r="M51" s="1305">
        <f>IF(AND($C$2="Yes",L51=1),N51,(H51*'Rates (2)'!K25*U2*R15*Y2*Z49*Y49))*N3</f>
        <v>0</v>
      </c>
      <c r="N51" s="1235">
        <v>0</v>
      </c>
      <c r="O51" s="1144">
        <f>IF(H51&gt;0,1,0)</f>
        <v>0</v>
      </c>
      <c r="P51" s="1144"/>
      <c r="Q51" s="1165">
        <f>IF(OR(H50&gt;0,H51&gt;0),1,0)</f>
        <v>0</v>
      </c>
      <c r="R51" s="1209"/>
      <c r="S51" s="1209"/>
      <c r="T51" s="1209"/>
      <c r="U51" s="1209"/>
      <c r="V51" s="1209"/>
      <c r="AU51" s="1319">
        <f t="shared" ca="1" si="2"/>
        <v>2013</v>
      </c>
      <c r="AX51" s="1333"/>
    </row>
    <row r="52" spans="2:50" s="975" customFormat="1" ht="20.25" customHeight="1" thickBot="1" x14ac:dyDescent="0.35">
      <c r="B52" s="1384" t="str">
        <f>'Rates (2)'!M21</f>
        <v>Charge</v>
      </c>
      <c r="C52" s="1193"/>
      <c r="D52" s="1240" t="s">
        <v>284</v>
      </c>
      <c r="E52" s="1241" t="s">
        <v>9</v>
      </c>
      <c r="F52" s="1108" t="s">
        <v>449</v>
      </c>
      <c r="G52" s="1385">
        <v>1</v>
      </c>
      <c r="H52" s="1386">
        <v>7500</v>
      </c>
      <c r="I52" s="1755" t="str">
        <f>IF(AND(G52=0,K50&gt;0),"Enter Number of Air Bags",IF(AND(K50&gt;0,T47=0),"Not Applicable",IF(AND(Q52=0,T47=1,K50&gt;0),"Free Cover",IF(R52=0,"Free Cover - Front Seat Bags","Value of 2 Front Dashboard Airbgs"))))</f>
        <v>Value of 2 Front Dashboard Airbgs</v>
      </c>
      <c r="J52" s="1755"/>
      <c r="K52" s="1755"/>
      <c r="L52" s="1233">
        <v>1</v>
      </c>
      <c r="M52" s="1305">
        <v>0</v>
      </c>
      <c r="N52" s="1235">
        <v>0</v>
      </c>
      <c r="O52" s="1144">
        <f>IF(OR(O53=1,M53&gt;0),1,0)</f>
        <v>0</v>
      </c>
      <c r="P52" s="1144">
        <f>IF(G52&gt;0,1,0)</f>
        <v>1</v>
      </c>
      <c r="Q52" s="1165">
        <f>IF('Rates (2)'!M21="Free",0,1)</f>
        <v>1</v>
      </c>
      <c r="R52" s="1209">
        <f>IF(AND(H9='Administration (2)'!C20,S52=0),0,1)</f>
        <v>1</v>
      </c>
      <c r="S52" s="1209">
        <f>IF(OR(M8="Motor Car",M8="Jeep",M8="Dual Purpose"),0,1)</f>
        <v>1</v>
      </c>
      <c r="T52" s="1209"/>
      <c r="U52" s="1209"/>
      <c r="V52" s="1209"/>
      <c r="AU52" s="1319">
        <f t="shared" ca="1" si="2"/>
        <v>2014</v>
      </c>
      <c r="AW52" s="1153"/>
      <c r="AX52" s="1333"/>
    </row>
    <row r="53" spans="2:50" s="975" customFormat="1" ht="18" customHeight="1" thickBot="1" x14ac:dyDescent="0.35">
      <c r="B53" s="1387"/>
      <c r="C53" s="1193"/>
      <c r="D53" s="1240"/>
      <c r="E53" s="1388"/>
      <c r="F53" s="1108"/>
      <c r="G53" s="1389">
        <v>0</v>
      </c>
      <c r="H53" s="1390">
        <v>0</v>
      </c>
      <c r="I53" s="1391" t="str">
        <f>IF(AND(G53=0,H53&gt;0),"Enter Number of Air Bags",IF(AND(H53&gt;0,T47=0),"Not Applicable",IF(AND(Q52=0,T47=1,H53&gt;0),"Free Cover","Value of Rear Seat Airbags")))</f>
        <v>Value of Rear Seat Airbags</v>
      </c>
      <c r="J53" s="1392"/>
      <c r="K53" s="1392"/>
      <c r="L53" s="1233">
        <v>0</v>
      </c>
      <c r="M53" s="1305">
        <f>IF(AND($C$2="Yes",L53=1),N53*P53,(H53*'Rates (2)'!K21%*U2*T47/2*Q52*R15*Y2*P53))*N3</f>
        <v>0</v>
      </c>
      <c r="N53" s="1235">
        <v>0</v>
      </c>
      <c r="O53" s="1144">
        <f>IF(AND(G52&gt;0,K50&gt;1),1,0)</f>
        <v>0</v>
      </c>
      <c r="P53" s="1144">
        <f>IF(G53&gt;0,1,0)</f>
        <v>0</v>
      </c>
      <c r="Q53" s="1165">
        <f>IF(M53&gt;0,1,0)</f>
        <v>0</v>
      </c>
      <c r="R53" s="1209">
        <f>IF(AND(O53=1,Q53=1),G52+G53,IF(AND(O53=1,Q53=0),G52,IF(AND(O53=0,Q53=1),G53,0)))</f>
        <v>0</v>
      </c>
      <c r="S53" s="1209"/>
      <c r="T53" s="1209"/>
      <c r="U53" s="1209"/>
      <c r="V53" s="1209"/>
      <c r="AU53" s="1319">
        <f t="shared" ca="1" si="2"/>
        <v>2015</v>
      </c>
      <c r="AX53" s="978"/>
    </row>
    <row r="54" spans="2:50" s="975" customFormat="1" ht="16" customHeight="1" thickBot="1" x14ac:dyDescent="0.35">
      <c r="B54" s="1357"/>
      <c r="C54" s="1193"/>
      <c r="D54" s="1240" t="s">
        <v>284</v>
      </c>
      <c r="E54" s="1241" t="s">
        <v>9</v>
      </c>
      <c r="F54" s="1108" t="s">
        <v>8</v>
      </c>
      <c r="G54" s="1108"/>
      <c r="H54" s="1393">
        <v>0</v>
      </c>
      <c r="I54" s="1232" t="s">
        <v>111</v>
      </c>
      <c r="J54" s="1232"/>
      <c r="K54" s="986"/>
      <c r="L54" s="1233">
        <v>0</v>
      </c>
      <c r="M54" s="1305">
        <f>IF(AND($C$2="Yes",L54=1),N54,(H54*Q54*U2*R15*Y2))*N3</f>
        <v>0</v>
      </c>
      <c r="N54" s="1235">
        <v>0</v>
      </c>
      <c r="O54" s="1144">
        <f>IF(H54&gt;0,1,0)</f>
        <v>0</v>
      </c>
      <c r="P54" s="1144"/>
      <c r="Q54" s="1165">
        <f>IF(O57+Q57=1,'Rates (2)'!K34,IF(T47=0,'Rates (2)'!K35,'Rates (2)'!K36))</f>
        <v>200</v>
      </c>
      <c r="R54" s="1209"/>
      <c r="S54" s="1209"/>
      <c r="T54" s="1209"/>
      <c r="U54" s="1209"/>
      <c r="V54" s="1209"/>
      <c r="AU54" s="1319">
        <f t="shared" ca="1" si="2"/>
        <v>2016</v>
      </c>
      <c r="AX54" s="1333"/>
    </row>
    <row r="55" spans="2:50" s="975" customFormat="1" ht="15" customHeight="1" thickBot="1" x14ac:dyDescent="0.35">
      <c r="B55" s="1244" t="str">
        <f>IF(C55=1,"Yes","No")</f>
        <v>No</v>
      </c>
      <c r="C55" s="1370">
        <v>0</v>
      </c>
      <c r="D55" s="1240" t="s">
        <v>284</v>
      </c>
      <c r="E55" s="1241" t="s">
        <v>9</v>
      </c>
      <c r="F55" s="1394" t="s">
        <v>534</v>
      </c>
      <c r="G55" s="1108"/>
      <c r="H55" s="1232"/>
      <c r="I55" s="1232"/>
      <c r="J55" s="1232"/>
      <c r="K55" s="986"/>
      <c r="L55" s="1233">
        <v>0</v>
      </c>
      <c r="M55" s="1305">
        <v>0</v>
      </c>
      <c r="N55" s="1395">
        <v>0</v>
      </c>
      <c r="O55" s="1170"/>
      <c r="P55" s="1170"/>
      <c r="Q55" s="1170">
        <f>IF(B55="Yes",1,0)</f>
        <v>0</v>
      </c>
      <c r="R55" s="1266"/>
      <c r="S55" s="1266"/>
      <c r="T55" s="1266"/>
      <c r="U55" s="1266"/>
      <c r="V55" s="1266"/>
      <c r="W55" s="1170"/>
      <c r="X55" s="1170"/>
      <c r="Y55" s="1170"/>
      <c r="Z55" s="1170"/>
      <c r="AA55" s="1170"/>
      <c r="AB55" s="1170"/>
      <c r="AC55" s="1170"/>
      <c r="AD55" s="1170"/>
      <c r="AE55" s="1170"/>
      <c r="AF55" s="1170"/>
      <c r="AG55" s="1170"/>
      <c r="AH55" s="1170"/>
      <c r="AI55" s="1170"/>
      <c r="AU55" s="1319">
        <f t="shared" ca="1" si="2"/>
        <v>2017</v>
      </c>
      <c r="AX55" s="1333"/>
    </row>
    <row r="56" spans="2:50" s="975" customFormat="1" ht="21.75" customHeight="1" thickBot="1" x14ac:dyDescent="0.35">
      <c r="B56" s="1244" t="str">
        <f>IF(C56=1,"Yes","No")</f>
        <v>No</v>
      </c>
      <c r="C56" s="1370"/>
      <c r="D56" s="1240"/>
      <c r="E56" s="1467"/>
      <c r="F56" s="1468" t="s">
        <v>577</v>
      </c>
      <c r="G56" s="1108"/>
      <c r="H56" s="1232"/>
      <c r="I56" s="1202" t="str">
        <f>IF(AND('Rates (2)'!D43="No",B56="Yes"),"Provided only for Private Cars","")</f>
        <v/>
      </c>
      <c r="J56" s="1202"/>
      <c r="K56" s="986"/>
      <c r="L56" s="1233">
        <v>0</v>
      </c>
      <c r="M56" s="189"/>
      <c r="N56" s="1395">
        <v>0</v>
      </c>
      <c r="O56" s="1170">
        <f>IF(OR(R57=2,R61=1),1,0)</f>
        <v>0</v>
      </c>
      <c r="P56" s="1170"/>
      <c r="Q56" s="1170">
        <f>IF(B56="Yes",1,0)</f>
        <v>0</v>
      </c>
      <c r="R56" s="1266">
        <f>IF(H35&lt;25,'Rates (2)'!K42,T56)</f>
        <v>5.25</v>
      </c>
      <c r="S56" s="1266"/>
      <c r="T56" s="1266">
        <f>IF(AND(H35&gt;=25,H35&lt;30),'Rates (2)'!K43,U56)</f>
        <v>5.25</v>
      </c>
      <c r="U56" s="1266">
        <f>IF(AND(H35&lt;38.33,H35&gt;=30),'Rates (2)'!K44,W56)</f>
        <v>4.5</v>
      </c>
      <c r="V56" s="1266"/>
      <c r="W56" s="1266">
        <f>IF(AND(H35&gt;=38.33,H35&lt;45),'Rates (2)'!K45,X56)</f>
        <v>4.5</v>
      </c>
      <c r="X56" s="1266">
        <f>IF(AND(H35&gt;=45,H35&lt;55),'Rates (2)'!K46,Y56)</f>
        <v>4.5</v>
      </c>
      <c r="Y56" s="1266">
        <f>IF(AND(H35&gt;=55,H35&lt;60),'Rates (2)'!K47,Z56)</f>
        <v>4.5</v>
      </c>
      <c r="Z56" s="1266">
        <f>IF(AND(H35&gt;=60,H35&lt;65),'Rates (2)'!K48,AA56)</f>
        <v>4.5</v>
      </c>
      <c r="AA56" s="1266">
        <f>IF(AND(H35&gt;=65,H35&lt;70),'Rates (2)'!K49,AB56)</f>
        <v>4.5</v>
      </c>
      <c r="AB56" s="1266">
        <f>IF(AND(H35&gt;=70,H35&lt;75),'Rates (2)'!K50,AC56)</f>
        <v>4.5</v>
      </c>
      <c r="AC56" s="1266">
        <f>IF(H35&gt;=75,'Rates (2)'!K51,AD56)</f>
        <v>4.5</v>
      </c>
      <c r="AD56" s="1170">
        <v>4.5</v>
      </c>
      <c r="AE56" s="1170"/>
      <c r="AF56" s="1170"/>
      <c r="AG56" s="1170"/>
      <c r="AH56" s="1170"/>
      <c r="AI56" s="1170"/>
      <c r="AU56" s="1319">
        <f t="shared" ca="1" si="2"/>
        <v>2018</v>
      </c>
      <c r="AX56" s="1333"/>
    </row>
    <row r="57" spans="2:50" s="975" customFormat="1" ht="18.75" hidden="1" customHeight="1" x14ac:dyDescent="0.3">
      <c r="B57" s="1357"/>
      <c r="C57" s="1193"/>
      <c r="D57" s="1156"/>
      <c r="E57" s="1396" t="s">
        <v>9</v>
      </c>
      <c r="F57" s="1053" t="str">
        <f>IF(AND(M8='Administration (2)'!C10,H9='Administration (2)'!C23,R15=1),"Unlimited Third Party Property Damage &amp; Passenger Liability Cover",".")</f>
        <v>.</v>
      </c>
      <c r="G57" s="1053"/>
      <c r="H57" s="1040"/>
      <c r="I57" s="1232"/>
      <c r="J57" s="1232"/>
      <c r="K57" s="986"/>
      <c r="L57" s="1233">
        <v>0</v>
      </c>
      <c r="M57" s="1305">
        <f>IF(AND($C$2="Yes",L57=1),N57,IF(AND(M8='Administration (2)'!C10,H9='Administration (2)'!C23),2000,0)*U2*R15)*N3</f>
        <v>0</v>
      </c>
      <c r="N57" s="1395">
        <v>0</v>
      </c>
      <c r="O57" s="1397">
        <f>IF(AND(M8='Administration (2)'!C7,H9='Administration (2)'!C20),1,0)</f>
        <v>0</v>
      </c>
      <c r="P57" s="1397"/>
      <c r="Q57" s="1397">
        <f>IF(AND(M8='Administration (2)'!C8,H9='Administration (2)'!C20),1,0)</f>
        <v>0</v>
      </c>
      <c r="R57" s="1398">
        <f>Q56+Q57+O57</f>
        <v>0</v>
      </c>
      <c r="S57" s="1398"/>
      <c r="T57" s="1397">
        <f>IF(AND(M8='Administration (2)'!C12,H9='Administration (2)'!C20),1,0)</f>
        <v>0</v>
      </c>
      <c r="U57" s="1266">
        <f>IF(O57+Q57=1,1,0)</f>
        <v>0</v>
      </c>
      <c r="V57" s="1266"/>
      <c r="W57" s="1170">
        <f>IF(AND(M8='Administration (2)'!C9,H9='Administration (2)'!C20),1,0)</f>
        <v>0</v>
      </c>
      <c r="X57" s="1063"/>
      <c r="Y57" s="1063"/>
      <c r="Z57" s="1063"/>
      <c r="AA57" s="1063"/>
      <c r="AB57" s="1170"/>
      <c r="AC57" s="1170"/>
      <c r="AD57" s="1170"/>
      <c r="AE57" s="1170"/>
      <c r="AF57" s="1170"/>
      <c r="AG57" s="1170"/>
      <c r="AH57" s="1170"/>
      <c r="AI57" s="1170"/>
      <c r="AU57" s="1319">
        <f t="shared" ca="1" si="2"/>
        <v>2019</v>
      </c>
      <c r="AX57" s="1333"/>
    </row>
    <row r="58" spans="2:50" s="975" customFormat="1" ht="20.25" hidden="1" customHeight="1" thickBot="1" x14ac:dyDescent="0.35">
      <c r="B58" s="1357"/>
      <c r="C58" s="1347">
        <v>0</v>
      </c>
      <c r="D58" s="1156"/>
      <c r="E58" s="1396" t="s">
        <v>9</v>
      </c>
      <c r="F58" s="1756"/>
      <c r="G58" s="1756"/>
      <c r="H58" s="1399" t="str">
        <f>IF(AND(C58=1,F58=""),"Enter Name of Cover","Additional Cover 1")</f>
        <v>Additional Cover 1</v>
      </c>
      <c r="I58" s="1232"/>
      <c r="J58" s="1232"/>
      <c r="K58" s="986"/>
      <c r="L58" s="1233">
        <v>0</v>
      </c>
      <c r="M58" s="1400">
        <f>IF(AND(C58=1,F58&lt;&gt;""),N58,0)</f>
        <v>0</v>
      </c>
      <c r="N58" s="1401">
        <v>0</v>
      </c>
      <c r="O58" s="1402">
        <f>IF(AND(C58=1,N58&lt;&gt;0,F58&lt;&gt;""),1,0)</f>
        <v>0</v>
      </c>
      <c r="P58" s="1402"/>
      <c r="Q58" s="1402"/>
      <c r="R58" s="1403"/>
      <c r="S58" s="1404"/>
      <c r="T58" s="1405"/>
      <c r="U58" s="1406"/>
      <c r="V58" s="1406"/>
      <c r="W58" s="976"/>
      <c r="X58" s="976"/>
      <c r="Y58" s="976"/>
      <c r="Z58" s="976"/>
      <c r="AA58" s="976"/>
      <c r="AB58" s="976"/>
      <c r="AC58" s="976"/>
      <c r="AD58" s="976"/>
      <c r="AE58" s="976"/>
      <c r="AF58" s="976"/>
      <c r="AG58" s="976"/>
      <c r="AH58" s="976"/>
      <c r="AI58" s="976"/>
      <c r="AJ58" s="976"/>
      <c r="AK58" s="976"/>
      <c r="AL58" s="976"/>
      <c r="AM58" s="976"/>
      <c r="AN58" s="976"/>
      <c r="AO58" s="976"/>
      <c r="AU58" s="1319">
        <f t="shared" ca="1" si="2"/>
        <v>2020</v>
      </c>
      <c r="AX58" s="1333"/>
    </row>
    <row r="59" spans="2:50" s="975" customFormat="1" ht="17.25" hidden="1" customHeight="1" thickBot="1" x14ac:dyDescent="0.35">
      <c r="B59" s="1357"/>
      <c r="C59" s="1347">
        <v>0</v>
      </c>
      <c r="D59" s="1156"/>
      <c r="E59" s="1396" t="s">
        <v>9</v>
      </c>
      <c r="F59" s="1756"/>
      <c r="G59" s="1756"/>
      <c r="H59" s="1399" t="str">
        <f>IF(AND(C59=1,F59=""),"Enter Name of Cover","Additional Cover 2")</f>
        <v>Additional Cover 2</v>
      </c>
      <c r="I59" s="1232"/>
      <c r="J59" s="1232"/>
      <c r="K59" s="986"/>
      <c r="L59" s="1233">
        <v>0</v>
      </c>
      <c r="M59" s="1400">
        <f>IF(AND(C59=1,F59&lt;&gt;""),N59,0)</f>
        <v>0</v>
      </c>
      <c r="N59" s="1401">
        <v>0</v>
      </c>
      <c r="O59" s="1402">
        <f>IF(AND(C59=1,N59&lt;&gt;0,F59&lt;&gt;""),1,0)</f>
        <v>0</v>
      </c>
      <c r="P59" s="1402"/>
      <c r="Q59" s="1402"/>
      <c r="R59" s="1403"/>
      <c r="S59" s="1404"/>
      <c r="T59" s="1405"/>
      <c r="U59" s="1406"/>
      <c r="V59" s="1406"/>
      <c r="W59" s="976"/>
      <c r="X59" s="976"/>
      <c r="Y59" s="976"/>
      <c r="Z59" s="976"/>
      <c r="AA59" s="976"/>
      <c r="AB59" s="976"/>
      <c r="AC59" s="976"/>
      <c r="AD59" s="976"/>
      <c r="AE59" s="976"/>
      <c r="AF59" s="976"/>
      <c r="AG59" s="976"/>
      <c r="AH59" s="976"/>
      <c r="AI59" s="976"/>
      <c r="AJ59" s="976"/>
      <c r="AK59" s="976"/>
      <c r="AL59" s="976"/>
      <c r="AM59" s="976"/>
      <c r="AN59" s="976"/>
      <c r="AO59" s="976"/>
      <c r="AU59" s="1319">
        <f t="shared" ca="1" si="2"/>
        <v>2021</v>
      </c>
      <c r="AX59" s="1333"/>
    </row>
    <row r="60" spans="2:50" s="975" customFormat="1" ht="18" hidden="1" customHeight="1" thickBot="1" x14ac:dyDescent="0.35">
      <c r="B60" s="1357"/>
      <c r="C60" s="1347">
        <v>0</v>
      </c>
      <c r="D60" s="1407"/>
      <c r="E60" s="1408" t="s">
        <v>9</v>
      </c>
      <c r="F60" s="1409" t="s">
        <v>169</v>
      </c>
      <c r="G60" s="1409"/>
      <c r="H60" s="1410"/>
      <c r="I60" s="1411"/>
      <c r="J60" s="1411"/>
      <c r="K60" s="1412"/>
      <c r="L60" s="1413"/>
      <c r="M60" s="1400">
        <f>IF(AND('MC Working'!H8="Three Wheeler",'MC Working'!B12="Above 5 yrs",'Rates (2)'!D81="Yes",C60=1,N60&gt;'Rates (2)'!F81,H13&lt;2009),N60,IF(AND('MC Working'!H8="Three Wheeler",'MC Working'!B12="Above 5 yrs",'Rates (2)'!D81="Yes",H13&lt;2009),'Rates (2)'!F81,IF(C60=1,N60,0)))</f>
        <v>0</v>
      </c>
      <c r="N60" s="1401">
        <v>0</v>
      </c>
      <c r="P60" s="1402"/>
      <c r="Q60" s="1402"/>
      <c r="R60" s="1403"/>
      <c r="S60" s="1404"/>
      <c r="T60" s="1405"/>
      <c r="U60" s="1406"/>
      <c r="V60" s="1406"/>
      <c r="W60" s="976"/>
      <c r="X60" s="976"/>
      <c r="Y60" s="976"/>
      <c r="Z60" s="976"/>
      <c r="AA60" s="976"/>
      <c r="AB60" s="976"/>
      <c r="AC60" s="976"/>
      <c r="AD60" s="976"/>
      <c r="AE60" s="976"/>
      <c r="AF60" s="976"/>
      <c r="AG60" s="976"/>
      <c r="AH60" s="976"/>
      <c r="AI60" s="976"/>
      <c r="AJ60" s="976"/>
      <c r="AK60" s="976"/>
      <c r="AL60" s="976"/>
      <c r="AM60" s="976"/>
      <c r="AN60" s="976"/>
      <c r="AO60" s="976"/>
      <c r="AU60" s="1319">
        <f t="shared" ca="1" si="2"/>
        <v>2022</v>
      </c>
      <c r="AX60" s="1333"/>
    </row>
    <row r="61" spans="2:50" s="975" customFormat="1" ht="19.5" customHeight="1" x14ac:dyDescent="0.3">
      <c r="B61" s="1357"/>
      <c r="C61" s="1193"/>
      <c r="D61" s="1156"/>
      <c r="E61" s="1757"/>
      <c r="F61" s="1758"/>
      <c r="G61" s="986"/>
      <c r="H61" s="1414" t="s">
        <v>10</v>
      </c>
      <c r="I61" s="987"/>
      <c r="J61" s="1414"/>
      <c r="K61" s="1415"/>
      <c r="L61" s="1416"/>
      <c r="M61" s="1417">
        <f ca="1">SUM(M38:M60)*C70*U2</f>
        <v>11799.999999999998</v>
      </c>
      <c r="N61" s="1418"/>
      <c r="O61" s="1419">
        <f ca="1">M61-M40-M42-M41-M43</f>
        <v>10549.999999999998</v>
      </c>
      <c r="P61" s="1419"/>
      <c r="Q61" s="1165">
        <f>IF('Rates (2)'!D45="Yes",0,1)</f>
        <v>1</v>
      </c>
      <c r="R61" s="1209">
        <f>IF(AND('Rates (2)'!D43="Yes",B56="Yes"),1,0)</f>
        <v>0</v>
      </c>
      <c r="S61" s="1406"/>
      <c r="T61" s="1406"/>
      <c r="U61" s="1406"/>
      <c r="V61" s="1406"/>
      <c r="W61" s="976"/>
      <c r="X61" s="976"/>
      <c r="Y61" s="976"/>
      <c r="Z61" s="976"/>
      <c r="AA61" s="976"/>
      <c r="AB61" s="976"/>
      <c r="AC61" s="976"/>
      <c r="AD61" s="976"/>
      <c r="AE61" s="976"/>
      <c r="AF61" s="976"/>
      <c r="AG61" s="976"/>
      <c r="AH61" s="976"/>
      <c r="AI61" s="976"/>
      <c r="AJ61" s="976"/>
      <c r="AK61" s="976"/>
      <c r="AL61" s="976"/>
      <c r="AM61" s="976"/>
      <c r="AN61" s="976"/>
      <c r="AO61" s="976"/>
      <c r="AU61" s="1319">
        <f t="shared" ca="1" si="2"/>
        <v>2023</v>
      </c>
      <c r="AX61" s="1333"/>
    </row>
    <row r="62" spans="2:50" s="975" customFormat="1" ht="15.75" customHeight="1" x14ac:dyDescent="0.3">
      <c r="B62" s="1357"/>
      <c r="C62" s="1193"/>
      <c r="D62" s="1156"/>
      <c r="E62" s="1757"/>
      <c r="F62" s="1758"/>
      <c r="G62" s="986"/>
      <c r="H62" s="1102" t="s">
        <v>134</v>
      </c>
      <c r="I62" s="987"/>
      <c r="J62" s="1102"/>
      <c r="K62" s="1420">
        <f>'Rates (2)'!D19</f>
        <v>2.5</v>
      </c>
      <c r="L62" s="1421" t="s">
        <v>56</v>
      </c>
      <c r="M62" s="1422">
        <f ca="1">(MAX(750,M61*2.5%)+250)</f>
        <v>1000</v>
      </c>
      <c r="N62" s="1423"/>
      <c r="Q62" s="1165"/>
      <c r="R62" s="1209"/>
      <c r="S62" s="1209"/>
      <c r="T62" s="1209"/>
      <c r="U62" s="1332">
        <f>O57+Q57+W57</f>
        <v>0</v>
      </c>
      <c r="V62" s="1332"/>
      <c r="AM62" s="1153"/>
      <c r="AU62" s="1319">
        <f t="shared" ca="1" si="2"/>
        <v>2024</v>
      </c>
      <c r="AX62" s="1333"/>
    </row>
    <row r="63" spans="2:50" s="975" customFormat="1" ht="15.75" hidden="1" customHeight="1" x14ac:dyDescent="0.35">
      <c r="B63" s="1357"/>
      <c r="C63" s="1193"/>
      <c r="D63" s="1156"/>
      <c r="E63" s="1757"/>
      <c r="F63" s="1758"/>
      <c r="G63" s="986"/>
      <c r="H63" s="989"/>
      <c r="I63" s="987"/>
      <c r="J63" s="989"/>
      <c r="K63" s="986"/>
      <c r="L63" s="1416"/>
      <c r="M63" s="1305"/>
      <c r="N63" s="1423"/>
      <c r="O63" s="1144"/>
      <c r="P63" s="1144"/>
      <c r="Q63" s="1165"/>
      <c r="R63" s="1209"/>
      <c r="S63" s="1209"/>
      <c r="T63" s="1209"/>
      <c r="U63" s="1209"/>
      <c r="V63" s="1209"/>
      <c r="AM63" s="1153"/>
      <c r="AU63" s="1319" t="str">
        <f t="shared" ca="1" si="2"/>
        <v/>
      </c>
      <c r="AX63" s="1333"/>
    </row>
    <row r="64" spans="2:50" s="975" customFormat="1" ht="15.75" customHeight="1" x14ac:dyDescent="0.3">
      <c r="B64" s="1357"/>
      <c r="C64" s="1193"/>
      <c r="D64" s="1156"/>
      <c r="E64" s="1757"/>
      <c r="F64" s="1758"/>
      <c r="G64" s="986"/>
      <c r="H64" s="1102" t="s">
        <v>574</v>
      </c>
      <c r="I64" s="987"/>
      <c r="J64" s="1102"/>
      <c r="K64" s="1462">
        <f ca="1">M64/M61</f>
        <v>0.16949152542372883</v>
      </c>
      <c r="L64" s="1421" t="s">
        <v>56</v>
      </c>
      <c r="M64" s="1305">
        <f>IF(H15&gt;=250000,2000,MIN(2000,ROUNDDOWN((M61*33%)/50,0)*50))</f>
        <v>2000</v>
      </c>
      <c r="N64" s="1423"/>
      <c r="O64" s="1144"/>
      <c r="P64" s="1144"/>
      <c r="Q64" s="1165"/>
      <c r="R64" s="1424">
        <v>1</v>
      </c>
      <c r="S64" s="1209"/>
      <c r="T64" s="1209"/>
      <c r="U64" s="1209"/>
      <c r="V64" s="1209"/>
      <c r="AM64" s="1153"/>
      <c r="AU64" s="1319" t="str">
        <f t="shared" ca="1" si="2"/>
        <v/>
      </c>
      <c r="AX64" s="1333"/>
    </row>
    <row r="65" spans="1:52" s="975" customFormat="1" ht="15.75" customHeight="1" x14ac:dyDescent="0.3">
      <c r="B65" s="1357"/>
      <c r="C65" s="1193"/>
      <c r="D65" s="1156"/>
      <c r="E65" s="1757"/>
      <c r="F65" s="1758"/>
      <c r="G65" s="986"/>
      <c r="H65" s="1102" t="s">
        <v>573</v>
      </c>
      <c r="I65" s="987"/>
      <c r="J65" s="1102"/>
      <c r="K65" s="1461">
        <v>2.5000000000000001E-2</v>
      </c>
      <c r="L65" s="1421"/>
      <c r="M65" s="1305">
        <f ca="1">SUM(M61:M64)*K65</f>
        <v>370</v>
      </c>
      <c r="N65" s="1423"/>
      <c r="O65" s="1144"/>
      <c r="P65" s="1144"/>
      <c r="Q65" s="1165"/>
      <c r="R65" s="1424"/>
      <c r="S65" s="1209"/>
      <c r="T65" s="1209"/>
      <c r="U65" s="1209"/>
      <c r="V65" s="1209"/>
      <c r="AM65" s="1153"/>
      <c r="AU65" s="1319"/>
      <c r="AX65" s="1333"/>
    </row>
    <row r="66" spans="1:52" s="975" customFormat="1" ht="15.5" thickBot="1" x14ac:dyDescent="0.35">
      <c r="B66" s="1357"/>
      <c r="C66" s="1193"/>
      <c r="D66" s="1156"/>
      <c r="E66" s="1757"/>
      <c r="F66" s="1758"/>
      <c r="G66" s="986"/>
      <c r="H66" s="1102" t="s">
        <v>1</v>
      </c>
      <c r="I66" s="987"/>
      <c r="J66" s="1102"/>
      <c r="K66" s="1420">
        <f>'Rates (2)'!D21</f>
        <v>18</v>
      </c>
      <c r="L66" s="1421" t="s">
        <v>56</v>
      </c>
      <c r="M66" s="1305">
        <f ca="1">SUM(M61:M65)*'Rates (2)'!D21%</f>
        <v>2730.5999999999995</v>
      </c>
      <c r="N66" s="1423"/>
      <c r="O66" s="1144"/>
      <c r="P66" s="1144"/>
      <c r="Q66" s="975">
        <f>IF(AND(M8='Administration (2)'!C10,H9='Administration (2)'!C23),0,1)</f>
        <v>1</v>
      </c>
      <c r="R66" s="1403"/>
      <c r="S66" s="1403"/>
      <c r="W66" s="1425"/>
      <c r="AM66" s="1153"/>
      <c r="AU66" s="1319" t="str">
        <f ca="1">IF(AU64&gt;=$AW$46,"",AU64+1)</f>
        <v/>
      </c>
      <c r="AX66" s="1333"/>
    </row>
    <row r="67" spans="1:52" s="975" customFormat="1" ht="25.5" customHeight="1" thickTop="1" thickBot="1" x14ac:dyDescent="0.35">
      <c r="B67" s="1357"/>
      <c r="C67" s="1426">
        <f>'Administration (2)'!I3</f>
        <v>45413</v>
      </c>
      <c r="D67" s="1156"/>
      <c r="E67" s="1759"/>
      <c r="F67" s="1760"/>
      <c r="G67" s="986"/>
      <c r="H67" s="1414" t="s">
        <v>381</v>
      </c>
      <c r="I67" s="987"/>
      <c r="J67" s="1414"/>
      <c r="K67" s="986"/>
      <c r="L67" s="1416"/>
      <c r="M67" s="1427">
        <f ca="1">SUM(M61:M66)*C70*U2</f>
        <v>17900.599999999999</v>
      </c>
      <c r="N67" s="1551"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7" s="1552"/>
      <c r="P67" s="1428"/>
      <c r="Q67" s="1148"/>
      <c r="AM67" s="1153"/>
      <c r="AU67" s="1319" t="str">
        <f t="shared" ca="1" si="2"/>
        <v/>
      </c>
      <c r="AX67" s="1333"/>
    </row>
    <row r="68" spans="1:52" s="975" customFormat="1" ht="12.75" hidden="1" customHeight="1" x14ac:dyDescent="0.25">
      <c r="B68" s="1357"/>
      <c r="C68" s="1148"/>
      <c r="D68" s="1156"/>
      <c r="E68" s="1429"/>
      <c r="F68" s="1429"/>
      <c r="G68" s="1429"/>
      <c r="H68" s="1429"/>
      <c r="I68" s="1429"/>
      <c r="J68" s="1429"/>
      <c r="K68" s="1429"/>
      <c r="L68" s="1429"/>
      <c r="M68" s="1430"/>
      <c r="N68" s="210"/>
      <c r="O68" s="211"/>
      <c r="P68" s="226"/>
      <c r="AM68" s="1153"/>
      <c r="AU68" s="1319" t="str">
        <f t="shared" ca="1" si="2"/>
        <v/>
      </c>
      <c r="AX68" s="1333"/>
    </row>
    <row r="69" spans="1:52" s="975" customFormat="1" ht="12.75" hidden="1" customHeight="1" x14ac:dyDescent="0.3">
      <c r="B69" s="1357"/>
      <c r="C69" s="1148"/>
      <c r="D69" s="1156"/>
      <c r="E69" s="1429"/>
      <c r="F69" s="1429"/>
      <c r="G69" s="1429"/>
      <c r="H69" s="1429"/>
      <c r="I69" s="1429"/>
      <c r="J69" s="1429"/>
      <c r="K69" s="1429"/>
      <c r="L69" s="1429"/>
      <c r="M69" s="1430"/>
      <c r="N69" s="1431"/>
      <c r="O69" s="1432"/>
      <c r="P69" s="1433"/>
      <c r="AM69" s="1153"/>
      <c r="AU69" s="1319" t="str">
        <f t="shared" ca="1" si="2"/>
        <v/>
      </c>
      <c r="AX69" s="1333"/>
    </row>
    <row r="70" spans="1:52" s="975" customFormat="1" ht="15.75" customHeight="1" thickTop="1" x14ac:dyDescent="0.45">
      <c r="B70" s="1357"/>
      <c r="C70" s="1148">
        <f ca="1">IF(C67&gt;F70,1,0)</f>
        <v>1</v>
      </c>
      <c r="D70" s="1156"/>
      <c r="E70" s="1429"/>
      <c r="F70" s="1434">
        <f ca="1">TODAY()</f>
        <v>45346</v>
      </c>
      <c r="G70" s="1434"/>
      <c r="H70" s="1429"/>
      <c r="I70" s="1429"/>
      <c r="J70" s="1429"/>
      <c r="K70" s="1429"/>
      <c r="L70" s="1429"/>
      <c r="M70" s="1547"/>
      <c r="N70" s="691"/>
      <c r="O70" s="1435"/>
      <c r="P70" s="1436"/>
      <c r="Q70" s="1148"/>
      <c r="AM70" s="1153"/>
      <c r="AU70" s="1319" t="str">
        <f t="shared" ca="1" si="2"/>
        <v/>
      </c>
      <c r="AX70" s="1333"/>
    </row>
    <row r="71" spans="1:52" s="975" customFormat="1" ht="6.75" customHeight="1" x14ac:dyDescent="0.45">
      <c r="B71" s="1357"/>
      <c r="C71" s="1193"/>
      <c r="D71" s="1156"/>
      <c r="E71" s="1140"/>
      <c r="F71" s="1750" t="str">
        <f>IF(O71=1,"Hiring",IF(O71=3,"Rent A Vehicle",IF(O71=0,"Private")))</f>
        <v>Private</v>
      </c>
      <c r="G71" s="1750"/>
      <c r="H71" s="1750"/>
      <c r="I71" s="1140"/>
      <c r="J71" s="1140"/>
      <c r="K71" s="1140"/>
      <c r="L71" s="1140"/>
      <c r="M71" s="1547"/>
      <c r="N71" s="691"/>
      <c r="O71" s="1144">
        <f>Q45+Q44</f>
        <v>0</v>
      </c>
      <c r="P71" s="1144"/>
      <c r="Q71" s="975" t="s">
        <v>41</v>
      </c>
      <c r="R71" s="975" t="s">
        <v>7</v>
      </c>
      <c r="T71" s="975" t="s">
        <v>45</v>
      </c>
      <c r="AM71" s="1153"/>
      <c r="AU71" s="1319" t="str">
        <f t="shared" ca="1" si="2"/>
        <v/>
      </c>
      <c r="AX71" s="1333"/>
    </row>
    <row r="72" spans="1:52" s="975" customFormat="1" ht="13.5" customHeight="1" thickBot="1" x14ac:dyDescent="0.35">
      <c r="B72" s="1357"/>
      <c r="C72" s="1193"/>
      <c r="D72" s="1437"/>
      <c r="E72" s="1438"/>
      <c r="F72" s="1751"/>
      <c r="G72" s="1751"/>
      <c r="H72" s="1751"/>
      <c r="I72" s="1438"/>
      <c r="J72" s="1438"/>
      <c r="K72" s="1438"/>
      <c r="L72" s="1438"/>
      <c r="M72" s="1439"/>
      <c r="N72" s="1440"/>
      <c r="O72" s="1441"/>
      <c r="P72" s="1433"/>
      <c r="AM72" s="1153"/>
      <c r="AU72" s="1319" t="str">
        <f t="shared" ca="1" si="2"/>
        <v/>
      </c>
      <c r="AX72" s="1333"/>
    </row>
    <row r="73" spans="1:52" s="1444" customFormat="1" ht="14.5" hidden="1" thickTop="1" x14ac:dyDescent="0.3">
      <c r="A73" s="1153"/>
      <c r="B73" s="1442"/>
      <c r="C73" s="1153"/>
      <c r="D73" s="1443" t="s">
        <v>15</v>
      </c>
      <c r="E73" s="1153"/>
      <c r="F73" s="1295"/>
      <c r="G73" s="1295"/>
      <c r="H73" s="1295"/>
      <c r="I73" s="1295"/>
      <c r="J73" s="1295"/>
      <c r="K73" s="1295"/>
      <c r="L73" s="1153"/>
      <c r="M73" s="1153"/>
      <c r="N73" s="976"/>
      <c r="O73" s="1441"/>
      <c r="P73" s="1433"/>
      <c r="Q73" s="975"/>
      <c r="R73" s="975"/>
      <c r="S73" s="975"/>
      <c r="T73" s="975"/>
      <c r="U73" s="975"/>
      <c r="V73" s="975"/>
      <c r="W73" s="975"/>
      <c r="X73" s="975"/>
      <c r="Y73" s="975"/>
      <c r="Z73" s="975"/>
      <c r="AA73" s="975"/>
      <c r="AB73" s="975"/>
      <c r="AC73" s="975"/>
      <c r="AD73" s="975"/>
      <c r="AE73" s="975"/>
      <c r="AF73" s="975"/>
      <c r="AG73" s="975"/>
      <c r="AH73" s="975"/>
      <c r="AI73" s="975"/>
      <c r="AJ73" s="975"/>
      <c r="AK73" s="975"/>
      <c r="AL73" s="975"/>
      <c r="AM73" s="1153"/>
      <c r="AN73" s="975"/>
      <c r="AO73" s="975"/>
      <c r="AP73" s="975"/>
      <c r="AQ73" s="975"/>
      <c r="AR73" s="975"/>
      <c r="AS73" s="975"/>
      <c r="AT73" s="975"/>
      <c r="AU73" s="1319" t="str">
        <f t="shared" ca="1" si="2"/>
        <v/>
      </c>
      <c r="AV73" s="975"/>
      <c r="AW73" s="975"/>
      <c r="AX73" s="1333"/>
      <c r="AY73" s="975"/>
      <c r="AZ73" s="975"/>
    </row>
    <row r="74" spans="1:52" s="1444" customFormat="1" ht="22.5" hidden="1" customHeight="1" x14ac:dyDescent="0.25">
      <c r="A74" s="1153"/>
      <c r="B74" s="1445"/>
      <c r="C74" s="1153"/>
      <c r="D74" s="975"/>
      <c r="E74" s="975"/>
      <c r="F74" s="975"/>
      <c r="G74" s="975"/>
      <c r="H74" s="975"/>
      <c r="I74" s="975"/>
      <c r="J74" s="975"/>
      <c r="K74" s="975"/>
      <c r="L74" s="975"/>
      <c r="M74" s="1319"/>
      <c r="N74" s="1319"/>
      <c r="O74" s="1319"/>
      <c r="P74" s="1319"/>
      <c r="Q74" s="1319"/>
      <c r="R74" s="1319"/>
      <c r="S74" s="1319"/>
      <c r="T74" s="1319"/>
      <c r="U74" s="975"/>
      <c r="V74" s="975"/>
      <c r="W74" s="975"/>
      <c r="X74" s="975"/>
      <c r="Y74" s="975"/>
      <c r="Z74" s="975"/>
      <c r="AA74" s="975"/>
      <c r="AB74" s="975"/>
      <c r="AC74" s="975"/>
      <c r="AD74" s="975"/>
      <c r="AE74" s="975"/>
      <c r="AF74" s="975"/>
      <c r="AG74" s="975"/>
      <c r="AH74" s="975"/>
      <c r="AI74" s="975"/>
      <c r="AJ74" s="975"/>
      <c r="AK74" s="975"/>
      <c r="AL74" s="975"/>
      <c r="AM74" s="1153"/>
      <c r="AN74" s="975"/>
      <c r="AO74" s="975"/>
      <c r="AP74" s="975"/>
      <c r="AQ74" s="975"/>
      <c r="AR74" s="975"/>
      <c r="AS74" s="975"/>
      <c r="AT74" s="975"/>
      <c r="AU74" s="1319" t="str">
        <f t="shared" ca="1" si="2"/>
        <v/>
      </c>
      <c r="AV74" s="975"/>
      <c r="AW74" s="975"/>
      <c r="AY74" s="975"/>
      <c r="AZ74" s="975"/>
    </row>
    <row r="75" spans="1:52" s="1444" customFormat="1" ht="14.5" hidden="1" thickTop="1" x14ac:dyDescent="0.3">
      <c r="A75" s="1153"/>
      <c r="B75" s="1445"/>
      <c r="C75" s="1153"/>
      <c r="D75" s="975" t="s">
        <v>78</v>
      </c>
      <c r="E75" s="975" t="s">
        <v>78</v>
      </c>
      <c r="F75" s="975"/>
      <c r="G75" s="975"/>
      <c r="H75" s="975"/>
      <c r="I75" s="975"/>
      <c r="J75" s="975"/>
      <c r="K75" s="975"/>
      <c r="L75" s="975"/>
      <c r="M75" s="1319"/>
      <c r="N75" s="1319"/>
      <c r="O75" s="1319"/>
      <c r="P75" s="1319"/>
      <c r="Q75" s="1319"/>
      <c r="R75" s="1319"/>
      <c r="S75" s="1319"/>
      <c r="T75" s="1319"/>
      <c r="U75" s="975"/>
      <c r="V75" s="975"/>
      <c r="W75" s="975"/>
      <c r="X75" s="975"/>
      <c r="Y75" s="975"/>
      <c r="Z75" s="975"/>
      <c r="AA75" s="975"/>
      <c r="AB75" s="975"/>
      <c r="AC75" s="975"/>
      <c r="AD75" s="975"/>
      <c r="AE75" s="975"/>
      <c r="AF75" s="975"/>
      <c r="AG75" s="975"/>
      <c r="AH75" s="975"/>
      <c r="AI75" s="975"/>
      <c r="AJ75" s="975"/>
      <c r="AK75" s="975"/>
      <c r="AL75" s="975"/>
      <c r="AM75" s="1153"/>
      <c r="AN75" s="975"/>
      <c r="AO75" s="975"/>
      <c r="AP75" s="975"/>
      <c r="AQ75" s="975"/>
      <c r="AR75" s="975"/>
      <c r="AS75" s="975"/>
      <c r="AT75" s="975"/>
      <c r="AU75" s="1319" t="str">
        <f t="shared" ca="1" si="2"/>
        <v/>
      </c>
      <c r="AV75" s="975"/>
      <c r="AW75" s="975"/>
      <c r="AX75" s="1446"/>
      <c r="AY75" s="975"/>
      <c r="AZ75" s="975"/>
    </row>
    <row r="76" spans="1:52" s="1444" customFormat="1" ht="14.5" hidden="1" thickTop="1" x14ac:dyDescent="0.3">
      <c r="A76" s="1153"/>
      <c r="B76" s="1445"/>
      <c r="C76" s="1153"/>
      <c r="D76" s="975" t="s">
        <v>114</v>
      </c>
      <c r="E76" s="975" t="s">
        <v>114</v>
      </c>
      <c r="F76" s="975"/>
      <c r="G76" s="975"/>
      <c r="H76" s="975"/>
      <c r="I76" s="975"/>
      <c r="J76" s="975"/>
      <c r="K76" s="975"/>
      <c r="L76" s="975"/>
      <c r="M76" s="1319"/>
      <c r="N76" s="1170"/>
      <c r="O76" s="1170"/>
      <c r="P76" s="1170"/>
      <c r="Q76" s="1170"/>
      <c r="R76" s="1170"/>
      <c r="S76" s="1170"/>
      <c r="T76" s="1170"/>
      <c r="U76" s="975"/>
      <c r="V76" s="975"/>
      <c r="W76" s="975"/>
      <c r="X76" s="975"/>
      <c r="Y76" s="975"/>
      <c r="Z76" s="975"/>
      <c r="AA76" s="975"/>
      <c r="AB76" s="975"/>
      <c r="AC76" s="975"/>
      <c r="AD76" s="975"/>
      <c r="AE76" s="975"/>
      <c r="AF76" s="975"/>
      <c r="AG76" s="975"/>
      <c r="AH76" s="975"/>
      <c r="AI76" s="975"/>
      <c r="AJ76" s="975"/>
      <c r="AK76" s="975"/>
      <c r="AL76" s="975"/>
      <c r="AM76" s="1153"/>
      <c r="AN76" s="975"/>
      <c r="AO76" s="975"/>
      <c r="AP76" s="975"/>
      <c r="AQ76" s="975"/>
      <c r="AR76" s="975"/>
      <c r="AS76" s="975"/>
      <c r="AT76" s="975"/>
      <c r="AU76" s="1319" t="str">
        <f t="shared" ca="1" si="2"/>
        <v/>
      </c>
      <c r="AV76" s="975"/>
      <c r="AW76" s="975"/>
      <c r="AX76" s="1446"/>
      <c r="AY76" s="975"/>
      <c r="AZ76" s="975"/>
    </row>
    <row r="77" spans="1:52" s="1444" customFormat="1" ht="14.5" hidden="1" thickTop="1" x14ac:dyDescent="0.3">
      <c r="A77" s="1153"/>
      <c r="B77" s="1445"/>
      <c r="C77" s="1153"/>
      <c r="D77" s="975">
        <v>1</v>
      </c>
      <c r="E77" s="975"/>
      <c r="F77" s="975"/>
      <c r="G77" s="975"/>
      <c r="H77" s="975"/>
      <c r="I77" s="975"/>
      <c r="J77" s="975"/>
      <c r="K77" s="975"/>
      <c r="L77" s="975"/>
      <c r="M77" s="1319"/>
      <c r="N77" s="1170"/>
      <c r="O77" s="1447" t="s">
        <v>223</v>
      </c>
      <c r="P77" s="1170"/>
      <c r="Q77" s="1170"/>
      <c r="R77" s="1170"/>
      <c r="S77" s="1170"/>
      <c r="T77" s="1170"/>
      <c r="U77" s="975"/>
      <c r="V77" s="975"/>
      <c r="W77" s="975"/>
      <c r="X77" s="975"/>
      <c r="Y77" s="975"/>
      <c r="Z77" s="975"/>
      <c r="AA77" s="975"/>
      <c r="AB77" s="975"/>
      <c r="AC77" s="975"/>
      <c r="AD77" s="975"/>
      <c r="AE77" s="975"/>
      <c r="AF77" s="975"/>
      <c r="AG77" s="975"/>
      <c r="AH77" s="975"/>
      <c r="AI77" s="975"/>
      <c r="AJ77" s="975"/>
      <c r="AK77" s="975"/>
      <c r="AL77" s="975"/>
      <c r="AM77" s="1153"/>
      <c r="AN77" s="975"/>
      <c r="AO77" s="975"/>
      <c r="AP77" s="975"/>
      <c r="AQ77" s="975"/>
      <c r="AR77" s="975"/>
      <c r="AS77" s="975"/>
      <c r="AT77" s="975"/>
      <c r="AU77" s="1319" t="str">
        <f t="shared" ca="1" si="2"/>
        <v/>
      </c>
      <c r="AV77" s="975"/>
      <c r="AW77" s="975"/>
      <c r="AX77" s="1446"/>
      <c r="AY77" s="975"/>
      <c r="AZ77" s="975"/>
    </row>
    <row r="78" spans="1:52" s="1444" customFormat="1" ht="25.5" hidden="1" customHeight="1" x14ac:dyDescent="0.3">
      <c r="A78" s="1153"/>
      <c r="B78" s="1445"/>
      <c r="C78" s="1153"/>
      <c r="D78" s="975" t="s">
        <v>78</v>
      </c>
      <c r="E78" s="975" t="s">
        <v>78</v>
      </c>
      <c r="F78" s="975"/>
      <c r="G78" s="975"/>
      <c r="H78" s="975"/>
      <c r="I78" s="975"/>
      <c r="J78" s="975"/>
      <c r="K78" s="975"/>
      <c r="L78" s="975"/>
      <c r="M78" s="1319"/>
      <c r="N78" s="1170"/>
      <c r="O78" s="1170" t="s">
        <v>224</v>
      </c>
      <c r="P78" s="1170"/>
      <c r="Q78" s="1170"/>
      <c r="R78" s="1170">
        <f ca="1">IF(AND(Y15&gt;10,Y15&lt;15),'Rates (2)'!K59,IF(AND(Y15&gt;=15,Y15&lt;20),'Rates (2)'!K60,IF(Y15&lt;11,0,'MC Working'!I20)))</f>
        <v>0</v>
      </c>
      <c r="S78" s="1170"/>
      <c r="T78" s="1170"/>
      <c r="U78" s="975"/>
      <c r="V78" s="975"/>
      <c r="W78" s="975"/>
      <c r="X78" s="975"/>
      <c r="Y78" s="975"/>
      <c r="Z78" s="975"/>
      <c r="AA78" s="975"/>
      <c r="AB78" s="975"/>
      <c r="AC78" s="975"/>
      <c r="AD78" s="975"/>
      <c r="AE78" s="975"/>
      <c r="AF78" s="975"/>
      <c r="AG78" s="975"/>
      <c r="AH78" s="975"/>
      <c r="AI78" s="975"/>
      <c r="AJ78" s="975"/>
      <c r="AK78" s="975"/>
      <c r="AL78" s="975"/>
      <c r="AM78" s="1153"/>
      <c r="AN78" s="975"/>
      <c r="AO78" s="975"/>
      <c r="AP78" s="975"/>
      <c r="AQ78" s="975"/>
      <c r="AR78" s="975"/>
      <c r="AS78" s="975"/>
      <c r="AT78" s="975"/>
      <c r="AU78" s="1319" t="str">
        <f t="shared" ca="1" si="2"/>
        <v/>
      </c>
      <c r="AV78" s="975"/>
      <c r="AW78" s="975"/>
      <c r="AX78" s="1446"/>
      <c r="AY78" s="975"/>
      <c r="AZ78" s="975"/>
    </row>
    <row r="79" spans="1:52" s="1444" customFormat="1" ht="14.5" hidden="1" thickTop="1" x14ac:dyDescent="0.3">
      <c r="A79" s="1153"/>
      <c r="B79" s="1445"/>
      <c r="C79" s="1153"/>
      <c r="D79" s="975" t="s">
        <v>114</v>
      </c>
      <c r="E79" s="975" t="s">
        <v>114</v>
      </c>
      <c r="F79" s="975"/>
      <c r="G79" s="975"/>
      <c r="H79" s="975"/>
      <c r="I79" s="975"/>
      <c r="J79" s="975"/>
      <c r="K79" s="975"/>
      <c r="L79" s="975"/>
      <c r="M79" s="1319"/>
      <c r="N79" s="1170"/>
      <c r="O79" s="1170" t="s">
        <v>41</v>
      </c>
      <c r="P79" s="1170"/>
      <c r="Q79" s="1170"/>
      <c r="R79" s="1170">
        <f>IF(OR(H9='Administration (2)'!C21,'MC Working'!H9='Administration (2)'!C22),'Rates (2)'!K61,0)</f>
        <v>0</v>
      </c>
      <c r="S79" s="1170"/>
      <c r="T79" s="1170"/>
      <c r="U79" s="975"/>
      <c r="V79" s="975"/>
      <c r="W79" s="975"/>
      <c r="X79" s="975"/>
      <c r="Y79" s="975"/>
      <c r="Z79" s="975"/>
      <c r="AA79" s="975"/>
      <c r="AB79" s="975"/>
      <c r="AC79" s="975"/>
      <c r="AD79" s="975"/>
      <c r="AE79" s="975"/>
      <c r="AF79" s="975"/>
      <c r="AG79" s="975"/>
      <c r="AH79" s="975"/>
      <c r="AI79" s="975"/>
      <c r="AJ79" s="975"/>
      <c r="AK79" s="975"/>
      <c r="AL79" s="975"/>
      <c r="AM79" s="1153"/>
      <c r="AN79" s="975"/>
      <c r="AO79" s="975"/>
      <c r="AP79" s="975"/>
      <c r="AQ79" s="975"/>
      <c r="AR79" s="975"/>
      <c r="AS79" s="975"/>
      <c r="AT79" s="975"/>
      <c r="AU79" s="1319" t="str">
        <f t="shared" ca="1" si="2"/>
        <v/>
      </c>
      <c r="AV79" s="975"/>
      <c r="AW79" s="975"/>
      <c r="AX79" s="1446"/>
      <c r="AY79" s="975"/>
      <c r="AZ79" s="975"/>
    </row>
    <row r="80" spans="1:52" s="1444" customFormat="1" ht="14.5" hidden="1" thickTop="1" x14ac:dyDescent="0.3">
      <c r="A80" s="1153"/>
      <c r="B80" s="1445"/>
      <c r="C80" s="1153"/>
      <c r="D80" s="975"/>
      <c r="E80" s="975"/>
      <c r="F80" s="975"/>
      <c r="G80" s="975"/>
      <c r="H80" s="975"/>
      <c r="I80" s="975"/>
      <c r="J80" s="975"/>
      <c r="K80" s="975"/>
      <c r="L80" s="975"/>
      <c r="M80" s="1319"/>
      <c r="N80" s="1170"/>
      <c r="O80" s="1170" t="s">
        <v>42</v>
      </c>
      <c r="P80" s="1170"/>
      <c r="Q80" s="1170"/>
      <c r="R80" s="1170">
        <f>IF(H9="Rent A vehicle",'Rates (2)'!K62,0)</f>
        <v>0</v>
      </c>
      <c r="S80" s="1170"/>
      <c r="T80" s="1170"/>
      <c r="U80" s="975"/>
      <c r="V80" s="975"/>
      <c r="W80" s="975"/>
      <c r="X80" s="975"/>
      <c r="Y80" s="975"/>
      <c r="Z80" s="975"/>
      <c r="AA80" s="975"/>
      <c r="AB80" s="975"/>
      <c r="AC80" s="975"/>
      <c r="AD80" s="975"/>
      <c r="AE80" s="975"/>
      <c r="AF80" s="975"/>
      <c r="AG80" s="975"/>
      <c r="AH80" s="975"/>
      <c r="AI80" s="975"/>
      <c r="AJ80" s="975"/>
      <c r="AK80" s="975"/>
      <c r="AL80" s="975"/>
      <c r="AM80" s="1153"/>
      <c r="AN80" s="975"/>
      <c r="AO80" s="975"/>
      <c r="AP80" s="975"/>
      <c r="AQ80" s="975"/>
      <c r="AR80" s="975"/>
      <c r="AS80" s="975"/>
      <c r="AT80" s="975"/>
      <c r="AU80" s="1319" t="str">
        <f t="shared" ca="1" si="2"/>
        <v/>
      </c>
      <c r="AV80" s="975"/>
      <c r="AW80" s="975"/>
      <c r="AX80" s="1446"/>
      <c r="AY80" s="975"/>
      <c r="AZ80" s="975"/>
    </row>
    <row r="81" spans="1:52" s="1444" customFormat="1" ht="14.5" hidden="1" thickTop="1" x14ac:dyDescent="0.3">
      <c r="A81" s="1153"/>
      <c r="B81" s="1445"/>
      <c r="C81" s="1153"/>
      <c r="D81" s="975" t="s">
        <v>78</v>
      </c>
      <c r="E81" s="975" t="s">
        <v>78</v>
      </c>
      <c r="F81" s="975"/>
      <c r="G81" s="975"/>
      <c r="H81" s="975"/>
      <c r="I81" s="975"/>
      <c r="J81" s="975"/>
      <c r="K81" s="975"/>
      <c r="L81" s="975"/>
      <c r="M81" s="1319"/>
      <c r="N81" s="1170"/>
      <c r="O81" s="1266" t="s">
        <v>277</v>
      </c>
      <c r="P81" s="1170"/>
      <c r="Q81" s="1170"/>
      <c r="R81" s="1448">
        <f ca="1">SUM(R78:R80)</f>
        <v>0</v>
      </c>
      <c r="S81" s="1170"/>
      <c r="T81" s="1170"/>
      <c r="U81" s="975"/>
      <c r="V81" s="975"/>
      <c r="W81" s="975"/>
      <c r="X81" s="975"/>
      <c r="Y81" s="975"/>
      <c r="Z81" s="975"/>
      <c r="AA81" s="975"/>
      <c r="AB81" s="975"/>
      <c r="AC81" s="975"/>
      <c r="AD81" s="975"/>
      <c r="AE81" s="975"/>
      <c r="AF81" s="975"/>
      <c r="AG81" s="975"/>
      <c r="AH81" s="975"/>
      <c r="AI81" s="975"/>
      <c r="AJ81" s="975"/>
      <c r="AK81" s="975"/>
      <c r="AL81" s="975"/>
      <c r="AM81" s="1153"/>
      <c r="AN81" s="975"/>
      <c r="AO81" s="975"/>
      <c r="AP81" s="975"/>
      <c r="AQ81" s="975"/>
      <c r="AR81" s="975"/>
      <c r="AS81" s="975"/>
      <c r="AT81" s="975"/>
      <c r="AU81" s="1319" t="str">
        <f t="shared" ca="1" si="2"/>
        <v/>
      </c>
      <c r="AV81" s="975"/>
      <c r="AW81" s="975"/>
      <c r="AX81" s="1446"/>
      <c r="AY81" s="975"/>
      <c r="AZ81" s="975"/>
    </row>
    <row r="82" spans="1:52" s="1444" customFormat="1" ht="14.5" hidden="1" thickTop="1" x14ac:dyDescent="0.3">
      <c r="A82" s="1153"/>
      <c r="B82" s="1445"/>
      <c r="C82" s="1153"/>
      <c r="D82" s="975" t="s">
        <v>114</v>
      </c>
      <c r="E82" s="975" t="s">
        <v>114</v>
      </c>
      <c r="F82" s="975"/>
      <c r="G82" s="975"/>
      <c r="H82" s="975"/>
      <c r="I82" s="975"/>
      <c r="J82" s="975"/>
      <c r="K82" s="975"/>
      <c r="L82" s="975"/>
      <c r="M82" s="1319"/>
      <c r="N82" s="1170"/>
      <c r="O82" s="1170"/>
      <c r="P82" s="1170"/>
      <c r="Q82" s="1170"/>
      <c r="R82" s="1170"/>
      <c r="S82" s="1170"/>
      <c r="T82" s="1170"/>
      <c r="U82" s="975"/>
      <c r="V82" s="975"/>
      <c r="W82" s="975"/>
      <c r="X82" s="975"/>
      <c r="Y82" s="975"/>
      <c r="Z82" s="975"/>
      <c r="AA82" s="975"/>
      <c r="AB82" s="975"/>
      <c r="AC82" s="975"/>
      <c r="AD82" s="975"/>
      <c r="AE82" s="975"/>
      <c r="AF82" s="975"/>
      <c r="AG82" s="975"/>
      <c r="AH82" s="975"/>
      <c r="AI82" s="975"/>
      <c r="AJ82" s="975"/>
      <c r="AK82" s="975"/>
      <c r="AL82" s="975"/>
      <c r="AM82" s="1153"/>
      <c r="AN82" s="975"/>
      <c r="AO82" s="975"/>
      <c r="AP82" s="975"/>
      <c r="AQ82" s="975"/>
      <c r="AR82" s="975"/>
      <c r="AS82" s="975"/>
      <c r="AT82" s="975"/>
      <c r="AU82" s="1319" t="str">
        <f t="shared" ca="1" si="2"/>
        <v/>
      </c>
      <c r="AV82" s="975"/>
      <c r="AW82" s="975"/>
      <c r="AX82" s="1446"/>
      <c r="AY82" s="975"/>
      <c r="AZ82" s="975"/>
    </row>
    <row r="83" spans="1:52" s="1444" customFormat="1" ht="14.5" hidden="1" thickTop="1" x14ac:dyDescent="0.3">
      <c r="A83" s="1153"/>
      <c r="B83" s="1445"/>
      <c r="C83" s="1153"/>
      <c r="D83" s="975"/>
      <c r="E83" s="975"/>
      <c r="F83" s="975"/>
      <c r="G83" s="975"/>
      <c r="H83" s="975"/>
      <c r="I83" s="975"/>
      <c r="J83" s="975"/>
      <c r="K83" s="975"/>
      <c r="L83" s="975"/>
      <c r="M83" s="1319"/>
      <c r="N83" s="1170"/>
      <c r="O83" s="1170" t="s">
        <v>60</v>
      </c>
      <c r="P83" s="1170"/>
      <c r="Q83" s="1170"/>
      <c r="R83" s="1170">
        <f>IF(M8='Administration (2)'!C13,'Rates (2)'!K66,IF('MC Working'!M8='Administration (2)'!C14,'Rates (2)'!K67,0))</f>
        <v>2500</v>
      </c>
      <c r="S83" s="1170"/>
      <c r="T83" s="1170"/>
      <c r="U83" s="975"/>
      <c r="V83" s="975"/>
      <c r="W83" s="975"/>
      <c r="X83" s="975"/>
      <c r="Y83" s="975"/>
      <c r="Z83" s="975"/>
      <c r="AA83" s="975"/>
      <c r="AB83" s="975"/>
      <c r="AC83" s="975"/>
      <c r="AD83" s="975"/>
      <c r="AE83" s="975"/>
      <c r="AF83" s="975"/>
      <c r="AG83" s="975"/>
      <c r="AH83" s="975"/>
      <c r="AI83" s="975"/>
      <c r="AJ83" s="975"/>
      <c r="AK83" s="975"/>
      <c r="AL83" s="975"/>
      <c r="AM83" s="1153"/>
      <c r="AN83" s="975"/>
      <c r="AO83" s="975"/>
      <c r="AP83" s="975"/>
      <c r="AQ83" s="975"/>
      <c r="AR83" s="975"/>
      <c r="AS83" s="975"/>
      <c r="AT83" s="975"/>
      <c r="AU83" s="1319" t="str">
        <f t="shared" ca="1" si="2"/>
        <v/>
      </c>
      <c r="AV83" s="975"/>
      <c r="AW83" s="975"/>
      <c r="AX83" s="1446"/>
      <c r="AY83" s="975"/>
      <c r="AZ83" s="975"/>
    </row>
    <row r="84" spans="1:52" s="1444" customFormat="1" ht="14.5" hidden="1" thickTop="1" x14ac:dyDescent="0.3">
      <c r="A84" s="1153"/>
      <c r="B84" s="1445"/>
      <c r="C84" s="1153"/>
      <c r="D84" s="975"/>
      <c r="E84" s="975"/>
      <c r="F84" s="975"/>
      <c r="G84" s="975"/>
      <c r="H84" s="975"/>
      <c r="I84" s="975"/>
      <c r="J84" s="975"/>
      <c r="K84" s="975"/>
      <c r="L84" s="975"/>
      <c r="M84" s="1319"/>
      <c r="N84" s="1170"/>
      <c r="O84" s="1170" t="s">
        <v>210</v>
      </c>
      <c r="P84" s="1170"/>
      <c r="Q84" s="1170"/>
      <c r="R84" s="1170">
        <f>IF(M8='Administration (2)'!C9,'Rates (2)'!K69,0)</f>
        <v>0</v>
      </c>
      <c r="S84" s="1170"/>
      <c r="T84" s="1170"/>
      <c r="U84" s="975"/>
      <c r="V84" s="975"/>
      <c r="W84" s="975"/>
      <c r="X84" s="975"/>
      <c r="Y84" s="975"/>
      <c r="Z84" s="975"/>
      <c r="AA84" s="975"/>
      <c r="AB84" s="975"/>
      <c r="AC84" s="975"/>
      <c r="AD84" s="975"/>
      <c r="AE84" s="975"/>
      <c r="AF84" s="975"/>
      <c r="AG84" s="975"/>
      <c r="AH84" s="975"/>
      <c r="AI84" s="975"/>
      <c r="AJ84" s="975"/>
      <c r="AK84" s="975"/>
      <c r="AL84" s="975"/>
      <c r="AM84" s="1153"/>
      <c r="AN84" s="975"/>
      <c r="AO84" s="975"/>
      <c r="AP84" s="975"/>
      <c r="AQ84" s="975"/>
      <c r="AR84" s="975"/>
      <c r="AS84" s="975"/>
      <c r="AT84" s="975"/>
      <c r="AU84" s="1319" t="str">
        <f t="shared" ca="1" si="2"/>
        <v/>
      </c>
      <c r="AV84" s="975"/>
      <c r="AW84" s="975"/>
      <c r="AX84" s="1446"/>
      <c r="AY84" s="975"/>
      <c r="AZ84" s="975"/>
    </row>
    <row r="85" spans="1:52" s="1444" customFormat="1" ht="14.5" hidden="1" thickTop="1" x14ac:dyDescent="0.3">
      <c r="A85" s="1153"/>
      <c r="B85" s="1445"/>
      <c r="C85" s="1153"/>
      <c r="D85" s="975"/>
      <c r="E85" s="975"/>
      <c r="F85" s="975"/>
      <c r="G85" s="975"/>
      <c r="H85" s="975"/>
      <c r="I85" s="975"/>
      <c r="J85" s="975"/>
      <c r="K85" s="975"/>
      <c r="L85" s="975"/>
      <c r="M85" s="1319"/>
      <c r="N85" s="1170"/>
      <c r="O85" s="1170" t="s">
        <v>272</v>
      </c>
      <c r="P85" s="1170"/>
      <c r="Q85" s="1170"/>
      <c r="R85" s="1170">
        <f>IF(M8='Administration (2)'!C7,'Rates (2)'!K70,0)</f>
        <v>0</v>
      </c>
      <c r="S85" s="1170"/>
      <c r="T85" s="1170"/>
      <c r="U85" s="975"/>
      <c r="V85" s="975"/>
      <c r="W85" s="975"/>
      <c r="X85" s="975"/>
      <c r="Y85" s="975"/>
      <c r="Z85" s="975"/>
      <c r="AA85" s="975"/>
      <c r="AB85" s="975"/>
      <c r="AC85" s="975"/>
      <c r="AD85" s="975"/>
      <c r="AE85" s="975"/>
      <c r="AF85" s="975"/>
      <c r="AG85" s="975"/>
      <c r="AH85" s="975"/>
      <c r="AI85" s="975"/>
      <c r="AJ85" s="975"/>
      <c r="AK85" s="975"/>
      <c r="AL85" s="975"/>
      <c r="AM85" s="1153"/>
      <c r="AN85" s="975"/>
      <c r="AO85" s="975"/>
      <c r="AP85" s="975"/>
      <c r="AQ85" s="975"/>
      <c r="AR85" s="975"/>
      <c r="AS85" s="975"/>
      <c r="AT85" s="975"/>
      <c r="AU85" s="1319" t="str">
        <f t="shared" ca="1" si="2"/>
        <v/>
      </c>
      <c r="AV85" s="975"/>
      <c r="AW85" s="975"/>
      <c r="AX85" s="1446"/>
      <c r="AY85" s="975"/>
      <c r="AZ85" s="975"/>
    </row>
    <row r="86" spans="1:52" s="1444" customFormat="1" ht="14.5" hidden="1" thickTop="1" x14ac:dyDescent="0.3">
      <c r="A86" s="1153"/>
      <c r="B86" s="1445"/>
      <c r="C86" s="1153"/>
      <c r="D86" s="975"/>
      <c r="E86" s="975"/>
      <c r="F86" s="975"/>
      <c r="G86" s="975"/>
      <c r="H86" s="975"/>
      <c r="I86" s="975"/>
      <c r="J86" s="975"/>
      <c r="K86" s="975"/>
      <c r="L86" s="975"/>
      <c r="M86" s="1319"/>
      <c r="N86" s="1170"/>
      <c r="O86" s="1170" t="s">
        <v>273</v>
      </c>
      <c r="P86" s="1170"/>
      <c r="Q86" s="1170"/>
      <c r="R86" s="1170">
        <f>IF(M8='Administration (2)'!C8,'Rates (2)'!K71,0)</f>
        <v>0</v>
      </c>
      <c r="S86" s="1170"/>
      <c r="T86" s="1170"/>
      <c r="U86" s="975"/>
      <c r="V86" s="975"/>
      <c r="W86" s="975"/>
      <c r="X86" s="975"/>
      <c r="Y86" s="975"/>
      <c r="Z86" s="975"/>
      <c r="AA86" s="975"/>
      <c r="AB86" s="975"/>
      <c r="AC86" s="975"/>
      <c r="AD86" s="975"/>
      <c r="AE86" s="975"/>
      <c r="AF86" s="975"/>
      <c r="AG86" s="975"/>
      <c r="AH86" s="975"/>
      <c r="AI86" s="975"/>
      <c r="AJ86" s="975"/>
      <c r="AK86" s="975"/>
      <c r="AL86" s="975"/>
      <c r="AM86" s="1153"/>
      <c r="AN86" s="975"/>
      <c r="AO86" s="975"/>
      <c r="AP86" s="975"/>
      <c r="AQ86" s="975"/>
      <c r="AR86" s="975"/>
      <c r="AS86" s="975"/>
      <c r="AT86" s="975"/>
      <c r="AU86" s="1319" t="e">
        <f t="shared" ref="AU86:AU106" ca="1" si="3">AU85+1</f>
        <v>#VALUE!</v>
      </c>
      <c r="AV86" s="975"/>
      <c r="AW86" s="975"/>
      <c r="AX86" s="1446"/>
      <c r="AY86" s="975"/>
      <c r="AZ86" s="975"/>
    </row>
    <row r="87" spans="1:52" s="1444" customFormat="1" ht="14.5" hidden="1" thickTop="1" x14ac:dyDescent="0.3">
      <c r="A87" s="1153"/>
      <c r="B87" s="1445"/>
      <c r="C87" s="1153"/>
      <c r="D87" s="975"/>
      <c r="E87" s="975"/>
      <c r="F87" s="975"/>
      <c r="G87" s="975"/>
      <c r="H87" s="975"/>
      <c r="I87" s="975"/>
      <c r="J87" s="975"/>
      <c r="K87" s="975"/>
      <c r="L87" s="975"/>
      <c r="M87" s="1319"/>
      <c r="N87" s="1170"/>
      <c r="O87" s="1170" t="s">
        <v>274</v>
      </c>
      <c r="P87" s="1170"/>
      <c r="Q87" s="1170"/>
      <c r="R87" s="1170">
        <f>IF(M8='Administration (2)'!C16,'Rates (2)'!K72,0)</f>
        <v>0</v>
      </c>
      <c r="S87" s="1170"/>
      <c r="T87" s="1170"/>
      <c r="U87" s="975"/>
      <c r="V87" s="975"/>
      <c r="W87" s="975"/>
      <c r="X87" s="975"/>
      <c r="Y87" s="975"/>
      <c r="Z87" s="975"/>
      <c r="AA87" s="975"/>
      <c r="AB87" s="975"/>
      <c r="AC87" s="975"/>
      <c r="AD87" s="975"/>
      <c r="AE87" s="975"/>
      <c r="AF87" s="975"/>
      <c r="AG87" s="975"/>
      <c r="AH87" s="975"/>
      <c r="AI87" s="975"/>
      <c r="AJ87" s="975"/>
      <c r="AK87" s="975"/>
      <c r="AL87" s="975"/>
      <c r="AM87" s="1153"/>
      <c r="AN87" s="975"/>
      <c r="AO87" s="975"/>
      <c r="AP87" s="975"/>
      <c r="AQ87" s="975"/>
      <c r="AR87" s="975"/>
      <c r="AS87" s="975"/>
      <c r="AT87" s="975"/>
      <c r="AU87" s="1319" t="e">
        <f t="shared" ca="1" si="3"/>
        <v>#VALUE!</v>
      </c>
      <c r="AV87" s="975"/>
      <c r="AW87" s="975"/>
      <c r="AX87" s="1446"/>
      <c r="AY87" s="975"/>
      <c r="AZ87" s="975"/>
    </row>
    <row r="88" spans="1:52" s="1444" customFormat="1" ht="14.5" hidden="1" thickTop="1" x14ac:dyDescent="0.3">
      <c r="A88" s="1153"/>
      <c r="B88" s="1445"/>
      <c r="C88" s="1153"/>
      <c r="D88" s="975"/>
      <c r="E88" s="975"/>
      <c r="F88" s="975"/>
      <c r="G88" s="975"/>
      <c r="H88" s="975"/>
      <c r="I88" s="975"/>
      <c r="J88" s="975"/>
      <c r="K88" s="975"/>
      <c r="L88" s="975"/>
      <c r="M88" s="1319"/>
      <c r="N88" s="1170"/>
      <c r="O88" s="1170" t="s">
        <v>360</v>
      </c>
      <c r="P88" s="1170"/>
      <c r="Q88" s="1170"/>
      <c r="R88" s="1170">
        <f>IF(M8='Administration (2)'!C11,'Rates (2)'!K73,0)</f>
        <v>0</v>
      </c>
      <c r="S88" s="1170"/>
      <c r="T88" s="1170"/>
      <c r="U88" s="975"/>
      <c r="V88" s="975"/>
      <c r="W88" s="975"/>
      <c r="X88" s="975"/>
      <c r="Y88" s="975"/>
      <c r="Z88" s="975"/>
      <c r="AA88" s="975"/>
      <c r="AB88" s="975"/>
      <c r="AC88" s="975"/>
      <c r="AD88" s="975"/>
      <c r="AE88" s="975"/>
      <c r="AF88" s="975"/>
      <c r="AG88" s="975"/>
      <c r="AH88" s="975"/>
      <c r="AI88" s="975"/>
      <c r="AJ88" s="975"/>
      <c r="AK88" s="975"/>
      <c r="AL88" s="975"/>
      <c r="AM88" s="1153"/>
      <c r="AN88" s="975"/>
      <c r="AO88" s="975"/>
      <c r="AP88" s="975"/>
      <c r="AQ88" s="975"/>
      <c r="AR88" s="975"/>
      <c r="AS88" s="975"/>
      <c r="AT88" s="975"/>
      <c r="AU88" s="1319" t="e">
        <f t="shared" ca="1" si="3"/>
        <v>#VALUE!</v>
      </c>
      <c r="AV88" s="975"/>
      <c r="AW88" s="975"/>
      <c r="AX88" s="1446"/>
      <c r="AY88" s="975"/>
      <c r="AZ88" s="975"/>
    </row>
    <row r="89" spans="1:52" s="1444" customFormat="1" ht="14.5" hidden="1" thickTop="1" x14ac:dyDescent="0.3">
      <c r="A89" s="1153"/>
      <c r="B89" s="1445"/>
      <c r="C89" s="1153"/>
      <c r="D89" s="975"/>
      <c r="E89" s="975"/>
      <c r="F89" s="975"/>
      <c r="G89" s="975"/>
      <c r="H89" s="975"/>
      <c r="I89" s="975"/>
      <c r="J89" s="975"/>
      <c r="K89" s="975"/>
      <c r="L89" s="975"/>
      <c r="M89" s="1319"/>
      <c r="N89" s="1170"/>
      <c r="O89" s="1170" t="s">
        <v>211</v>
      </c>
      <c r="P89" s="1170"/>
      <c r="Q89" s="1170"/>
      <c r="R89" s="1170">
        <f>IF(M8='Administration (2)'!C10,'Rates (2)'!K74,0)</f>
        <v>0</v>
      </c>
      <c r="S89" s="1170"/>
      <c r="T89" s="1170"/>
      <c r="U89" s="975"/>
      <c r="V89" s="975"/>
      <c r="W89" s="975"/>
      <c r="X89" s="975"/>
      <c r="Y89" s="975"/>
      <c r="Z89" s="975"/>
      <c r="AA89" s="975"/>
      <c r="AB89" s="975"/>
      <c r="AC89" s="975"/>
      <c r="AD89" s="975"/>
      <c r="AE89" s="975"/>
      <c r="AF89" s="975"/>
      <c r="AG89" s="975"/>
      <c r="AH89" s="975"/>
      <c r="AI89" s="975"/>
      <c r="AJ89" s="975"/>
      <c r="AK89" s="975"/>
      <c r="AL89" s="975"/>
      <c r="AM89" s="1153"/>
      <c r="AN89" s="975"/>
      <c r="AO89" s="975"/>
      <c r="AP89" s="975"/>
      <c r="AQ89" s="975"/>
      <c r="AR89" s="975"/>
      <c r="AS89" s="975"/>
      <c r="AT89" s="975"/>
      <c r="AU89" s="1319" t="e">
        <f t="shared" ca="1" si="3"/>
        <v>#VALUE!</v>
      </c>
      <c r="AV89" s="975"/>
      <c r="AW89" s="975"/>
      <c r="AX89" s="1446"/>
      <c r="AY89" s="975"/>
      <c r="AZ89" s="975"/>
    </row>
    <row r="90" spans="1:52" s="1444" customFormat="1" ht="14.5" hidden="1" thickTop="1" x14ac:dyDescent="0.3">
      <c r="A90" s="1153"/>
      <c r="B90" s="1445"/>
      <c r="C90" s="1153"/>
      <c r="D90" s="975"/>
      <c r="E90" s="975"/>
      <c r="F90" s="975"/>
      <c r="G90" s="975"/>
      <c r="H90" s="975"/>
      <c r="I90" s="975"/>
      <c r="J90" s="975"/>
      <c r="K90" s="975"/>
      <c r="L90" s="975"/>
      <c r="M90" s="1319"/>
      <c r="N90" s="1170"/>
      <c r="O90" s="1170" t="s">
        <v>215</v>
      </c>
      <c r="P90" s="1170"/>
      <c r="Q90" s="1170"/>
      <c r="R90" s="1170">
        <f>IF(M8='Administration (2)'!C15,'Rates (2)'!K75,0)</f>
        <v>0</v>
      </c>
      <c r="S90" s="1170"/>
      <c r="T90" s="1170"/>
      <c r="U90" s="975"/>
      <c r="V90" s="975"/>
      <c r="W90" s="975"/>
      <c r="X90" s="975"/>
      <c r="Y90" s="975"/>
      <c r="Z90" s="975"/>
      <c r="AA90" s="975"/>
      <c r="AB90" s="975"/>
      <c r="AC90" s="975"/>
      <c r="AD90" s="975"/>
      <c r="AE90" s="975"/>
      <c r="AF90" s="975"/>
      <c r="AG90" s="975"/>
      <c r="AH90" s="975"/>
      <c r="AI90" s="975"/>
      <c r="AJ90" s="975"/>
      <c r="AK90" s="975"/>
      <c r="AL90" s="975"/>
      <c r="AM90" s="1153"/>
      <c r="AN90" s="975"/>
      <c r="AO90" s="975"/>
      <c r="AP90" s="975"/>
      <c r="AQ90" s="975"/>
      <c r="AR90" s="975"/>
      <c r="AS90" s="975"/>
      <c r="AT90" s="975"/>
      <c r="AU90" s="1319" t="e">
        <f t="shared" ca="1" si="3"/>
        <v>#VALUE!</v>
      </c>
      <c r="AV90" s="975"/>
      <c r="AW90" s="975"/>
      <c r="AX90" s="1446"/>
      <c r="AY90" s="975"/>
      <c r="AZ90" s="975"/>
    </row>
    <row r="91" spans="1:52" s="1444" customFormat="1" ht="14.5" hidden="1" thickTop="1" x14ac:dyDescent="0.3">
      <c r="A91" s="975"/>
      <c r="B91" s="1449"/>
      <c r="C91" s="1153"/>
      <c r="D91" s="975"/>
      <c r="E91" s="975"/>
      <c r="F91" s="975"/>
      <c r="G91" s="975"/>
      <c r="H91" s="975"/>
      <c r="I91" s="975"/>
      <c r="J91" s="975"/>
      <c r="K91" s="975"/>
      <c r="L91" s="975"/>
      <c r="M91" s="1319"/>
      <c r="N91" s="1170"/>
      <c r="O91" s="1170" t="s">
        <v>212</v>
      </c>
      <c r="P91" s="1170"/>
      <c r="Q91" s="1170"/>
      <c r="R91" s="1170">
        <f>IF(M8='Administration (2)'!C12,'Rates (2)'!K76,0)</f>
        <v>0</v>
      </c>
      <c r="S91" s="1170"/>
      <c r="T91" s="1170"/>
      <c r="U91" s="975"/>
      <c r="V91" s="975"/>
      <c r="W91" s="975"/>
      <c r="X91" s="975"/>
      <c r="Y91" s="975"/>
      <c r="Z91" s="975"/>
      <c r="AA91" s="975"/>
      <c r="AB91" s="975"/>
      <c r="AC91" s="975"/>
      <c r="AD91" s="975"/>
      <c r="AE91" s="975"/>
      <c r="AF91" s="975"/>
      <c r="AG91" s="975"/>
      <c r="AH91" s="975"/>
      <c r="AI91" s="975"/>
      <c r="AJ91" s="975"/>
      <c r="AK91" s="975"/>
      <c r="AL91" s="975"/>
      <c r="AM91" s="1153"/>
      <c r="AN91" s="975"/>
      <c r="AO91" s="975"/>
      <c r="AP91" s="975"/>
      <c r="AQ91" s="975"/>
      <c r="AR91" s="975"/>
      <c r="AS91" s="975"/>
      <c r="AT91" s="975"/>
      <c r="AU91" s="1319" t="e">
        <f t="shared" ca="1" si="3"/>
        <v>#VALUE!</v>
      </c>
      <c r="AV91" s="975"/>
      <c r="AW91" s="975"/>
      <c r="AX91" s="1446"/>
      <c r="AY91" s="975"/>
      <c r="AZ91" s="975"/>
    </row>
    <row r="92" spans="1:52" s="1444" customFormat="1" ht="14.5" hidden="1" thickTop="1" x14ac:dyDescent="0.3">
      <c r="A92" s="975"/>
      <c r="B92" s="1449"/>
      <c r="C92" s="1153"/>
      <c r="D92" s="975"/>
      <c r="E92" s="975"/>
      <c r="F92" s="975"/>
      <c r="G92" s="975"/>
      <c r="H92" s="975"/>
      <c r="I92" s="975"/>
      <c r="J92" s="975"/>
      <c r="K92" s="975"/>
      <c r="L92" s="975"/>
      <c r="M92" s="1319"/>
      <c r="N92" s="1170"/>
      <c r="O92" s="1266" t="s">
        <v>268</v>
      </c>
      <c r="P92" s="1170"/>
      <c r="Q92" s="1170"/>
      <c r="R92" s="1450">
        <f ca="1">R81+SUM(R83:R91)+R96</f>
        <v>2500</v>
      </c>
      <c r="S92" s="1170"/>
      <c r="T92" s="1170"/>
      <c r="U92" s="975"/>
      <c r="V92" s="975"/>
      <c r="W92" s="975"/>
      <c r="X92" s="975"/>
      <c r="Y92" s="975"/>
      <c r="Z92" s="975"/>
      <c r="AA92" s="975"/>
      <c r="AB92" s="975"/>
      <c r="AC92" s="975"/>
      <c r="AD92" s="975"/>
      <c r="AE92" s="975"/>
      <c r="AF92" s="975"/>
      <c r="AG92" s="975"/>
      <c r="AH92" s="975"/>
      <c r="AI92" s="975"/>
      <c r="AJ92" s="975"/>
      <c r="AK92" s="975"/>
      <c r="AL92" s="975"/>
      <c r="AM92" s="1153"/>
      <c r="AN92" s="975"/>
      <c r="AO92" s="975"/>
      <c r="AP92" s="975"/>
      <c r="AQ92" s="975"/>
      <c r="AR92" s="975"/>
      <c r="AS92" s="975"/>
      <c r="AT92" s="975"/>
      <c r="AU92" s="1319" t="e">
        <f t="shared" ca="1" si="3"/>
        <v>#VALUE!</v>
      </c>
      <c r="AV92" s="975"/>
      <c r="AW92" s="975"/>
      <c r="AX92" s="1446"/>
      <c r="AY92" s="975"/>
      <c r="AZ92" s="975"/>
    </row>
    <row r="93" spans="1:52" s="1444" customFormat="1" ht="14.5" hidden="1" thickTop="1" x14ac:dyDescent="0.3">
      <c r="A93" s="975"/>
      <c r="B93" s="1449"/>
      <c r="C93" s="1153"/>
      <c r="D93" s="975"/>
      <c r="E93" s="975"/>
      <c r="F93" s="975"/>
      <c r="G93" s="975"/>
      <c r="H93" s="975"/>
      <c r="I93" s="975"/>
      <c r="J93" s="975"/>
      <c r="K93" s="975"/>
      <c r="L93" s="975"/>
      <c r="M93" s="1319"/>
      <c r="N93" s="1170"/>
      <c r="O93" s="1170"/>
      <c r="P93" s="1170"/>
      <c r="Q93" s="1170"/>
      <c r="R93" s="1170">
        <f ca="1">IF(AND(I18&gt;R92,I18&lt;H15/2),I18,R92)</f>
        <v>2500</v>
      </c>
      <c r="S93" s="1170"/>
      <c r="T93" s="1170"/>
      <c r="U93" s="975"/>
      <c r="V93" s="975"/>
      <c r="W93" s="975"/>
      <c r="X93" s="975"/>
      <c r="Y93" s="975"/>
      <c r="Z93" s="975"/>
      <c r="AA93" s="975"/>
      <c r="AB93" s="975"/>
      <c r="AC93" s="975"/>
      <c r="AD93" s="975"/>
      <c r="AE93" s="975"/>
      <c r="AF93" s="975"/>
      <c r="AG93" s="975"/>
      <c r="AH93" s="975"/>
      <c r="AI93" s="975"/>
      <c r="AJ93" s="975"/>
      <c r="AK93" s="975"/>
      <c r="AL93" s="975"/>
      <c r="AM93" s="1153"/>
      <c r="AN93" s="975"/>
      <c r="AO93" s="975"/>
      <c r="AP93" s="975"/>
      <c r="AQ93" s="975"/>
      <c r="AR93" s="975"/>
      <c r="AS93" s="975"/>
      <c r="AT93" s="975"/>
      <c r="AU93" s="975" t="e">
        <f t="shared" ca="1" si="3"/>
        <v>#VALUE!</v>
      </c>
      <c r="AV93" s="975"/>
      <c r="AW93" s="975"/>
      <c r="AX93" s="1446"/>
      <c r="AY93" s="975"/>
      <c r="AZ93" s="975"/>
    </row>
    <row r="94" spans="1:52" s="1444" customFormat="1" ht="14.5" hidden="1" thickTop="1" x14ac:dyDescent="0.3">
      <c r="A94" s="975"/>
      <c r="B94" s="1449"/>
      <c r="D94" s="975"/>
      <c r="E94" s="975"/>
      <c r="F94" s="1290" t="s">
        <v>395</v>
      </c>
      <c r="G94" s="975"/>
      <c r="H94" s="975"/>
      <c r="I94" s="975"/>
      <c r="J94" s="975"/>
      <c r="K94" s="975"/>
      <c r="L94" s="975"/>
      <c r="M94" s="1319"/>
      <c r="N94" s="1170"/>
      <c r="O94" s="1170"/>
      <c r="P94" s="1170"/>
      <c r="Q94" s="1170"/>
      <c r="R94" s="1170"/>
      <c r="S94" s="1170"/>
      <c r="T94" s="1170"/>
      <c r="U94" s="975"/>
      <c r="V94" s="975"/>
      <c r="W94" s="975"/>
      <c r="X94" s="975"/>
      <c r="Y94" s="975"/>
      <c r="Z94" s="975"/>
      <c r="AA94" s="975"/>
      <c r="AB94" s="975"/>
      <c r="AC94" s="975"/>
      <c r="AD94" s="975"/>
      <c r="AE94" s="975"/>
      <c r="AF94" s="975"/>
      <c r="AG94" s="975"/>
      <c r="AH94" s="975"/>
      <c r="AI94" s="975"/>
      <c r="AJ94" s="975"/>
      <c r="AK94" s="975"/>
      <c r="AL94" s="975"/>
      <c r="AM94" s="1153"/>
      <c r="AN94" s="975"/>
      <c r="AO94" s="975"/>
      <c r="AP94" s="975"/>
      <c r="AQ94" s="975"/>
      <c r="AR94" s="975"/>
      <c r="AS94" s="975"/>
      <c r="AT94" s="975"/>
      <c r="AU94" s="975" t="e">
        <f t="shared" ca="1" si="3"/>
        <v>#VALUE!</v>
      </c>
      <c r="AV94" s="975"/>
      <c r="AW94" s="975"/>
      <c r="AX94" s="1446"/>
      <c r="AY94" s="975"/>
      <c r="AZ94" s="975"/>
    </row>
    <row r="95" spans="1:52" s="1444" customFormat="1" ht="20.149999999999999" hidden="1" customHeight="1" x14ac:dyDescent="0.3">
      <c r="A95" s="975"/>
      <c r="B95" s="1449"/>
      <c r="D95" s="975"/>
      <c r="E95" s="975"/>
      <c r="F95" s="1451" t="str">
        <f>'Administration (2)'!J6</f>
        <v>Abans Finance PLC</v>
      </c>
      <c r="G95" s="975"/>
      <c r="H95" s="975"/>
      <c r="I95" s="975"/>
      <c r="J95" s="975"/>
      <c r="K95" s="975"/>
      <c r="L95" s="1153"/>
      <c r="M95" s="1452" t="s">
        <v>234</v>
      </c>
      <c r="N95" s="1170" t="s">
        <v>269</v>
      </c>
      <c r="O95" s="1170"/>
      <c r="P95" s="1170"/>
      <c r="Q95" s="1170"/>
      <c r="R95" s="1752" t="str">
        <f>IF(X43&gt;0,MAX(H30*'Rates (2)'!K68%,'Rates (2)'!L68),"")</f>
        <v/>
      </c>
      <c r="S95" s="1752"/>
      <c r="T95" s="1752"/>
      <c r="U95" s="975"/>
      <c r="V95" s="975"/>
      <c r="W95" s="975"/>
      <c r="X95" s="975"/>
      <c r="Y95" s="975"/>
      <c r="Z95" s="975"/>
      <c r="AA95" s="975"/>
      <c r="AB95" s="975"/>
      <c r="AC95" s="975"/>
      <c r="AD95" s="975"/>
      <c r="AE95" s="975"/>
      <c r="AF95" s="975"/>
      <c r="AG95" s="975"/>
      <c r="AH95" s="975"/>
      <c r="AI95" s="975"/>
      <c r="AJ95" s="975"/>
      <c r="AK95" s="975"/>
      <c r="AL95" s="975"/>
      <c r="AM95" s="1153"/>
      <c r="AN95" s="975"/>
      <c r="AO95" s="975"/>
      <c r="AP95" s="975"/>
      <c r="AQ95" s="975"/>
      <c r="AR95" s="975"/>
      <c r="AS95" s="975"/>
      <c r="AT95" s="975"/>
      <c r="AU95" s="975" t="e">
        <f t="shared" ca="1" si="3"/>
        <v>#VALUE!</v>
      </c>
      <c r="AV95" s="975"/>
      <c r="AW95" s="975"/>
      <c r="AX95" s="1446"/>
      <c r="AY95" s="975"/>
      <c r="AZ95" s="975"/>
    </row>
    <row r="96" spans="1:52" s="1444" customFormat="1" ht="20.149999999999999" hidden="1" customHeight="1" x14ac:dyDescent="0.3">
      <c r="A96" s="975"/>
      <c r="B96" s="1449"/>
      <c r="D96" s="975"/>
      <c r="E96" s="975"/>
      <c r="F96" s="1451" t="str">
        <f>'Administration (2)'!J7</f>
        <v>Alliance Finance Co. PLC</v>
      </c>
      <c r="G96" s="975"/>
      <c r="H96" s="975"/>
      <c r="I96" s="975"/>
      <c r="J96" s="975"/>
      <c r="K96" s="975"/>
      <c r="L96" s="1153"/>
      <c r="M96" s="1319"/>
      <c r="N96" s="1170"/>
      <c r="O96" s="1170" t="s">
        <v>227</v>
      </c>
      <c r="P96" s="1170"/>
      <c r="Q96" s="1170"/>
      <c r="R96" s="1453">
        <f>I22</f>
        <v>0</v>
      </c>
      <c r="S96" s="1170"/>
      <c r="T96" s="1170"/>
      <c r="U96" s="975"/>
      <c r="V96" s="975"/>
      <c r="W96" s="975"/>
      <c r="X96" s="975"/>
      <c r="Y96" s="975"/>
      <c r="Z96" s="975"/>
      <c r="AA96" s="975"/>
      <c r="AB96" s="975"/>
      <c r="AC96" s="975"/>
      <c r="AD96" s="975"/>
      <c r="AE96" s="975"/>
      <c r="AF96" s="975"/>
      <c r="AG96" s="975"/>
      <c r="AH96" s="975"/>
      <c r="AI96" s="975"/>
      <c r="AJ96" s="975"/>
      <c r="AK96" s="975"/>
      <c r="AL96" s="975"/>
      <c r="AM96" s="1153"/>
      <c r="AN96" s="975"/>
      <c r="AO96" s="975"/>
      <c r="AP96" s="975"/>
      <c r="AQ96" s="975"/>
      <c r="AR96" s="975"/>
      <c r="AS96" s="975"/>
      <c r="AT96" s="975"/>
      <c r="AU96" s="975" t="e">
        <f t="shared" ca="1" si="3"/>
        <v>#VALUE!</v>
      </c>
      <c r="AV96" s="975"/>
      <c r="AW96" s="975"/>
      <c r="AX96" s="1446"/>
      <c r="AY96" s="975"/>
      <c r="AZ96" s="975"/>
    </row>
    <row r="97" spans="1:52" s="1444" customFormat="1" ht="20.149999999999999" hidden="1" customHeight="1" x14ac:dyDescent="0.3">
      <c r="A97" s="975"/>
      <c r="B97" s="1449"/>
      <c r="D97" s="975"/>
      <c r="E97" s="975"/>
      <c r="F97" s="1451" t="str">
        <f>'Administration (2)'!J8</f>
        <v>Asia Asset Finance Ltd</v>
      </c>
      <c r="G97" s="975"/>
      <c r="H97" s="975"/>
      <c r="I97" s="975"/>
      <c r="J97" s="975"/>
      <c r="K97" s="975"/>
      <c r="L97" s="975"/>
      <c r="M97" s="975"/>
      <c r="N97" s="975"/>
      <c r="O97" s="975" t="s">
        <v>225</v>
      </c>
      <c r="P97" s="1153"/>
      <c r="Q97" s="975"/>
      <c r="R97" s="975">
        <f ca="1">IF(OR(C39=1,M39&gt;0),'Rates (2)'!K63,0)</f>
        <v>0</v>
      </c>
      <c r="S97" s="975"/>
      <c r="T97" s="975"/>
      <c r="U97" s="975"/>
      <c r="V97" s="975"/>
      <c r="W97" s="975"/>
      <c r="X97" s="975"/>
      <c r="Y97" s="975"/>
      <c r="Z97" s="975"/>
      <c r="AA97" s="975"/>
      <c r="AB97" s="975"/>
      <c r="AC97" s="975"/>
      <c r="AD97" s="975"/>
      <c r="AE97" s="975"/>
      <c r="AF97" s="975"/>
      <c r="AG97" s="975"/>
      <c r="AH97" s="975"/>
      <c r="AI97" s="975"/>
      <c r="AJ97" s="975"/>
      <c r="AK97" s="975"/>
      <c r="AL97" s="975"/>
      <c r="AM97" s="1153"/>
      <c r="AN97" s="975"/>
      <c r="AO97" s="975"/>
      <c r="AP97" s="975"/>
      <c r="AQ97" s="975"/>
      <c r="AR97" s="975"/>
      <c r="AS97" s="975"/>
      <c r="AT97" s="975"/>
      <c r="AU97" s="975" t="e">
        <f t="shared" ca="1" si="3"/>
        <v>#VALUE!</v>
      </c>
      <c r="AV97" s="975"/>
      <c r="AW97" s="975"/>
      <c r="AX97" s="1446"/>
      <c r="AY97" s="975"/>
      <c r="AZ97" s="975"/>
    </row>
    <row r="98" spans="1:52" s="1444" customFormat="1" ht="20.149999999999999" hidden="1" customHeight="1" x14ac:dyDescent="0.3">
      <c r="A98" s="975"/>
      <c r="B98" s="1449"/>
      <c r="D98" s="975"/>
      <c r="E98" s="975"/>
      <c r="F98" s="1451" t="str">
        <f>'Administration (2)'!J9</f>
        <v>Assetline Leasing Co Ltd</v>
      </c>
      <c r="G98" s="975"/>
      <c r="H98" s="975"/>
      <c r="I98" s="975"/>
      <c r="J98" s="975"/>
      <c r="K98" s="975"/>
      <c r="L98" s="975"/>
      <c r="M98" s="975"/>
      <c r="N98" s="975"/>
      <c r="O98" s="975" t="s">
        <v>226</v>
      </c>
      <c r="P98" s="1153"/>
      <c r="Q98" s="975"/>
      <c r="R98" s="975">
        <f>IF(OR(H54&gt;0,M54&gt;0),'Rates (2)'!K64,0)</f>
        <v>0</v>
      </c>
      <c r="S98" s="975"/>
      <c r="T98" s="975"/>
      <c r="U98" s="975"/>
      <c r="V98" s="975"/>
      <c r="W98" s="975"/>
      <c r="X98" s="975"/>
      <c r="Y98" s="975"/>
      <c r="Z98" s="975"/>
      <c r="AA98" s="975"/>
      <c r="AB98" s="975"/>
      <c r="AC98" s="975"/>
      <c r="AD98" s="975"/>
      <c r="AE98" s="975"/>
      <c r="AF98" s="975"/>
      <c r="AG98" s="975"/>
      <c r="AH98" s="975"/>
      <c r="AI98" s="975"/>
      <c r="AJ98" s="975"/>
      <c r="AK98" s="975"/>
      <c r="AL98" s="975"/>
      <c r="AM98" s="1153"/>
      <c r="AN98" s="975"/>
      <c r="AO98" s="975"/>
      <c r="AP98" s="975"/>
      <c r="AQ98" s="975"/>
      <c r="AR98" s="975"/>
      <c r="AS98" s="975"/>
      <c r="AT98" s="975"/>
      <c r="AU98" s="975" t="e">
        <f t="shared" ca="1" si="3"/>
        <v>#VALUE!</v>
      </c>
      <c r="AV98" s="975"/>
      <c r="AW98" s="975"/>
      <c r="AX98" s="1446"/>
      <c r="AY98" s="975"/>
      <c r="AZ98" s="975"/>
    </row>
    <row r="99" spans="1:52" s="1444" customFormat="1" ht="20.149999999999999" hidden="1" customHeight="1" x14ac:dyDescent="0.3">
      <c r="A99" s="975"/>
      <c r="B99" s="1449"/>
      <c r="D99" s="975"/>
      <c r="E99" s="975"/>
      <c r="F99" s="1451" t="str">
        <f>'Administration (2)'!J10</f>
        <v>Arpico Finance PLC</v>
      </c>
      <c r="G99" s="975"/>
      <c r="H99" s="975"/>
      <c r="I99" s="975"/>
      <c r="J99" s="975"/>
      <c r="K99" s="975"/>
      <c r="L99" s="975"/>
      <c r="M99" s="975"/>
      <c r="N99" s="975"/>
      <c r="O99" s="975" t="s">
        <v>228</v>
      </c>
      <c r="P99" s="1153"/>
      <c r="Q99" s="975"/>
      <c r="R99" s="975">
        <f ca="1">IF(OR(U57=1,M46&gt;0),'Rates (2)'!K65,0)</f>
        <v>0</v>
      </c>
      <c r="S99" s="975"/>
      <c r="T99" s="975"/>
      <c r="U99" s="975"/>
      <c r="V99" s="975"/>
      <c r="W99" s="975"/>
      <c r="X99" s="975"/>
      <c r="Y99" s="975"/>
      <c r="Z99" s="975"/>
      <c r="AA99" s="975"/>
      <c r="AB99" s="975"/>
      <c r="AC99" s="975"/>
      <c r="AD99" s="975"/>
      <c r="AE99" s="975"/>
      <c r="AF99" s="975"/>
      <c r="AG99" s="975"/>
      <c r="AH99" s="975"/>
      <c r="AI99" s="975"/>
      <c r="AJ99" s="975"/>
      <c r="AK99" s="975"/>
      <c r="AL99" s="975"/>
      <c r="AM99" s="1153"/>
      <c r="AN99" s="975"/>
      <c r="AO99" s="975"/>
      <c r="AP99" s="975"/>
      <c r="AQ99" s="975"/>
      <c r="AR99" s="975"/>
      <c r="AS99" s="975"/>
      <c r="AT99" s="975"/>
      <c r="AU99" s="975" t="e">
        <f t="shared" ca="1" si="3"/>
        <v>#VALUE!</v>
      </c>
      <c r="AV99" s="975"/>
      <c r="AW99" s="975"/>
      <c r="AX99" s="1446"/>
      <c r="AY99" s="975"/>
      <c r="AZ99" s="975"/>
    </row>
    <row r="100" spans="1:52" s="1444" customFormat="1" ht="20.149999999999999" hidden="1" customHeight="1" x14ac:dyDescent="0.3">
      <c r="A100" s="975"/>
      <c r="B100" s="1449"/>
      <c r="D100" s="975"/>
      <c r="E100" s="975"/>
      <c r="F100" s="1451" t="str">
        <f>'Administration (2)'!J11</f>
        <v>Bank of Ceylon</v>
      </c>
      <c r="G100" s="975"/>
      <c r="H100" s="975"/>
      <c r="I100" s="975"/>
      <c r="J100" s="975"/>
      <c r="K100" s="975"/>
      <c r="L100" s="975"/>
      <c r="M100" s="975"/>
      <c r="N100" s="975"/>
      <c r="O100" s="975"/>
      <c r="P100" s="1153"/>
      <c r="Q100" s="975"/>
      <c r="R100" s="975"/>
      <c r="S100" s="975"/>
      <c r="T100" s="975"/>
      <c r="U100" s="975"/>
      <c r="V100" s="975"/>
      <c r="W100" s="975"/>
      <c r="X100" s="975"/>
      <c r="Y100" s="975"/>
      <c r="Z100" s="975"/>
      <c r="AA100" s="975"/>
      <c r="AB100" s="975"/>
      <c r="AC100" s="975"/>
      <c r="AD100" s="975"/>
      <c r="AE100" s="975"/>
      <c r="AF100" s="975"/>
      <c r="AG100" s="975"/>
      <c r="AH100" s="975"/>
      <c r="AI100" s="975"/>
      <c r="AJ100" s="975"/>
      <c r="AK100" s="975"/>
      <c r="AL100" s="975"/>
      <c r="AM100" s="1153"/>
      <c r="AN100" s="975"/>
      <c r="AO100" s="975"/>
      <c r="AP100" s="975"/>
      <c r="AQ100" s="975"/>
      <c r="AR100" s="975"/>
      <c r="AS100" s="975"/>
      <c r="AT100" s="975"/>
      <c r="AU100" s="975" t="e">
        <f t="shared" ca="1" si="3"/>
        <v>#VALUE!</v>
      </c>
      <c r="AV100" s="975"/>
      <c r="AW100" s="975"/>
      <c r="AX100" s="1446"/>
      <c r="AY100" s="975"/>
      <c r="AZ100" s="975"/>
    </row>
    <row r="101" spans="1:52" s="1444" customFormat="1" ht="20.149999999999999" hidden="1" customHeight="1" x14ac:dyDescent="0.3">
      <c r="A101" s="975"/>
      <c r="B101" s="1449"/>
      <c r="D101" s="975"/>
      <c r="E101" s="975"/>
      <c r="F101" s="1451" t="str">
        <f>'Administration (2)'!J12</f>
        <v>Citizens Development Business Finance PLC</v>
      </c>
      <c r="G101" s="975"/>
      <c r="H101" s="975"/>
      <c r="I101" s="975"/>
      <c r="J101" s="975"/>
      <c r="K101" s="975"/>
      <c r="L101" s="975"/>
      <c r="M101" s="975"/>
      <c r="N101" s="975"/>
      <c r="O101" s="975"/>
      <c r="P101" s="1153"/>
      <c r="Q101" s="975"/>
      <c r="R101" s="975"/>
      <c r="S101" s="975"/>
      <c r="T101" s="975"/>
      <c r="U101" s="975"/>
      <c r="V101" s="975"/>
      <c r="W101" s="975"/>
      <c r="X101" s="975"/>
      <c r="Y101" s="975"/>
      <c r="Z101" s="975"/>
      <c r="AA101" s="975"/>
      <c r="AB101" s="975"/>
      <c r="AC101" s="975"/>
      <c r="AD101" s="975"/>
      <c r="AE101" s="975"/>
      <c r="AF101" s="975"/>
      <c r="AG101" s="975"/>
      <c r="AH101" s="975"/>
      <c r="AI101" s="975"/>
      <c r="AJ101" s="975"/>
      <c r="AK101" s="975"/>
      <c r="AL101" s="975"/>
      <c r="AM101" s="1153"/>
      <c r="AN101" s="975"/>
      <c r="AO101" s="975"/>
      <c r="AP101" s="975"/>
      <c r="AQ101" s="975"/>
      <c r="AR101" s="975"/>
      <c r="AS101" s="975"/>
      <c r="AT101" s="975"/>
      <c r="AU101" s="975" t="e">
        <f t="shared" ca="1" si="3"/>
        <v>#VALUE!</v>
      </c>
      <c r="AV101" s="975"/>
      <c r="AW101" s="975"/>
      <c r="AX101" s="1446"/>
      <c r="AY101" s="975"/>
      <c r="AZ101" s="975"/>
    </row>
    <row r="102" spans="1:52" s="1444" customFormat="1" ht="20.149999999999999" hidden="1" customHeight="1" x14ac:dyDescent="0.3">
      <c r="A102" s="975"/>
      <c r="B102" s="1449"/>
      <c r="D102" s="976"/>
      <c r="E102" s="976"/>
      <c r="F102" s="1451" t="str">
        <f>'Administration (2)'!J13</f>
        <v>Commercial Credit PLC</v>
      </c>
      <c r="G102" s="976"/>
      <c r="H102" s="976"/>
      <c r="I102" s="976"/>
      <c r="J102" s="976"/>
      <c r="K102" s="975"/>
      <c r="L102" s="975"/>
      <c r="M102" s="975"/>
      <c r="N102" s="975"/>
      <c r="O102" s="975"/>
      <c r="P102" s="1153"/>
      <c r="Q102" s="975"/>
      <c r="R102" s="975"/>
      <c r="S102" s="975"/>
      <c r="T102" s="975"/>
      <c r="U102" s="975"/>
      <c r="V102" s="975"/>
      <c r="W102" s="975"/>
      <c r="X102" s="975"/>
      <c r="Y102" s="975"/>
      <c r="Z102" s="975"/>
      <c r="AA102" s="975"/>
      <c r="AB102" s="975"/>
      <c r="AC102" s="975"/>
      <c r="AD102" s="975"/>
      <c r="AE102" s="975"/>
      <c r="AF102" s="975"/>
      <c r="AG102" s="975"/>
      <c r="AH102" s="975"/>
      <c r="AI102" s="975"/>
      <c r="AJ102" s="975"/>
      <c r="AK102" s="975"/>
      <c r="AL102" s="975"/>
      <c r="AM102" s="1153"/>
      <c r="AN102" s="975"/>
      <c r="AO102" s="975"/>
      <c r="AP102" s="975"/>
      <c r="AQ102" s="975"/>
      <c r="AR102" s="975"/>
      <c r="AS102" s="975"/>
      <c r="AT102" s="975"/>
      <c r="AU102" s="975" t="e">
        <f t="shared" ca="1" si="3"/>
        <v>#VALUE!</v>
      </c>
      <c r="AV102" s="975"/>
      <c r="AW102" s="975"/>
      <c r="AX102" s="1446"/>
      <c r="AY102" s="975"/>
      <c r="AZ102" s="975"/>
    </row>
    <row r="103" spans="1:52" s="1444" customFormat="1" ht="20.149999999999999" hidden="1" customHeight="1" x14ac:dyDescent="0.3">
      <c r="A103" s="975"/>
      <c r="B103" s="1449"/>
      <c r="D103" s="976"/>
      <c r="E103" s="976"/>
      <c r="F103" s="1451" t="str">
        <f>'Administration (2)'!J14</f>
        <v>Commercial Trust Investment (Pvt) Ltd.</v>
      </c>
      <c r="G103" s="976"/>
      <c r="H103" s="976"/>
      <c r="I103" s="976"/>
      <c r="J103" s="976"/>
      <c r="K103" s="976"/>
      <c r="L103" s="976"/>
      <c r="M103" s="1153"/>
      <c r="N103" s="975"/>
      <c r="O103" s="975"/>
      <c r="P103" s="1153"/>
      <c r="Q103" s="975"/>
      <c r="R103" s="975"/>
      <c r="S103" s="975"/>
      <c r="T103" s="975"/>
      <c r="U103" s="975"/>
      <c r="V103" s="975"/>
      <c r="W103" s="975"/>
      <c r="X103" s="975"/>
      <c r="Y103" s="975"/>
      <c r="Z103" s="975"/>
      <c r="AA103" s="975"/>
      <c r="AB103" s="975"/>
      <c r="AC103" s="975"/>
      <c r="AD103" s="975"/>
      <c r="AE103" s="975"/>
      <c r="AF103" s="975"/>
      <c r="AG103" s="975"/>
      <c r="AH103" s="975"/>
      <c r="AI103" s="975"/>
      <c r="AJ103" s="975"/>
      <c r="AK103" s="975"/>
      <c r="AL103" s="975"/>
      <c r="AM103" s="1153"/>
      <c r="AN103" s="975"/>
      <c r="AO103" s="975"/>
      <c r="AP103" s="975"/>
      <c r="AQ103" s="975"/>
      <c r="AR103" s="975"/>
      <c r="AS103" s="975"/>
      <c r="AT103" s="975"/>
      <c r="AU103" s="975" t="e">
        <f t="shared" ca="1" si="3"/>
        <v>#VALUE!</v>
      </c>
      <c r="AV103" s="975"/>
      <c r="AW103" s="975"/>
      <c r="AX103" s="1446"/>
      <c r="AY103" s="975"/>
      <c r="AZ103" s="975"/>
    </row>
    <row r="104" spans="1:52" s="1444" customFormat="1" ht="20.149999999999999" hidden="1" customHeight="1" x14ac:dyDescent="0.3">
      <c r="A104" s="975"/>
      <c r="B104" s="1449"/>
      <c r="D104" s="976"/>
      <c r="E104" s="976"/>
      <c r="F104" s="1451" t="str">
        <f>'Administration (2)'!J15</f>
        <v>David Pieris Leasing</v>
      </c>
      <c r="G104" s="976"/>
      <c r="H104" s="976"/>
      <c r="I104" s="976"/>
      <c r="J104" s="976"/>
      <c r="K104" s="976"/>
      <c r="L104" s="976"/>
      <c r="M104" s="1153"/>
      <c r="N104" s="1153"/>
      <c r="O104" s="1454"/>
      <c r="P104" s="1153"/>
      <c r="Q104" s="975"/>
      <c r="R104" s="975"/>
      <c r="S104" s="975"/>
      <c r="T104" s="975"/>
      <c r="U104" s="975"/>
      <c r="V104" s="975"/>
      <c r="W104" s="975"/>
      <c r="X104" s="975"/>
      <c r="Y104" s="975"/>
      <c r="Z104" s="975"/>
      <c r="AA104" s="975"/>
      <c r="AB104" s="975"/>
      <c r="AC104" s="975"/>
      <c r="AD104" s="975"/>
      <c r="AE104" s="975"/>
      <c r="AF104" s="975"/>
      <c r="AG104" s="975"/>
      <c r="AH104" s="975"/>
      <c r="AI104" s="975"/>
      <c r="AJ104" s="975"/>
      <c r="AM104" s="1153"/>
      <c r="AU104" s="975" t="e">
        <f t="shared" ca="1" si="3"/>
        <v>#VALUE!</v>
      </c>
      <c r="AX104" s="1455"/>
    </row>
    <row r="105" spans="1:52" s="1444" customFormat="1" ht="20.149999999999999" hidden="1" customHeight="1" x14ac:dyDescent="0.3">
      <c r="A105" s="975"/>
      <c r="B105" s="1449"/>
      <c r="D105" s="976"/>
      <c r="E105" s="976"/>
      <c r="F105" s="1451" t="str">
        <f>'Administration (2)'!J16</f>
        <v>Dharmasiri Investments (Pvt) Ltd.</v>
      </c>
      <c r="G105" s="976"/>
      <c r="H105" s="976"/>
      <c r="I105" s="976"/>
      <c r="J105" s="976"/>
      <c r="K105" s="976"/>
      <c r="L105" s="976"/>
      <c r="M105" s="1153"/>
      <c r="N105" s="1153"/>
      <c r="O105" s="1153"/>
      <c r="P105" s="1153"/>
      <c r="Q105" s="975"/>
      <c r="R105" s="975"/>
      <c r="S105" s="975"/>
      <c r="T105" s="975"/>
      <c r="U105" s="975"/>
      <c r="V105" s="975"/>
      <c r="W105" s="975"/>
      <c r="X105" s="975"/>
      <c r="Y105" s="975"/>
      <c r="Z105" s="975"/>
      <c r="AA105" s="975"/>
      <c r="AB105" s="975"/>
      <c r="AC105" s="975"/>
      <c r="AD105" s="975"/>
      <c r="AE105" s="975"/>
      <c r="AF105" s="975"/>
      <c r="AG105" s="975"/>
      <c r="AH105" s="975"/>
      <c r="AI105" s="975"/>
      <c r="AJ105" s="975"/>
      <c r="AM105" s="1153"/>
      <c r="AU105" s="975" t="e">
        <f t="shared" ca="1" si="3"/>
        <v>#VALUE!</v>
      </c>
      <c r="AX105" s="1455"/>
    </row>
    <row r="106" spans="1:52" s="1444" customFormat="1" ht="20.149999999999999" hidden="1" customHeight="1" x14ac:dyDescent="0.3">
      <c r="A106" s="975"/>
      <c r="B106" s="1449"/>
      <c r="D106" s="976"/>
      <c r="E106" s="976"/>
      <c r="F106" s="1451" t="str">
        <f>'Administration (2)'!J17</f>
        <v>Indra Finance Ltd.</v>
      </c>
      <c r="G106" s="976"/>
      <c r="H106" s="976"/>
      <c r="I106" s="976"/>
      <c r="J106" s="976"/>
      <c r="K106" s="976"/>
      <c r="L106" s="976"/>
      <c r="M106" s="1153"/>
      <c r="N106" s="1153"/>
      <c r="O106" s="1153"/>
      <c r="P106" s="1153"/>
      <c r="Q106" s="975"/>
      <c r="R106" s="975"/>
      <c r="S106" s="975"/>
      <c r="T106" s="975"/>
      <c r="U106" s="975"/>
      <c r="V106" s="975"/>
      <c r="W106" s="975"/>
      <c r="X106" s="975"/>
      <c r="Y106" s="975"/>
      <c r="Z106" s="975"/>
      <c r="AA106" s="975"/>
      <c r="AB106" s="975"/>
      <c r="AC106" s="975"/>
      <c r="AD106" s="975"/>
      <c r="AE106" s="975"/>
      <c r="AF106" s="975"/>
      <c r="AG106" s="975"/>
      <c r="AH106" s="975"/>
      <c r="AI106" s="975"/>
      <c r="AJ106" s="975"/>
      <c r="AM106" s="1153"/>
      <c r="AU106" s="975" t="e">
        <f t="shared" ca="1" si="3"/>
        <v>#VALUE!</v>
      </c>
      <c r="AX106" s="1455"/>
    </row>
    <row r="107" spans="1:52" s="1444" customFormat="1" ht="20.149999999999999" hidden="1" customHeight="1" x14ac:dyDescent="0.3">
      <c r="A107" s="975"/>
      <c r="B107" s="1449"/>
      <c r="D107" s="976"/>
      <c r="E107" s="976"/>
      <c r="F107" s="1451" t="str">
        <f>'Administration (2)'!J18</f>
        <v>L B Finance PLC</v>
      </c>
      <c r="G107" s="976"/>
      <c r="H107" s="976"/>
      <c r="I107" s="976"/>
      <c r="J107" s="976"/>
      <c r="K107" s="976"/>
      <c r="L107" s="976"/>
      <c r="M107" s="976"/>
      <c r="N107" s="976"/>
      <c r="O107" s="976"/>
      <c r="Q107" s="975"/>
      <c r="R107" s="975"/>
      <c r="S107" s="975"/>
      <c r="T107" s="975"/>
      <c r="U107" s="975"/>
      <c r="V107" s="975"/>
      <c r="W107" s="975"/>
      <c r="X107" s="975"/>
      <c r="Y107" s="975"/>
      <c r="Z107" s="975"/>
      <c r="AA107" s="975"/>
      <c r="AB107" s="975"/>
      <c r="AC107" s="975"/>
      <c r="AD107" s="975"/>
      <c r="AE107" s="975"/>
      <c r="AF107" s="975"/>
      <c r="AG107" s="975"/>
      <c r="AH107" s="975"/>
      <c r="AI107" s="975"/>
      <c r="AJ107" s="975"/>
      <c r="AM107" s="1153"/>
      <c r="AU107" s="975"/>
      <c r="AX107" s="1455"/>
    </row>
    <row r="108" spans="1:52" s="1444" customFormat="1" ht="20.149999999999999" hidden="1" customHeight="1" x14ac:dyDescent="0.3">
      <c r="A108" s="975"/>
      <c r="B108" s="1449"/>
      <c r="D108" s="976"/>
      <c r="E108" s="976"/>
      <c r="F108" s="1451" t="str">
        <f>'Administration (2)'!J19</f>
        <v>Lanka ORIX Finance PLC</v>
      </c>
      <c r="G108" s="976"/>
      <c r="H108" s="976"/>
      <c r="I108" s="976"/>
      <c r="J108" s="976"/>
      <c r="K108" s="976"/>
      <c r="L108" s="976"/>
      <c r="M108" s="976"/>
      <c r="N108" s="976"/>
      <c r="O108" s="976"/>
      <c r="Q108" s="975"/>
      <c r="R108" s="975"/>
      <c r="S108" s="975"/>
      <c r="T108" s="975"/>
      <c r="U108" s="975"/>
      <c r="V108" s="975"/>
      <c r="W108" s="975"/>
      <c r="X108" s="975"/>
      <c r="Y108" s="975"/>
      <c r="Z108" s="975"/>
      <c r="AA108" s="975"/>
      <c r="AB108" s="975"/>
      <c r="AC108" s="975"/>
      <c r="AD108" s="975"/>
      <c r="AE108" s="975"/>
      <c r="AF108" s="975"/>
      <c r="AG108" s="975"/>
      <c r="AH108" s="975"/>
      <c r="AI108" s="975"/>
      <c r="AJ108" s="975"/>
      <c r="AM108" s="1153"/>
      <c r="AU108" s="975" t="e">
        <f ca="1">AU106+1</f>
        <v>#VALUE!</v>
      </c>
      <c r="AX108" s="1455"/>
    </row>
    <row r="109" spans="1:52" s="1444" customFormat="1" ht="28.5" hidden="1" thickTop="1" x14ac:dyDescent="0.3">
      <c r="A109" s="975"/>
      <c r="B109" s="1449"/>
      <c r="D109" s="976"/>
      <c r="E109" s="976"/>
      <c r="F109" s="1451" t="str">
        <f>'Administration (2)'!J20</f>
        <v>Matara District Capital Co-op Society Ltd</v>
      </c>
      <c r="G109" s="976"/>
      <c r="H109" s="976"/>
      <c r="I109" s="976"/>
      <c r="J109" s="976"/>
      <c r="K109" s="976"/>
      <c r="L109" s="976"/>
      <c r="M109" s="976"/>
      <c r="N109" s="976"/>
      <c r="O109" s="976"/>
      <c r="Q109" s="975"/>
      <c r="R109" s="975"/>
      <c r="S109" s="975"/>
      <c r="T109" s="975"/>
      <c r="U109" s="975"/>
      <c r="V109" s="975"/>
      <c r="W109" s="975"/>
      <c r="X109" s="975"/>
      <c r="Y109" s="975"/>
      <c r="Z109" s="975"/>
      <c r="AA109" s="975"/>
      <c r="AB109" s="975"/>
      <c r="AC109" s="975"/>
      <c r="AD109" s="975"/>
      <c r="AE109" s="975"/>
      <c r="AF109" s="975"/>
      <c r="AG109" s="975"/>
      <c r="AH109" s="975"/>
      <c r="AI109" s="975"/>
      <c r="AJ109" s="975"/>
      <c r="AM109" s="1153"/>
      <c r="AU109" s="975" t="e">
        <f t="shared" ref="AU109:AU153" ca="1" si="4">AU108+1</f>
        <v>#VALUE!</v>
      </c>
      <c r="AX109" s="1455"/>
    </row>
    <row r="110" spans="1:52" s="1444" customFormat="1" ht="28.5" hidden="1" thickTop="1" x14ac:dyDescent="0.3">
      <c r="A110" s="975"/>
      <c r="B110" s="1449"/>
      <c r="D110" s="976"/>
      <c r="E110" s="976"/>
      <c r="F110" s="1451" t="str">
        <f>'Administration (2)'!J21</f>
        <v>Mercantile Investments &amp; Finance PLC</v>
      </c>
      <c r="G110" s="976"/>
      <c r="H110" s="976"/>
      <c r="I110" s="976"/>
      <c r="J110" s="976"/>
      <c r="K110" s="976"/>
      <c r="L110" s="976"/>
      <c r="M110" s="976"/>
      <c r="O110" s="976"/>
      <c r="Q110" s="975"/>
      <c r="R110" s="975"/>
      <c r="S110" s="975"/>
      <c r="T110" s="975"/>
      <c r="U110" s="975"/>
      <c r="V110" s="975"/>
      <c r="W110" s="975"/>
      <c r="X110" s="975"/>
      <c r="Y110" s="975"/>
      <c r="Z110" s="975"/>
      <c r="AA110" s="975"/>
      <c r="AB110" s="975"/>
      <c r="AC110" s="975"/>
      <c r="AD110" s="975"/>
      <c r="AE110" s="975"/>
      <c r="AF110" s="975"/>
      <c r="AG110" s="975"/>
      <c r="AH110" s="975"/>
      <c r="AI110" s="975"/>
      <c r="AJ110" s="975"/>
      <c r="AM110" s="1153"/>
      <c r="AU110" s="975" t="e">
        <f t="shared" ca="1" si="4"/>
        <v>#VALUE!</v>
      </c>
      <c r="AX110" s="1455"/>
    </row>
    <row r="111" spans="1:52" s="1444" customFormat="1" ht="14.5" hidden="1" thickTop="1" x14ac:dyDescent="0.3">
      <c r="A111" s="975"/>
      <c r="B111" s="1449"/>
      <c r="D111" s="976"/>
      <c r="E111" s="976"/>
      <c r="F111" s="1451" t="str">
        <f>'Administration (2)'!J22</f>
        <v>Merchant Bank of Sri Lanka PLC</v>
      </c>
      <c r="G111" s="976"/>
      <c r="H111" s="976"/>
      <c r="I111" s="976"/>
      <c r="J111" s="976"/>
      <c r="K111" s="976"/>
      <c r="L111" s="976"/>
      <c r="M111" s="976"/>
      <c r="O111" s="976"/>
      <c r="Q111" s="975"/>
      <c r="R111" s="975"/>
      <c r="S111" s="975"/>
      <c r="T111" s="975"/>
      <c r="U111" s="975"/>
      <c r="V111" s="975"/>
      <c r="W111" s="975"/>
      <c r="X111" s="975"/>
      <c r="Y111" s="975"/>
      <c r="Z111" s="975"/>
      <c r="AA111" s="975"/>
      <c r="AB111" s="975"/>
      <c r="AC111" s="975"/>
      <c r="AD111" s="975"/>
      <c r="AE111" s="975"/>
      <c r="AF111" s="975"/>
      <c r="AG111" s="975"/>
      <c r="AH111" s="975"/>
      <c r="AI111" s="975"/>
      <c r="AJ111" s="975"/>
      <c r="AM111" s="1153"/>
      <c r="AU111" s="975" t="e">
        <f t="shared" ca="1" si="4"/>
        <v>#VALUE!</v>
      </c>
      <c r="AX111" s="1455"/>
    </row>
    <row r="112" spans="1:52" s="1444" customFormat="1" ht="14.5" hidden="1" thickTop="1" x14ac:dyDescent="0.3">
      <c r="A112" s="975"/>
      <c r="B112" s="1449"/>
      <c r="D112" s="976"/>
      <c r="E112" s="976"/>
      <c r="F112" s="1451" t="str">
        <f>'Administration (2)'!J23</f>
        <v>Merchant Credit of Sri Lanka Ltd</v>
      </c>
      <c r="G112" s="976"/>
      <c r="H112" s="976"/>
      <c r="I112" s="976"/>
      <c r="J112" s="976"/>
      <c r="K112" s="976"/>
      <c r="L112" s="976"/>
      <c r="M112" s="976"/>
      <c r="O112" s="976"/>
      <c r="Q112" s="975"/>
      <c r="R112" s="975"/>
      <c r="S112" s="975"/>
      <c r="T112" s="975"/>
      <c r="U112" s="975"/>
      <c r="V112" s="975"/>
      <c r="W112" s="975"/>
      <c r="X112" s="975"/>
      <c r="Y112" s="975"/>
      <c r="Z112" s="975"/>
      <c r="AA112" s="975"/>
      <c r="AB112" s="975"/>
      <c r="AC112" s="975"/>
      <c r="AD112" s="975"/>
      <c r="AE112" s="975"/>
      <c r="AF112" s="975"/>
      <c r="AG112" s="975"/>
      <c r="AH112" s="975"/>
      <c r="AI112" s="975"/>
      <c r="AJ112" s="975"/>
      <c r="AM112" s="1153"/>
      <c r="AU112" s="975" t="e">
        <f t="shared" ca="1" si="4"/>
        <v>#VALUE!</v>
      </c>
      <c r="AX112" s="1455"/>
    </row>
    <row r="113" spans="1:50" s="1444" customFormat="1" ht="14.5" hidden="1" thickTop="1" x14ac:dyDescent="0.3">
      <c r="A113" s="975"/>
      <c r="B113" s="1449"/>
      <c r="D113" s="976"/>
      <c r="E113" s="976"/>
      <c r="F113" s="1451" t="str">
        <f>'Administration (2)'!J24</f>
        <v>Nations Lanka Finance PLC</v>
      </c>
      <c r="G113" s="976"/>
      <c r="H113" s="976"/>
      <c r="I113" s="976"/>
      <c r="J113" s="976"/>
      <c r="K113" s="976"/>
      <c r="L113" s="976"/>
      <c r="M113" s="976"/>
      <c r="O113" s="976"/>
      <c r="Q113" s="975"/>
      <c r="R113" s="975"/>
      <c r="S113" s="975"/>
      <c r="T113" s="975"/>
      <c r="U113" s="975"/>
      <c r="V113" s="975"/>
      <c r="W113" s="975"/>
      <c r="X113" s="975"/>
      <c r="Y113" s="975"/>
      <c r="Z113" s="975"/>
      <c r="AA113" s="975"/>
      <c r="AB113" s="975"/>
      <c r="AC113" s="975"/>
      <c r="AD113" s="975"/>
      <c r="AE113" s="975"/>
      <c r="AF113" s="975"/>
      <c r="AG113" s="975"/>
      <c r="AH113" s="975"/>
      <c r="AI113" s="975"/>
      <c r="AJ113" s="975"/>
      <c r="AM113" s="1153"/>
      <c r="AU113" s="975" t="e">
        <f t="shared" ca="1" si="4"/>
        <v>#VALUE!</v>
      </c>
      <c r="AX113" s="1455"/>
    </row>
    <row r="114" spans="1:50" s="1444" customFormat="1" ht="14.5" hidden="1" thickTop="1" x14ac:dyDescent="0.3">
      <c r="A114" s="975"/>
      <c r="B114" s="1449"/>
      <c r="D114" s="976"/>
      <c r="E114" s="976"/>
      <c r="F114" s="1451" t="str">
        <f>'Administration (2)'!J25</f>
        <v>Omek Investments</v>
      </c>
      <c r="G114" s="976"/>
      <c r="H114" s="976"/>
      <c r="I114" s="976"/>
      <c r="J114" s="976"/>
      <c r="K114" s="976"/>
      <c r="L114" s="976"/>
      <c r="M114" s="976"/>
      <c r="O114" s="976"/>
      <c r="Q114" s="1153"/>
      <c r="AJ114" s="975"/>
      <c r="AM114" s="1153"/>
      <c r="AU114" s="975" t="e">
        <f t="shared" ca="1" si="4"/>
        <v>#VALUE!</v>
      </c>
      <c r="AX114" s="1455"/>
    </row>
    <row r="115" spans="1:50" s="1444" customFormat="1" ht="14.5" hidden="1" thickTop="1" x14ac:dyDescent="0.3">
      <c r="A115" s="975"/>
      <c r="B115" s="1449"/>
      <c r="D115" s="976"/>
      <c r="E115" s="976"/>
      <c r="F115" s="1451" t="str">
        <f>'Administration (2)'!J26</f>
        <v>People's Leasing Company PLC</v>
      </c>
      <c r="G115" s="976"/>
      <c r="H115" s="976"/>
      <c r="I115" s="976"/>
      <c r="J115" s="976"/>
      <c r="K115" s="976"/>
      <c r="L115" s="976"/>
      <c r="M115" s="976"/>
      <c r="O115" s="976"/>
      <c r="Q115" s="1153"/>
      <c r="AJ115" s="975"/>
      <c r="AM115" s="1153"/>
      <c r="AU115" s="975" t="e">
        <f t="shared" ca="1" si="4"/>
        <v>#VALUE!</v>
      </c>
      <c r="AX115" s="1455"/>
    </row>
    <row r="116" spans="1:50" s="1444" customFormat="1" ht="14.5" hidden="1" thickTop="1" x14ac:dyDescent="0.3">
      <c r="A116" s="975"/>
      <c r="B116" s="1449"/>
      <c r="D116" s="976"/>
      <c r="E116" s="976"/>
      <c r="F116" s="1451" t="str">
        <f>'Administration (2)'!J27</f>
        <v>Singer Finance (Lanka) PLC</v>
      </c>
      <c r="G116" s="976"/>
      <c r="H116" s="976"/>
      <c r="I116" s="976"/>
      <c r="J116" s="976"/>
      <c r="K116" s="976"/>
      <c r="L116" s="976"/>
      <c r="M116" s="976"/>
      <c r="O116" s="976"/>
      <c r="Q116" s="1153"/>
      <c r="AJ116" s="975"/>
      <c r="AM116" s="1153"/>
      <c r="AU116" s="975" t="e">
        <f t="shared" ca="1" si="4"/>
        <v>#VALUE!</v>
      </c>
      <c r="AX116" s="1455"/>
    </row>
    <row r="117" spans="1:50" s="1444" customFormat="1" ht="14.5" hidden="1" thickTop="1" x14ac:dyDescent="0.3">
      <c r="A117" s="975"/>
      <c r="B117" s="1449"/>
      <c r="D117" s="976"/>
      <c r="E117" s="976"/>
      <c r="F117" s="1451" t="str">
        <f>'Administration (2)'!J28</f>
        <v>SN Finance</v>
      </c>
      <c r="G117" s="976"/>
      <c r="H117" s="976"/>
      <c r="I117" s="976"/>
      <c r="J117" s="976"/>
      <c r="K117" s="976"/>
      <c r="L117" s="976"/>
      <c r="M117" s="976"/>
      <c r="O117" s="976"/>
      <c r="Q117" s="1153"/>
      <c r="AJ117" s="975"/>
      <c r="AM117" s="1153"/>
      <c r="AU117" s="975" t="e">
        <f t="shared" ca="1" si="4"/>
        <v>#VALUE!</v>
      </c>
      <c r="AX117" s="1455"/>
    </row>
    <row r="118" spans="1:50" s="1444" customFormat="1" ht="14.5" hidden="1" thickTop="1" x14ac:dyDescent="0.3">
      <c r="A118" s="975"/>
      <c r="B118" s="1449"/>
      <c r="F118" s="1451" t="str">
        <f>'Administration (2)'!J29</f>
        <v>Softlogic Finance PLC</v>
      </c>
      <c r="O118" s="976"/>
      <c r="Q118" s="1153"/>
      <c r="AJ118" s="975"/>
      <c r="AM118" s="1153"/>
      <c r="AU118" s="975" t="e">
        <f t="shared" ca="1" si="4"/>
        <v>#VALUE!</v>
      </c>
      <c r="AX118" s="1455"/>
    </row>
    <row r="119" spans="1:50" s="1444" customFormat="1" ht="14.5" hidden="1" thickTop="1" x14ac:dyDescent="0.3">
      <c r="A119" s="975"/>
      <c r="B119" s="1449"/>
      <c r="F119" s="1451" t="str">
        <f>'Administration (2)'!J30</f>
        <v>Thamalu Enterprises</v>
      </c>
      <c r="O119" s="976"/>
      <c r="Q119" s="1153"/>
      <c r="AJ119" s="975"/>
      <c r="AM119" s="1153"/>
      <c r="AU119" s="975" t="e">
        <f t="shared" ca="1" si="4"/>
        <v>#VALUE!</v>
      </c>
      <c r="AX119" s="1455"/>
    </row>
    <row r="120" spans="1:50" s="1444" customFormat="1" ht="14.5" hidden="1" thickTop="1" x14ac:dyDescent="0.3">
      <c r="A120" s="975"/>
      <c r="B120" s="1449"/>
      <c r="F120" s="1451" t="str">
        <f>'Administration (2)'!J31</f>
        <v>Trade Finance</v>
      </c>
      <c r="O120" s="976"/>
      <c r="Q120" s="1153"/>
      <c r="AJ120" s="975"/>
      <c r="AM120" s="1153"/>
      <c r="AU120" s="975" t="e">
        <f t="shared" ca="1" si="4"/>
        <v>#VALUE!</v>
      </c>
      <c r="AX120" s="1455"/>
    </row>
    <row r="121" spans="1:50" s="1444" customFormat="1" ht="14.5" hidden="1" thickTop="1" x14ac:dyDescent="0.3">
      <c r="A121" s="975"/>
      <c r="B121" s="1449"/>
      <c r="F121" s="1451" t="str">
        <f>'Administration (2)'!J32</f>
        <v>UB Finance</v>
      </c>
      <c r="O121" s="976"/>
      <c r="Q121" s="1153"/>
      <c r="AJ121" s="975"/>
      <c r="AM121" s="1153"/>
      <c r="AU121" s="975" t="e">
        <f t="shared" ca="1" si="4"/>
        <v>#VALUE!</v>
      </c>
      <c r="AX121" s="1455"/>
    </row>
    <row r="122" spans="1:50" s="1444" customFormat="1" ht="14.5" hidden="1" thickTop="1" x14ac:dyDescent="0.3">
      <c r="A122" s="975"/>
      <c r="B122" s="1449"/>
      <c r="F122" s="1451" t="str">
        <f>'Administration (2)'!J33</f>
        <v>Vallibel Finance PLC</v>
      </c>
      <c r="O122" s="976"/>
      <c r="Q122" s="1153"/>
      <c r="AJ122" s="975"/>
      <c r="AM122" s="1153"/>
      <c r="AU122" s="975" t="e">
        <f t="shared" ca="1" si="4"/>
        <v>#VALUE!</v>
      </c>
      <c r="AX122" s="1455"/>
    </row>
    <row r="123" spans="1:50" s="1444" customFormat="1" ht="14.5" hidden="1" thickTop="1" x14ac:dyDescent="0.3">
      <c r="A123" s="975"/>
      <c r="B123" s="1449"/>
      <c r="F123" s="1451">
        <f>'Administration (2)'!J34</f>
        <v>0</v>
      </c>
      <c r="O123" s="976"/>
      <c r="Q123" s="1153"/>
      <c r="AJ123" s="975"/>
      <c r="AM123" s="1153"/>
      <c r="AU123" s="975" t="e">
        <f t="shared" ca="1" si="4"/>
        <v>#VALUE!</v>
      </c>
      <c r="AX123" s="1455"/>
    </row>
    <row r="124" spans="1:50" s="1444" customFormat="1" ht="14.5" hidden="1" thickTop="1" x14ac:dyDescent="0.3">
      <c r="A124" s="975"/>
      <c r="B124" s="1449"/>
      <c r="F124" s="1451">
        <f>'Administration (2)'!J35</f>
        <v>0</v>
      </c>
      <c r="O124" s="976"/>
      <c r="Q124" s="1153"/>
      <c r="AJ124" s="975"/>
      <c r="AM124" s="1153"/>
      <c r="AU124" s="975" t="e">
        <f t="shared" ca="1" si="4"/>
        <v>#VALUE!</v>
      </c>
      <c r="AX124" s="1455"/>
    </row>
    <row r="125" spans="1:50" s="1444" customFormat="1" ht="14.5" hidden="1" thickTop="1" x14ac:dyDescent="0.3">
      <c r="A125" s="975"/>
      <c r="B125" s="1449"/>
      <c r="F125" s="1451">
        <f>'Administration (2)'!J36</f>
        <v>0</v>
      </c>
      <c r="O125" s="976"/>
      <c r="Q125" s="1153"/>
      <c r="AJ125" s="975"/>
      <c r="AM125" s="1153"/>
      <c r="AU125" s="975" t="e">
        <f t="shared" ca="1" si="4"/>
        <v>#VALUE!</v>
      </c>
      <c r="AX125" s="1455"/>
    </row>
    <row r="126" spans="1:50" s="1444" customFormat="1" ht="14.5" hidden="1" thickTop="1" x14ac:dyDescent="0.3">
      <c r="A126" s="975"/>
      <c r="B126" s="1449"/>
      <c r="F126" s="1451">
        <f>'Administration (2)'!J37</f>
        <v>0</v>
      </c>
      <c r="O126" s="976"/>
      <c r="Q126" s="1153"/>
      <c r="AJ126" s="975"/>
      <c r="AM126" s="1153"/>
      <c r="AU126" s="975" t="e">
        <f t="shared" ca="1" si="4"/>
        <v>#VALUE!</v>
      </c>
      <c r="AX126" s="1455"/>
    </row>
    <row r="127" spans="1:50" s="1444" customFormat="1" ht="14.5" hidden="1" thickTop="1" x14ac:dyDescent="0.3">
      <c r="A127" s="975"/>
      <c r="B127" s="1449"/>
      <c r="F127" s="1451">
        <f>'Administration (2)'!J38</f>
        <v>0</v>
      </c>
      <c r="O127" s="976"/>
      <c r="Q127" s="1153"/>
      <c r="AJ127" s="975"/>
      <c r="AM127" s="1153"/>
      <c r="AU127" s="975" t="e">
        <f t="shared" ca="1" si="4"/>
        <v>#VALUE!</v>
      </c>
      <c r="AX127" s="1455"/>
    </row>
    <row r="128" spans="1:50" s="1444" customFormat="1" ht="14.5" hidden="1" thickTop="1" x14ac:dyDescent="0.3">
      <c r="A128" s="975"/>
      <c r="B128" s="1449"/>
      <c r="F128" s="1451">
        <f>'Administration (2)'!J39</f>
        <v>0</v>
      </c>
      <c r="O128" s="976"/>
      <c r="Q128" s="1153"/>
      <c r="AJ128" s="975"/>
      <c r="AM128" s="1153"/>
      <c r="AU128" s="975" t="e">
        <f t="shared" ca="1" si="4"/>
        <v>#VALUE!</v>
      </c>
      <c r="AX128" s="1455"/>
    </row>
    <row r="129" spans="1:50" s="1444" customFormat="1" ht="14.5" hidden="1" thickTop="1" x14ac:dyDescent="0.3">
      <c r="A129" s="975"/>
      <c r="B129" s="1449"/>
      <c r="F129" s="1451">
        <f>'Administration (2)'!J40</f>
        <v>0</v>
      </c>
      <c r="O129" s="976"/>
      <c r="Q129" s="1153"/>
      <c r="AJ129" s="975"/>
      <c r="AM129" s="1153"/>
      <c r="AU129" s="975" t="e">
        <f t="shared" ca="1" si="4"/>
        <v>#VALUE!</v>
      </c>
      <c r="AX129" s="1455"/>
    </row>
    <row r="130" spans="1:50" s="1444" customFormat="1" ht="14.5" hidden="1" thickTop="1" x14ac:dyDescent="0.3">
      <c r="A130" s="975"/>
      <c r="B130" s="1449"/>
      <c r="F130" s="1451">
        <f>'Administration (2)'!J41</f>
        <v>0</v>
      </c>
      <c r="O130" s="976"/>
      <c r="Q130" s="1153"/>
      <c r="AJ130" s="975"/>
      <c r="AM130" s="1153"/>
      <c r="AU130" s="975" t="e">
        <f t="shared" ca="1" si="4"/>
        <v>#VALUE!</v>
      </c>
      <c r="AX130" s="1455"/>
    </row>
    <row r="131" spans="1:50" s="1444" customFormat="1" ht="14.5" hidden="1" thickTop="1" x14ac:dyDescent="0.3">
      <c r="A131" s="975"/>
      <c r="B131" s="1449"/>
      <c r="F131" s="1451">
        <f>'Administration (2)'!J42</f>
        <v>0</v>
      </c>
      <c r="O131" s="976"/>
      <c r="Q131" s="1153"/>
      <c r="AJ131" s="975"/>
      <c r="AM131" s="1153"/>
      <c r="AU131" s="975" t="e">
        <f t="shared" ca="1" si="4"/>
        <v>#VALUE!</v>
      </c>
      <c r="AX131" s="1455"/>
    </row>
    <row r="132" spans="1:50" s="1444" customFormat="1" ht="14.5" hidden="1" thickTop="1" x14ac:dyDescent="0.3">
      <c r="A132" s="975"/>
      <c r="B132" s="1449"/>
      <c r="F132" s="1451">
        <f>'Administration (2)'!J43</f>
        <v>0</v>
      </c>
      <c r="O132" s="976"/>
      <c r="Q132" s="1153"/>
      <c r="AJ132" s="975"/>
      <c r="AM132" s="1153"/>
      <c r="AU132" s="975" t="e">
        <f t="shared" ca="1" si="4"/>
        <v>#VALUE!</v>
      </c>
      <c r="AX132" s="1455"/>
    </row>
    <row r="133" spans="1:50" s="1444" customFormat="1" ht="14.5" hidden="1" thickTop="1" x14ac:dyDescent="0.3">
      <c r="A133" s="975"/>
      <c r="B133" s="1449"/>
      <c r="F133" s="1451">
        <f>'Administration (2)'!J44</f>
        <v>0</v>
      </c>
      <c r="O133" s="976"/>
      <c r="Q133" s="1153"/>
      <c r="AJ133" s="975"/>
      <c r="AM133" s="1153"/>
      <c r="AU133" s="975" t="e">
        <f t="shared" ca="1" si="4"/>
        <v>#VALUE!</v>
      </c>
      <c r="AX133" s="1455"/>
    </row>
    <row r="134" spans="1:50" s="1444" customFormat="1" ht="14.5" hidden="1" thickTop="1" x14ac:dyDescent="0.3">
      <c r="A134" s="975"/>
      <c r="B134" s="1449"/>
      <c r="F134" s="1451">
        <f>'Administration (2)'!J45</f>
        <v>0</v>
      </c>
      <c r="O134" s="976"/>
      <c r="Q134" s="1153"/>
      <c r="AJ134" s="975"/>
      <c r="AM134" s="1153"/>
      <c r="AU134" s="975" t="e">
        <f t="shared" ca="1" si="4"/>
        <v>#VALUE!</v>
      </c>
      <c r="AX134" s="1455"/>
    </row>
    <row r="135" spans="1:50" s="1444" customFormat="1" ht="14.5" hidden="1" thickTop="1" x14ac:dyDescent="0.3">
      <c r="A135" s="975"/>
      <c r="B135" s="1449"/>
      <c r="F135" s="1451">
        <f>'Administration (2)'!J46</f>
        <v>0</v>
      </c>
      <c r="O135" s="976"/>
      <c r="Q135" s="1153"/>
      <c r="AJ135" s="975"/>
      <c r="AM135" s="1153"/>
      <c r="AU135" s="975" t="e">
        <f t="shared" ca="1" si="4"/>
        <v>#VALUE!</v>
      </c>
      <c r="AX135" s="1455"/>
    </row>
    <row r="136" spans="1:50" s="1444" customFormat="1" ht="14.5" hidden="1" thickTop="1" x14ac:dyDescent="0.3">
      <c r="A136" s="975"/>
      <c r="B136" s="1449"/>
      <c r="F136" s="1451">
        <f>'Administration (2)'!J47</f>
        <v>0</v>
      </c>
      <c r="O136" s="976"/>
      <c r="Q136" s="1153"/>
      <c r="AJ136" s="975"/>
      <c r="AM136" s="1153"/>
      <c r="AU136" s="975" t="e">
        <f t="shared" ca="1" si="4"/>
        <v>#VALUE!</v>
      </c>
      <c r="AX136" s="1455"/>
    </row>
    <row r="137" spans="1:50" s="1444" customFormat="1" ht="14.5" hidden="1" thickTop="1" x14ac:dyDescent="0.3">
      <c r="A137" s="975"/>
      <c r="B137" s="1449"/>
      <c r="F137" s="1451">
        <f>'Administration (2)'!J48</f>
        <v>0</v>
      </c>
      <c r="O137" s="976"/>
      <c r="Q137" s="1153"/>
      <c r="AJ137" s="975"/>
      <c r="AM137" s="1153"/>
      <c r="AU137" s="975" t="e">
        <f t="shared" ca="1" si="4"/>
        <v>#VALUE!</v>
      </c>
      <c r="AX137" s="1455"/>
    </row>
    <row r="138" spans="1:50" s="1444" customFormat="1" ht="14.5" hidden="1" thickTop="1" x14ac:dyDescent="0.3">
      <c r="A138" s="975"/>
      <c r="B138" s="1449"/>
      <c r="F138" s="1451">
        <f>'Administration (2)'!J49</f>
        <v>0</v>
      </c>
      <c r="O138" s="976"/>
      <c r="Q138" s="1153"/>
      <c r="AJ138" s="975"/>
      <c r="AM138" s="1153"/>
      <c r="AU138" s="975" t="e">
        <f t="shared" ca="1" si="4"/>
        <v>#VALUE!</v>
      </c>
      <c r="AX138" s="1455"/>
    </row>
    <row r="139" spans="1:50" s="1444" customFormat="1" ht="14.5" hidden="1" thickTop="1" x14ac:dyDescent="0.3">
      <c r="A139" s="975"/>
      <c r="B139" s="1449"/>
      <c r="F139" s="1451">
        <f>'Administration (2)'!J50</f>
        <v>0</v>
      </c>
      <c r="O139" s="976"/>
      <c r="Q139" s="1153"/>
      <c r="AJ139" s="975"/>
      <c r="AM139" s="1153"/>
      <c r="AU139" s="975" t="e">
        <f t="shared" ca="1" si="4"/>
        <v>#VALUE!</v>
      </c>
      <c r="AX139" s="1455"/>
    </row>
    <row r="140" spans="1:50" s="1444" customFormat="1" ht="14.5" hidden="1" thickTop="1" x14ac:dyDescent="0.3">
      <c r="A140" s="975"/>
      <c r="B140" s="1449"/>
      <c r="F140" s="1451">
        <f>'Administration (2)'!J51</f>
        <v>0</v>
      </c>
      <c r="O140" s="976"/>
      <c r="Q140" s="1153"/>
      <c r="AJ140" s="975"/>
      <c r="AM140" s="1153"/>
      <c r="AU140" s="975" t="e">
        <f t="shared" ca="1" si="4"/>
        <v>#VALUE!</v>
      </c>
      <c r="AX140" s="1455"/>
    </row>
    <row r="141" spans="1:50" s="1444" customFormat="1" ht="14.5" hidden="1" thickTop="1" x14ac:dyDescent="0.3">
      <c r="A141" s="975"/>
      <c r="B141" s="1449"/>
      <c r="F141" s="1451">
        <f>'Administration (2)'!J52</f>
        <v>0</v>
      </c>
      <c r="O141" s="976"/>
      <c r="Q141" s="1153"/>
      <c r="AJ141" s="975"/>
      <c r="AM141" s="1153"/>
      <c r="AU141" s="975" t="e">
        <f t="shared" ca="1" si="4"/>
        <v>#VALUE!</v>
      </c>
      <c r="AX141" s="1455"/>
    </row>
    <row r="142" spans="1:50" s="1444" customFormat="1" ht="14.5" hidden="1" thickTop="1" x14ac:dyDescent="0.3">
      <c r="A142" s="975"/>
      <c r="B142" s="1449"/>
      <c r="F142" s="1451">
        <f>'Administration (2)'!J53</f>
        <v>0</v>
      </c>
      <c r="O142" s="976"/>
      <c r="Q142" s="1153"/>
      <c r="AJ142" s="975"/>
      <c r="AM142" s="1153"/>
      <c r="AU142" s="975" t="e">
        <f t="shared" ca="1" si="4"/>
        <v>#VALUE!</v>
      </c>
      <c r="AX142" s="1455"/>
    </row>
    <row r="143" spans="1:50" s="1444" customFormat="1" ht="14.5" hidden="1" thickTop="1" x14ac:dyDescent="0.3">
      <c r="A143" s="975"/>
      <c r="B143" s="1449"/>
      <c r="F143" s="1451">
        <f>'Administration (2)'!J54</f>
        <v>0</v>
      </c>
      <c r="O143" s="976"/>
      <c r="Q143" s="1153"/>
      <c r="AJ143" s="975"/>
      <c r="AM143" s="1153"/>
      <c r="AU143" s="975" t="e">
        <f t="shared" ca="1" si="4"/>
        <v>#VALUE!</v>
      </c>
      <c r="AX143" s="1455"/>
    </row>
    <row r="144" spans="1:50" s="1444" customFormat="1" ht="14.5" hidden="1" thickTop="1" x14ac:dyDescent="0.3">
      <c r="A144" s="975"/>
      <c r="B144" s="1449"/>
      <c r="F144" s="1451">
        <f>'Administration (2)'!J55</f>
        <v>0</v>
      </c>
      <c r="O144" s="976"/>
      <c r="Q144" s="1153"/>
      <c r="AJ144" s="975"/>
      <c r="AM144" s="1153"/>
      <c r="AU144" s="975" t="e">
        <f t="shared" ca="1" si="4"/>
        <v>#VALUE!</v>
      </c>
      <c r="AX144" s="1455"/>
    </row>
    <row r="145" spans="1:50" s="1444" customFormat="1" ht="14.5" hidden="1" thickTop="1" x14ac:dyDescent="0.3">
      <c r="A145" s="975"/>
      <c r="B145" s="1449"/>
      <c r="F145" s="1451">
        <f>'Administration (2)'!J56</f>
        <v>0</v>
      </c>
      <c r="O145" s="976"/>
      <c r="Q145" s="1153"/>
      <c r="AJ145" s="975"/>
      <c r="AM145" s="1153"/>
      <c r="AU145" s="975" t="e">
        <f t="shared" ca="1" si="4"/>
        <v>#VALUE!</v>
      </c>
      <c r="AX145" s="1455"/>
    </row>
    <row r="146" spans="1:50" s="1444" customFormat="1" ht="14.5" hidden="1" thickTop="1" x14ac:dyDescent="0.3">
      <c r="A146" s="975"/>
      <c r="B146" s="1449"/>
      <c r="F146" s="1451">
        <f>'Administration (2)'!J57</f>
        <v>0</v>
      </c>
      <c r="O146" s="976"/>
      <c r="Q146" s="1153"/>
      <c r="AJ146" s="975"/>
      <c r="AM146" s="1153"/>
      <c r="AU146" s="975" t="e">
        <f t="shared" ca="1" si="4"/>
        <v>#VALUE!</v>
      </c>
      <c r="AX146" s="1455"/>
    </row>
    <row r="147" spans="1:50" s="1444" customFormat="1" ht="14.5" hidden="1" thickTop="1" x14ac:dyDescent="0.3">
      <c r="A147" s="975"/>
      <c r="B147" s="1449"/>
      <c r="F147" s="1451">
        <f>'Administration (2)'!J58</f>
        <v>0</v>
      </c>
      <c r="O147" s="976"/>
      <c r="Q147" s="1153"/>
      <c r="AJ147" s="975"/>
      <c r="AM147" s="1153"/>
      <c r="AU147" s="975" t="e">
        <f t="shared" ca="1" si="4"/>
        <v>#VALUE!</v>
      </c>
      <c r="AX147" s="1455"/>
    </row>
    <row r="148" spans="1:50" s="1444" customFormat="1" ht="14.5" hidden="1" thickTop="1" x14ac:dyDescent="0.3">
      <c r="A148" s="975"/>
      <c r="B148" s="1449"/>
      <c r="F148" s="1451">
        <f>'Administration (2)'!J59</f>
        <v>0</v>
      </c>
      <c r="O148" s="976"/>
      <c r="Q148" s="1153"/>
      <c r="AJ148" s="975"/>
      <c r="AM148" s="1153"/>
      <c r="AU148" s="975" t="e">
        <f t="shared" ca="1" si="4"/>
        <v>#VALUE!</v>
      </c>
      <c r="AX148" s="1455"/>
    </row>
    <row r="149" spans="1:50" s="1444" customFormat="1" ht="14.5" hidden="1" thickTop="1" x14ac:dyDescent="0.3">
      <c r="A149" s="975"/>
      <c r="B149" s="1449"/>
      <c r="F149" s="1451">
        <f>'Administration (2)'!J60</f>
        <v>0</v>
      </c>
      <c r="O149" s="976"/>
      <c r="Q149" s="1153"/>
      <c r="AJ149" s="975"/>
      <c r="AM149" s="1153"/>
      <c r="AU149" s="975" t="e">
        <f t="shared" ca="1" si="4"/>
        <v>#VALUE!</v>
      </c>
      <c r="AX149" s="1455"/>
    </row>
    <row r="150" spans="1:50" s="1444" customFormat="1" ht="14.5" hidden="1" thickTop="1" x14ac:dyDescent="0.3">
      <c r="A150" s="975"/>
      <c r="B150" s="1449"/>
      <c r="F150" s="1451">
        <f>'Administration (2)'!J61</f>
        <v>0</v>
      </c>
      <c r="O150" s="976"/>
      <c r="Q150" s="1153"/>
      <c r="AJ150" s="975"/>
      <c r="AM150" s="1153"/>
      <c r="AU150" s="975" t="e">
        <f t="shared" ca="1" si="4"/>
        <v>#VALUE!</v>
      </c>
      <c r="AX150" s="1455"/>
    </row>
    <row r="151" spans="1:50" s="1444" customFormat="1" ht="14.5" hidden="1" thickTop="1" x14ac:dyDescent="0.3">
      <c r="A151" s="975"/>
      <c r="B151" s="1449"/>
      <c r="F151" s="1451">
        <f>'Administration (2)'!J62</f>
        <v>0</v>
      </c>
      <c r="O151" s="976"/>
      <c r="Q151" s="1153"/>
      <c r="AJ151" s="975"/>
      <c r="AM151" s="1153"/>
      <c r="AU151" s="975" t="e">
        <f t="shared" ca="1" si="4"/>
        <v>#VALUE!</v>
      </c>
      <c r="AX151" s="1455"/>
    </row>
    <row r="152" spans="1:50" s="1444" customFormat="1" ht="14.5" hidden="1" thickTop="1" x14ac:dyDescent="0.3">
      <c r="A152" s="975"/>
      <c r="B152" s="1449"/>
      <c r="F152" s="1451">
        <f>'Administration (2)'!J63</f>
        <v>0</v>
      </c>
      <c r="O152" s="976"/>
      <c r="Q152" s="1153"/>
      <c r="AJ152" s="975"/>
      <c r="AM152" s="1153"/>
      <c r="AU152" s="975" t="e">
        <f t="shared" ca="1" si="4"/>
        <v>#VALUE!</v>
      </c>
      <c r="AX152" s="1455"/>
    </row>
    <row r="153" spans="1:50" s="1444" customFormat="1" ht="14.5" hidden="1" thickTop="1" x14ac:dyDescent="0.3">
      <c r="A153" s="975"/>
      <c r="B153" s="1449"/>
      <c r="O153" s="976"/>
      <c r="Q153" s="1153"/>
      <c r="AJ153" s="975"/>
      <c r="AM153" s="1153"/>
      <c r="AU153" s="975" t="e">
        <f t="shared" ca="1" si="4"/>
        <v>#VALUE!</v>
      </c>
      <c r="AX153" s="1455"/>
    </row>
  </sheetData>
  <sheetProtection password="F6CE" sheet="1" formatCells="0" formatColumns="0" formatRows="0" insertColumns="0" insertRows="0" insertHyperlinks="0" deleteColumns="0" deleteRows="0" sort="0" autoFilter="0" pivotTables="0"/>
  <dataConsolidate/>
  <mergeCells count="45">
    <mergeCell ref="N1:O1"/>
    <mergeCell ref="H2:I2"/>
    <mergeCell ref="K2:M2"/>
    <mergeCell ref="L3:M4"/>
    <mergeCell ref="I6:K6"/>
    <mergeCell ref="L6:M6"/>
    <mergeCell ref="H7:K7"/>
    <mergeCell ref="L7:M7"/>
    <mergeCell ref="H8:I8"/>
    <mergeCell ref="H9:I9"/>
    <mergeCell ref="K9:M9"/>
    <mergeCell ref="E10:F10"/>
    <mergeCell ref="H10:I10"/>
    <mergeCell ref="L10:M10"/>
    <mergeCell ref="H11:I11"/>
    <mergeCell ref="J11:L11"/>
    <mergeCell ref="H12:I12"/>
    <mergeCell ref="J12:L12"/>
    <mergeCell ref="I13:K13"/>
    <mergeCell ref="I14:J14"/>
    <mergeCell ref="K14:M14"/>
    <mergeCell ref="E15:F15"/>
    <mergeCell ref="H15:I15"/>
    <mergeCell ref="E16:H17"/>
    <mergeCell ref="I16:M17"/>
    <mergeCell ref="N17:O18"/>
    <mergeCell ref="I23:L23"/>
    <mergeCell ref="I25:K25"/>
    <mergeCell ref="F27:H28"/>
    <mergeCell ref="I28:K28"/>
    <mergeCell ref="I30:J30"/>
    <mergeCell ref="N33:O34"/>
    <mergeCell ref="I36:K36"/>
    <mergeCell ref="I37:K37"/>
    <mergeCell ref="O40:V41"/>
    <mergeCell ref="H46:K46"/>
    <mergeCell ref="N67:O67"/>
    <mergeCell ref="M70:M71"/>
    <mergeCell ref="F71:H72"/>
    <mergeCell ref="R95:T95"/>
    <mergeCell ref="I49:K49"/>
    <mergeCell ref="I52:K52"/>
    <mergeCell ref="F58:G58"/>
    <mergeCell ref="F59:G59"/>
    <mergeCell ref="E61:F67"/>
  </mergeCells>
  <conditionalFormatting sqref="E54 E50">
    <cfRule type="expression" dxfId="111" priority="8" stopIfTrue="1">
      <formula>H50&gt;0</formula>
    </cfRule>
  </conditionalFormatting>
  <conditionalFormatting sqref="E56 E45">
    <cfRule type="expression" dxfId="110" priority="9" stopIfTrue="1">
      <formula>O45=1</formula>
    </cfRule>
  </conditionalFormatting>
  <conditionalFormatting sqref="E55">
    <cfRule type="expression" dxfId="109" priority="10" stopIfTrue="1">
      <formula>Q55=1</formula>
    </cfRule>
  </conditionalFormatting>
  <conditionalFormatting sqref="F56:G56">
    <cfRule type="expression" dxfId="108" priority="11" stopIfTrue="1">
      <formula>O56=1</formula>
    </cfRule>
  </conditionalFormatting>
  <conditionalFormatting sqref="F55:G55 G40">
    <cfRule type="expression" dxfId="107" priority="12" stopIfTrue="1">
      <formula>Q40=1</formula>
    </cfRule>
  </conditionalFormatting>
  <conditionalFormatting sqref="E44">
    <cfRule type="expression" dxfId="106" priority="13" stopIfTrue="1">
      <formula>M44&gt;1</formula>
    </cfRule>
  </conditionalFormatting>
  <conditionalFormatting sqref="E46">
    <cfRule type="expression" dxfId="105" priority="14" stopIfTrue="1">
      <formula>OR(T46=1,Q48=0)</formula>
    </cfRule>
  </conditionalFormatting>
  <conditionalFormatting sqref="F46:G46">
    <cfRule type="expression" dxfId="104" priority="15" stopIfTrue="1">
      <formula>OR(T46=1,Q48=0)</formula>
    </cfRule>
  </conditionalFormatting>
  <conditionalFormatting sqref="F39:G39">
    <cfRule type="expression" dxfId="103" priority="17" stopIfTrue="1">
      <formula>B39="Yes"</formula>
    </cfRule>
  </conditionalFormatting>
  <conditionalFormatting sqref="E39">
    <cfRule type="expression" dxfId="102" priority="18" stopIfTrue="1">
      <formula>B39="Yes"</formula>
    </cfRule>
  </conditionalFormatting>
  <conditionalFormatting sqref="F23">
    <cfRule type="expression" dxfId="101" priority="19" stopIfTrue="1">
      <formula>M23&lt;0</formula>
    </cfRule>
  </conditionalFormatting>
  <conditionalFormatting sqref="E23">
    <cfRule type="expression" dxfId="100" priority="20" stopIfTrue="1">
      <formula>M23&lt;0</formula>
    </cfRule>
  </conditionalFormatting>
  <conditionalFormatting sqref="F48:G48">
    <cfRule type="expression" dxfId="99" priority="21" stopIfTrue="1">
      <formula>T48=1</formula>
    </cfRule>
  </conditionalFormatting>
  <conditionalFormatting sqref="E48">
    <cfRule type="expression" dxfId="98" priority="22" stopIfTrue="1">
      <formula>T48=1</formula>
    </cfRule>
  </conditionalFormatting>
  <conditionalFormatting sqref="F44:G44">
    <cfRule type="expression" dxfId="97" priority="23" stopIfTrue="1">
      <formula>AND(O45=1,R45=1)</formula>
    </cfRule>
  </conditionalFormatting>
  <conditionalFormatting sqref="F45:G45">
    <cfRule type="expression" dxfId="96" priority="24" stopIfTrue="1">
      <formula>AND(O45=1,R45=1)</formula>
    </cfRule>
  </conditionalFormatting>
  <conditionalFormatting sqref="E20">
    <cfRule type="expression" dxfId="95" priority="25" stopIfTrue="1">
      <formula>H20&gt;0</formula>
    </cfRule>
  </conditionalFormatting>
  <conditionalFormatting sqref="F20:G20">
    <cfRule type="expression" dxfId="94" priority="26" stopIfTrue="1">
      <formula>H20&gt;0</formula>
    </cfRule>
  </conditionalFormatting>
  <conditionalFormatting sqref="F36:F37">
    <cfRule type="expression" dxfId="93" priority="27" stopIfTrue="1">
      <formula>AND(H36&gt;0%,M36&lt;0)</formula>
    </cfRule>
  </conditionalFormatting>
  <conditionalFormatting sqref="E36:E37">
    <cfRule type="expression" dxfId="92" priority="28" stopIfTrue="1">
      <formula>AND(H36&gt;0%,M36&lt;0)</formula>
    </cfRule>
  </conditionalFormatting>
  <conditionalFormatting sqref="E47">
    <cfRule type="expression" dxfId="91" priority="29" stopIfTrue="1">
      <formula>R64=1</formula>
    </cfRule>
  </conditionalFormatting>
  <conditionalFormatting sqref="F51:G51">
    <cfRule type="expression" dxfId="90" priority="31" stopIfTrue="1">
      <formula>AND($H$51&gt;0,Z49=1,Y49=1)</formula>
    </cfRule>
  </conditionalFormatting>
  <conditionalFormatting sqref="E51">
    <cfRule type="expression" dxfId="89" priority="32" stopIfTrue="1">
      <formula>AND($H$51&gt;0,Z49=1,Y49=1)</formula>
    </cfRule>
  </conditionalFormatting>
  <conditionalFormatting sqref="E60">
    <cfRule type="expression" dxfId="88" priority="33" stopIfTrue="1">
      <formula>C60=1</formula>
    </cfRule>
  </conditionalFormatting>
  <conditionalFormatting sqref="M19:M20 M22 M30 M36:M37 M39:M55 M57">
    <cfRule type="expression" dxfId="87" priority="34" stopIfTrue="1">
      <formula>L19=1</formula>
    </cfRule>
  </conditionalFormatting>
  <conditionalFormatting sqref="M29 M23 M25">
    <cfRule type="expression" dxfId="86" priority="35" stopIfTrue="1">
      <formula>O23=1</formula>
    </cfRule>
  </conditionalFormatting>
  <conditionalFormatting sqref="E58:E59">
    <cfRule type="expression" dxfId="85" priority="36" stopIfTrue="1">
      <formula>O58=1</formula>
    </cfRule>
  </conditionalFormatting>
  <conditionalFormatting sqref="E21">
    <cfRule type="expression" dxfId="84" priority="37" stopIfTrue="1">
      <formula>OR(B21="Free",Q21=1)</formula>
    </cfRule>
  </conditionalFormatting>
  <conditionalFormatting sqref="E25">
    <cfRule type="expression" dxfId="83" priority="39" stopIfTrue="1">
      <formula>OR($R$25&gt;1,AA25=1)</formula>
    </cfRule>
  </conditionalFormatting>
  <conditionalFormatting sqref="I36">
    <cfRule type="expression" dxfId="82" priority="40" stopIfTrue="1">
      <formula>OR(H36&gt;R36,I36="NCB Not Allowed")</formula>
    </cfRule>
  </conditionalFormatting>
  <conditionalFormatting sqref="E57">
    <cfRule type="expression" dxfId="81" priority="43" stopIfTrue="1">
      <formula>M57&gt;1</formula>
    </cfRule>
  </conditionalFormatting>
  <conditionalFormatting sqref="H53">
    <cfRule type="expression" dxfId="80" priority="44" stopIfTrue="1">
      <formula>T48=0</formula>
    </cfRule>
  </conditionalFormatting>
  <conditionalFormatting sqref="F25">
    <cfRule type="expression" dxfId="79" priority="45" stopIfTrue="1">
      <formula>OR($R$25&gt;1,AA25=1)</formula>
    </cfRule>
  </conditionalFormatting>
  <conditionalFormatting sqref="F26">
    <cfRule type="expression" dxfId="78" priority="46" stopIfTrue="1">
      <formula>H25&gt;0</formula>
    </cfRule>
  </conditionalFormatting>
  <conditionalFormatting sqref="H26">
    <cfRule type="expression" dxfId="77" priority="47" stopIfTrue="1">
      <formula>H25&gt;0</formula>
    </cfRule>
  </conditionalFormatting>
  <conditionalFormatting sqref="K26">
    <cfRule type="expression" dxfId="76" priority="48" stopIfTrue="1">
      <formula>H25&gt;0</formula>
    </cfRule>
  </conditionalFormatting>
  <conditionalFormatting sqref="I29:J29">
    <cfRule type="expression" dxfId="75" priority="49" stopIfTrue="1">
      <formula>M29=0</formula>
    </cfRule>
  </conditionalFormatting>
  <conditionalFormatting sqref="I27">
    <cfRule type="expression" dxfId="74" priority="50" stopIfTrue="1">
      <formula>OR($R$25&gt;1,AA25=1)</formula>
    </cfRule>
  </conditionalFormatting>
  <conditionalFormatting sqref="L25">
    <cfRule type="expression" dxfId="73" priority="51" stopIfTrue="1">
      <formula>OR($R$25&gt;1,AA25=1)</formula>
    </cfRule>
  </conditionalFormatting>
  <conditionalFormatting sqref="G42">
    <cfRule type="expression" dxfId="72" priority="52" stopIfTrue="1">
      <formula>AND(R41=1,R40=1)</formula>
    </cfRule>
  </conditionalFormatting>
  <conditionalFormatting sqref="E40">
    <cfRule type="expression" dxfId="71" priority="53" stopIfTrue="1">
      <formula>Q38=1</formula>
    </cfRule>
  </conditionalFormatting>
  <conditionalFormatting sqref="F40">
    <cfRule type="expression" dxfId="70" priority="54" stopIfTrue="1">
      <formula>Q38=1</formula>
    </cfRule>
  </conditionalFormatting>
  <conditionalFormatting sqref="E42">
    <cfRule type="expression" dxfId="69" priority="55" stopIfTrue="1">
      <formula>AND(Q39=1,Q38=1)</formula>
    </cfRule>
  </conditionalFormatting>
  <conditionalFormatting sqref="F42">
    <cfRule type="expression" dxfId="68" priority="56" stopIfTrue="1">
      <formula>AND(Q39=1,Q38=1)</formula>
    </cfRule>
  </conditionalFormatting>
  <conditionalFormatting sqref="E53">
    <cfRule type="expression" dxfId="67" priority="57" stopIfTrue="1">
      <formula>AND(H53&gt;1000,T48=1,Z50=1,O53=1)</formula>
    </cfRule>
  </conditionalFormatting>
  <conditionalFormatting sqref="G4">
    <cfRule type="expression" dxfId="66" priority="61" stopIfTrue="1">
      <formula>D3=1</formula>
    </cfRule>
  </conditionalFormatting>
  <conditionalFormatting sqref="H4">
    <cfRule type="expression" dxfId="65" priority="62" stopIfTrue="1">
      <formula>D3=1</formula>
    </cfRule>
  </conditionalFormatting>
  <conditionalFormatting sqref="I4:J4">
    <cfRule type="expression" dxfId="64" priority="63" stopIfTrue="1">
      <formula>D3=1</formula>
    </cfRule>
  </conditionalFormatting>
  <conditionalFormatting sqref="G5">
    <cfRule type="expression" dxfId="63" priority="64" stopIfTrue="1">
      <formula>D3=1</formula>
    </cfRule>
  </conditionalFormatting>
  <conditionalFormatting sqref="I5:J5">
    <cfRule type="expression" dxfId="62" priority="65" stopIfTrue="1">
      <formula>D3=1</formula>
    </cfRule>
  </conditionalFormatting>
  <conditionalFormatting sqref="H5">
    <cfRule type="expression" dxfId="61" priority="66" stopIfTrue="1">
      <formula>D3=1</formula>
    </cfRule>
  </conditionalFormatting>
  <conditionalFormatting sqref="M5">
    <cfRule type="expression" dxfId="60" priority="67" stopIfTrue="1">
      <formula>D3=1</formula>
    </cfRule>
  </conditionalFormatting>
  <conditionalFormatting sqref="I3:J3">
    <cfRule type="expression" dxfId="59" priority="68" stopIfTrue="1">
      <formula>D3=1</formula>
    </cfRule>
  </conditionalFormatting>
  <conditionalFormatting sqref="E22">
    <cfRule type="expression" dxfId="58" priority="69" stopIfTrue="1">
      <formula>I22&gt;1000</formula>
    </cfRule>
  </conditionalFormatting>
  <conditionalFormatting sqref="F22">
    <cfRule type="expression" dxfId="57" priority="71" stopIfTrue="1">
      <formula>I22&gt;1</formula>
    </cfRule>
  </conditionalFormatting>
  <conditionalFormatting sqref="K8">
    <cfRule type="expression" dxfId="56" priority="60" stopIfTrue="1">
      <formula>M8=L8</formula>
    </cfRule>
  </conditionalFormatting>
  <conditionalFormatting sqref="I24:J24">
    <cfRule type="expression" dxfId="55" priority="88" stopIfTrue="1">
      <formula>AND(C24=1,U23=0)</formula>
    </cfRule>
  </conditionalFormatting>
  <conditionalFormatting sqref="F49:G49">
    <cfRule type="expression" dxfId="54" priority="16" stopIfTrue="1">
      <formula>OR(Q49&gt;0,H49&gt;0)</formula>
    </cfRule>
  </conditionalFormatting>
  <conditionalFormatting sqref="F47:G47">
    <cfRule type="expression" dxfId="53" priority="30" stopIfTrue="1">
      <formula>AND(H47&gt;1,T47=1,Z49=1)</formula>
    </cfRule>
  </conditionalFormatting>
  <conditionalFormatting sqref="F21:G21">
    <cfRule type="expression" dxfId="52" priority="38" stopIfTrue="1">
      <formula>OR(B21="Free",Q21=1)</formula>
    </cfRule>
  </conditionalFormatting>
  <conditionalFormatting sqref="E29">
    <cfRule type="expression" dxfId="51" priority="41" stopIfTrue="1">
      <formula>AND(R29&gt;1,Z49=1,Y49=1)</formula>
    </cfRule>
  </conditionalFormatting>
  <conditionalFormatting sqref="F29:G29">
    <cfRule type="expression" dxfId="50" priority="42" stopIfTrue="1">
      <formula>AND(R29&gt;1,Z49=1,Y49=1)</formula>
    </cfRule>
  </conditionalFormatting>
  <conditionalFormatting sqref="E41">
    <cfRule type="expression" dxfId="49" priority="89" stopIfTrue="1">
      <formula>AND($C$40=1,D41=1)</formula>
    </cfRule>
  </conditionalFormatting>
  <conditionalFormatting sqref="G41">
    <cfRule type="expression" dxfId="48" priority="90" stopIfTrue="1">
      <formula>AND($C$40=1,M30&gt;0)</formula>
    </cfRule>
  </conditionalFormatting>
  <conditionalFormatting sqref="F41">
    <cfRule type="expression" dxfId="47" priority="91" stopIfTrue="1">
      <formula>E41=1</formula>
    </cfRule>
  </conditionalFormatting>
  <conditionalFormatting sqref="K41">
    <cfRule type="expression" dxfId="46" priority="92" stopIfTrue="1">
      <formula>AND(Z42&gt;0,J41=1)</formula>
    </cfRule>
  </conditionalFormatting>
  <conditionalFormatting sqref="J41">
    <cfRule type="expression" dxfId="45" priority="93" stopIfTrue="1">
      <formula>AND($C$40=1,OR(H50&gt;0,H51&gt;0))</formula>
    </cfRule>
  </conditionalFormatting>
  <conditionalFormatting sqref="F43 K43">
    <cfRule type="expression" dxfId="44" priority="94" stopIfTrue="1">
      <formula>AND(E43=1,E41=1)</formula>
    </cfRule>
  </conditionalFormatting>
  <conditionalFormatting sqref="G43">
    <cfRule type="expression" dxfId="43" priority="95" stopIfTrue="1">
      <formula>AND($C$40=1,$C$42=1,M30&gt;0)</formula>
    </cfRule>
  </conditionalFormatting>
  <conditionalFormatting sqref="E43">
    <cfRule type="expression" dxfId="42" priority="96" stopIfTrue="1">
      <formula>AND($C$40=1,$C$42=1,D41=1)</formula>
    </cfRule>
  </conditionalFormatting>
  <conditionalFormatting sqref="J43">
    <cfRule type="expression" dxfId="41" priority="97" stopIfTrue="1">
      <formula>AND($C$40=1,$C$42=1,OR(H50&gt;0,H51&gt;0))</formula>
    </cfRule>
  </conditionalFormatting>
  <conditionalFormatting sqref="H58:H59">
    <cfRule type="expression" dxfId="40" priority="98" stopIfTrue="1">
      <formula>AND(C58=1,F58="")</formula>
    </cfRule>
  </conditionalFormatting>
  <conditionalFormatting sqref="H24">
    <cfRule type="expression" dxfId="39" priority="99" stopIfTrue="1">
      <formula>U23=0</formula>
    </cfRule>
  </conditionalFormatting>
  <conditionalFormatting sqref="I16:M17">
    <cfRule type="expression" dxfId="38" priority="100" stopIfTrue="1">
      <formula>R15=0</formula>
    </cfRule>
  </conditionalFormatting>
  <conditionalFormatting sqref="H41">
    <cfRule type="expression" dxfId="37" priority="101" stopIfTrue="1">
      <formula>AND($C$40=1,M30&gt;0,G41=1)</formula>
    </cfRule>
  </conditionalFormatting>
  <conditionalFormatting sqref="H43">
    <cfRule type="expression" dxfId="36" priority="102" stopIfTrue="1">
      <formula>AND($C$40=1,M30&gt;0,G43=1,G41=1)</formula>
    </cfRule>
  </conditionalFormatting>
  <conditionalFormatting sqref="O25 L22 L36:L37 L30 O23 L19:L20 O29 L39:L59">
    <cfRule type="expression" dxfId="35" priority="74" stopIfTrue="1">
      <formula>$C$2="Yes"</formula>
    </cfRule>
  </conditionalFormatting>
  <conditionalFormatting sqref="I41">
    <cfRule type="expression" dxfId="34" priority="58" stopIfTrue="1">
      <formula>AND(B40="Yes",T42="Yes",H25&gt;0,L27&gt;0)</formula>
    </cfRule>
  </conditionalFormatting>
  <conditionalFormatting sqref="I43">
    <cfRule type="expression" dxfId="33" priority="59" stopIfTrue="1">
      <formula>AND(B40="Yes",T42="Yes",H25&gt;0,L27&gt;0,B41="Yes",T43="Yes")</formula>
    </cfRule>
  </conditionalFormatting>
  <conditionalFormatting sqref="E30">
    <cfRule type="expression" dxfId="32" priority="72" stopIfTrue="1">
      <formula>AND(H30&gt;1,C30="Yes",AA2=1,Z49=1,Y49=1)</formula>
    </cfRule>
  </conditionalFormatting>
  <conditionalFormatting sqref="H42 I49:J49 H44 K42 K44">
    <cfRule type="cellIs" dxfId="31" priority="78" stopIfTrue="1" operator="equal">
      <formula>0</formula>
    </cfRule>
  </conditionalFormatting>
  <conditionalFormatting sqref="K47">
    <cfRule type="cellIs" dxfId="30" priority="73" stopIfTrue="1" operator="equal">
      <formula>0</formula>
    </cfRule>
  </conditionalFormatting>
  <conditionalFormatting sqref="F54:G54">
    <cfRule type="expression" dxfId="29" priority="76" stopIfTrue="1">
      <formula>$H$54&gt;0</formula>
    </cfRule>
  </conditionalFormatting>
  <conditionalFormatting sqref="F50:G50">
    <cfRule type="expression" dxfId="28" priority="77" stopIfTrue="1">
      <formula>$H$50&gt;0</formula>
    </cfRule>
  </conditionalFormatting>
  <conditionalFormatting sqref="F57:G60">
    <cfRule type="cellIs" dxfId="27" priority="79" stopIfTrue="1" operator="equal">
      <formula>"."</formula>
    </cfRule>
  </conditionalFormatting>
  <conditionalFormatting sqref="K48">
    <cfRule type="cellIs" dxfId="26" priority="80" stopIfTrue="1" operator="equal">
      <formula>0</formula>
    </cfRule>
  </conditionalFormatting>
  <conditionalFormatting sqref="I52:K53">
    <cfRule type="cellIs" dxfId="25" priority="86" stopIfTrue="1" operator="equal">
      <formula>"Enter Number of Air Bags"</formula>
    </cfRule>
  </conditionalFormatting>
  <conditionalFormatting sqref="K15">
    <cfRule type="cellIs" dxfId="24" priority="103" stopIfTrue="1" operator="equal">
      <formula>"Chinese Vehicles Covered"</formula>
    </cfRule>
  </conditionalFormatting>
  <conditionalFormatting sqref="K9:M9">
    <cfRule type="expression" dxfId="23" priority="85" stopIfTrue="1">
      <formula>OR($T$2=3,$W$2=0)</formula>
    </cfRule>
  </conditionalFormatting>
  <conditionalFormatting sqref="G22:G23">
    <cfRule type="expression" dxfId="22" priority="70" stopIfTrue="1">
      <formula>#REF!&gt;1</formula>
    </cfRule>
  </conditionalFormatting>
  <conditionalFormatting sqref="N25 N19:N20 N22:N23 N29:N30 N36:N37 N39:N57">
    <cfRule type="expression" dxfId="21" priority="75" stopIfTrue="1">
      <formula>$C$2="Yes"</formula>
    </cfRule>
  </conditionalFormatting>
  <conditionalFormatting sqref="H19">
    <cfRule type="cellIs" dxfId="20" priority="81" stopIfTrue="1" operator="equal">
      <formula>"This Quotation system is not valid anymore"</formula>
    </cfRule>
  </conditionalFormatting>
  <conditionalFormatting sqref="E26 G26 L26">
    <cfRule type="expression" dxfId="19" priority="82" stopIfTrue="1">
      <formula>$H$25&gt;0</formula>
    </cfRule>
  </conditionalFormatting>
  <conditionalFormatting sqref="I31:I34">
    <cfRule type="expression" dxfId="18" priority="83" stopIfTrue="1">
      <formula>$H$30=0</formula>
    </cfRule>
  </conditionalFormatting>
  <conditionalFormatting sqref="E32:E34">
    <cfRule type="expression" dxfId="17" priority="84" stopIfTrue="1">
      <formula>AND($H$30&gt;0,$O$31=1)</formula>
    </cfRule>
  </conditionalFormatting>
  <conditionalFormatting sqref="K22">
    <cfRule type="expression" dxfId="16" priority="87" stopIfTrue="1">
      <formula>$C$2="Yes"</formula>
    </cfRule>
  </conditionalFormatting>
  <conditionalFormatting sqref="K14:M14">
    <cfRule type="expression" dxfId="15" priority="104" stopIfTrue="1">
      <formula>$H$14="Yes"</formula>
    </cfRule>
  </conditionalFormatting>
  <conditionalFormatting sqref="K30">
    <cfRule type="expression" dxfId="14" priority="105" stopIfTrue="1">
      <formula>AND($H$30&gt;0,$O$31&gt;0)</formula>
    </cfRule>
  </conditionalFormatting>
  <conditionalFormatting sqref="F30">
    <cfRule type="expression" dxfId="13" priority="106" stopIfTrue="1">
      <formula>AND(H30&gt;1,C30="Yes",AA2=1,Z49=1,Y49=1)</formula>
    </cfRule>
  </conditionalFormatting>
  <conditionalFormatting sqref="I30:J30">
    <cfRule type="expression" dxfId="12" priority="107" stopIfTrue="1">
      <formula>AND($H$30&gt;0,$O$31&gt;0)</formula>
    </cfRule>
  </conditionalFormatting>
  <conditionalFormatting sqref="I25:K25">
    <cfRule type="expression" dxfId="11" priority="7" stopIfTrue="1">
      <formula>$H$25=0</formula>
    </cfRule>
  </conditionalFormatting>
  <conditionalFormatting sqref="E16:H17">
    <cfRule type="notContainsBlanks" dxfId="10" priority="108" stopIfTrue="1">
      <formula>LEN(TRIM(E16))&gt;0</formula>
    </cfRule>
  </conditionalFormatting>
  <conditionalFormatting sqref="E15:F15">
    <cfRule type="cellIs" dxfId="9" priority="6" stopIfTrue="1" operator="equal">
      <formula>"SUM COVERED - Above Retention"</formula>
    </cfRule>
  </conditionalFormatting>
  <conditionalFormatting sqref="M13">
    <cfRule type="expression" dxfId="8" priority="109" stopIfTrue="1">
      <formula>OR(L13="",L13=0)</formula>
    </cfRule>
  </conditionalFormatting>
  <conditionalFormatting sqref="AA1">
    <cfRule type="expression" dxfId="7" priority="5" stopIfTrue="1">
      <formula>AND($H$12="HYBRID",$H$14="No")</formula>
    </cfRule>
  </conditionalFormatting>
  <conditionalFormatting sqref="M12">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H8="Motor Cycle"</formula>
    </cfRule>
  </conditionalFormatting>
  <conditionalFormatting sqref="K50">
    <cfRule type="expression" dxfId="3" priority="110" stopIfTrue="1">
      <formula>T47=0</formula>
    </cfRule>
  </conditionalFormatting>
  <conditionalFormatting sqref="F52:F53">
    <cfRule type="expression" dxfId="2" priority="111" stopIfTrue="1">
      <formula>AND($K$50&gt;0,T47=1,Z49=1,O52=1)</formula>
    </cfRule>
  </conditionalFormatting>
  <conditionalFormatting sqref="E52">
    <cfRule type="expression" dxfId="1" priority="112" stopIfTrue="1">
      <formula>Q38=1</formula>
    </cfRule>
  </conditionalFormatting>
  <conditionalFormatting sqref="M56">
    <cfRule type="expression" dxfId="0" priority="1" stopIfTrue="1">
      <formula>L56=1</formula>
    </cfRule>
  </conditionalFormatting>
  <dataValidations count="60">
    <dataValidation type="list" allowBlank="1" showInputMessage="1" showErrorMessage="1" sqref="K14:M14" xr:uid="{00000000-0002-0000-0A00-000000000000}">
      <formula1>$F$95:$F$122</formula1>
    </dataValidation>
    <dataValidation type="list" allowBlank="1" showInputMessage="1" showErrorMessage="1" sqref="M12" xr:uid="{00000000-0002-0000-0A00-000001000000}">
      <formula1>"Above 250cc,Below 250cc"</formula1>
    </dataValidation>
    <dataValidation type="list" allowBlank="1" showInputMessage="1" showErrorMessage="1" sqref="H8:I8" xr:uid="{00000000-0002-0000-0A00-000002000000}">
      <formula1>"Motor Cycle,Three Wheeler"</formula1>
    </dataValidation>
    <dataValidation type="list" allowBlank="1" showInputMessage="1" showErrorMessage="1" sqref="K30" xr:uid="{00000000-0002-0000-0A00-000003000000}">
      <formula1>"With Fire,Without Fire"</formula1>
    </dataValidation>
    <dataValidation type="list" showInputMessage="1" showErrorMessage="1" sqref="I30" xr:uid="{00000000-0002-0000-0A00-000004000000}">
      <formula1>"Non-Hazardous,Hazardous,Extra Hazardous"</formula1>
    </dataValidation>
    <dataValidation type="list" showInputMessage="1" showErrorMessage="1" sqref="I25" xr:uid="{00000000-0002-0000-0A00-000005000000}">
      <formula1>"Full Seating Capacity,Participant Only,Driver Only,Participant &amp; Driver Only"</formula1>
    </dataValidation>
    <dataValidation type="decimal" allowBlank="1" showInputMessage="1" showErrorMessage="1" sqref="N44:N45" xr:uid="{00000000-0002-0000-0A00-000006000000}">
      <formula1>0</formula1>
      <formula2>100</formula2>
    </dataValidation>
    <dataValidation type="list" allowBlank="1" showInputMessage="1" showErrorMessage="1" sqref="H11:I11" xr:uid="{00000000-0002-0000-0A00-000007000000}">
      <formula1>"NON chinese/korean,CHINESE,KOREAN,JAPAN,INDIA,MALAYSIAN,GERMAN,SRI LANKAN"</formula1>
    </dataValidation>
    <dataValidation type="textLength" allowBlank="1" showInputMessage="1" showErrorMessage="1" error="Enter Above 5 letters_x000a_" sqref="F58:G58" xr:uid="{00000000-0002-0000-0A00-000008000000}">
      <formula1>5</formula1>
      <formula2>21</formula2>
    </dataValidation>
    <dataValidation type="list" allowBlank="1" showInputMessage="1" showErrorMessage="1" sqref="H3" xr:uid="{00000000-0002-0000-0A00-000009000000}">
      <formula1>"One Year,Pro Rata, Short Period"</formula1>
    </dataValidation>
    <dataValidation type="list" allowBlank="1" showInputMessage="1" showErrorMessage="1" sqref="G4:G5" xr:uid="{00000000-0002-0000-0A00-00000A000000}">
      <formula1>"1,2,3,4,5,6,7,8,9,10,11,12,13,14,15,16,17,18,19,20,21,22,23,24,25,26,27,28,29,30,31"</formula1>
    </dataValidation>
    <dataValidation type="list" allowBlank="1" showInputMessage="1" showErrorMessage="1" sqref="H4:H5" xr:uid="{00000000-0002-0000-0A00-00000B000000}">
      <formula1>"January,February,March,April,May,June,July,August,September,October,November,December"</formula1>
    </dataValidation>
    <dataValidation type="list" allowBlank="1" showInputMessage="1" showErrorMessage="1" sqref="I4:I5" xr:uid="{00000000-0002-0000-0A00-00000C000000}">
      <formula1>"2010,2011,2012,2013,2014,2015"</formula1>
    </dataValidation>
    <dataValidation type="list" allowBlank="1" showInputMessage="1" showErrorMessage="1" sqref="H38" xr:uid="{00000000-0002-0000-0A00-00000D000000}">
      <formula1>"Earned NCB,Upfront NCB"</formula1>
    </dataValidation>
    <dataValidation type="list" allowBlank="1" showInputMessage="1" showErrorMessage="1" sqref="E26 L26 G26" xr:uid="{00000000-0002-0000-0A00-00000E000000}">
      <formula1>"1,0"</formula1>
    </dataValidation>
    <dataValidation type="decimal" allowBlank="1" showInputMessage="1" showErrorMessage="1" sqref="N22:N23 N36:N37" xr:uid="{00000000-0002-0000-0A00-00000F000000}">
      <formula1>-10000000</formula1>
      <formula2>0</formula2>
    </dataValidation>
    <dataValidation type="list" allowBlank="1" showInputMessage="1" showErrorMessage="1" sqref="C21" xr:uid="{00000000-0002-0000-0A00-000010000000}">
      <formula1>"0,1,2"</formula1>
    </dataValidation>
    <dataValidation type="list" allowBlank="1" showInputMessage="1" showErrorMessage="1" sqref="B21" xr:uid="{00000000-0002-0000-0A00-000011000000}">
      <formula1>"Yes,No,Free"</formula1>
    </dataValidation>
    <dataValidation type="list" showInputMessage="1" showErrorMessage="1" sqref="H25" xr:uid="{00000000-0002-0000-0A00-000012000000}">
      <formula1>PAB</formula1>
    </dataValidation>
    <dataValidation type="list" allowBlank="1" showInputMessage="1" showErrorMessage="1" sqref="B31:C31" xr:uid="{00000000-0002-0000-0A00-000013000000}">
      <formula1>"1"</formula1>
    </dataValidation>
    <dataValidation allowBlank="1" showInputMessage="1" showErrorMessage="1" error="Should not exceed number of seats _x000a_(excluding driver's seat)_x000a_" sqref="I29:J29" xr:uid="{00000000-0002-0000-0A00-000014000000}"/>
    <dataValidation type="decimal" allowBlank="1" showInputMessage="1" showErrorMessage="1" sqref="N25 N46:N57 N39:N43 N19:N20 N29:N30" xr:uid="{00000000-0002-0000-0A00-000015000000}">
      <formula1>0</formula1>
      <formula2>1000000</formula2>
    </dataValidation>
    <dataValidation type="list" allowBlank="1" showInputMessage="1" showErrorMessage="1" sqref="I38:J38" xr:uid="{00000000-0002-0000-0A00-000016000000}">
      <formula1>"Conceal,Reveal"</formula1>
    </dataValidation>
    <dataValidation type="list" operator="equal" showInputMessage="1" showErrorMessage="1" sqref="H22" xr:uid="{00000000-0002-0000-0A00-000017000000}">
      <formula1>"0,2000,5000,10000"</formula1>
    </dataValidation>
    <dataValidation type="list" showInputMessage="1" showErrorMessage="1" sqref="H12" xr:uid="{00000000-0002-0000-0A00-000018000000}">
      <formula1>"PETROL (non hybrid),DIESEL (non hybrid),HYBRID,ELECTRIC"</formula1>
    </dataValidation>
    <dataValidation type="list" showInputMessage="1" showErrorMessage="1" sqref="H9:I9" xr:uid="{00000000-0002-0000-0A00-000019000000}">
      <formula1>$AP$6:$AP$7</formula1>
    </dataValidation>
    <dataValidation type="list" allowBlank="1" showInputMessage="1" showErrorMessage="1" sqref="K8" xr:uid="{00000000-0002-0000-0A00-00001A000000}">
      <formula1>"1.25%,2%"</formula1>
    </dataValidation>
    <dataValidation type="list" allowBlank="1" showInputMessage="1" showErrorMessage="1" sqref="H6" xr:uid="{00000000-0002-0000-0A00-00001B000000}">
      <formula1>"Mr.,Mrs.,Miss,Madam,Sir,Sir/Madam"</formula1>
    </dataValidation>
    <dataValidation type="textLength" showInputMessage="1" showErrorMessage="1" sqref="L6 E12" xr:uid="{00000000-0002-0000-0A00-00001C000000}">
      <formula1>0</formula1>
      <formula2>25</formula2>
    </dataValidation>
    <dataValidation type="textLength" allowBlank="1" showInputMessage="1" showErrorMessage="1" error="Should Enter Between _x000a_2 to 14 Digits only_x000a__x000a_" sqref="L10:M10" xr:uid="{00000000-0002-0000-0A00-00001D000000}">
      <formula1>2</formula1>
      <formula2>14</formula2>
    </dataValidation>
    <dataValidation type="textLength" allowBlank="1" showInputMessage="1" showErrorMessage="1" sqref="F59:G59" xr:uid="{00000000-0002-0000-0A00-00001E000000}">
      <formula1>0</formula1>
      <formula2>21</formula2>
    </dataValidation>
    <dataValidation type="whole" allowBlank="1" showInputMessage="1" showErrorMessage="1" sqref="H50" xr:uid="{00000000-0002-0000-0A00-00001F000000}">
      <formula1>-1</formula1>
      <formula2>10</formula2>
    </dataValidation>
    <dataValidation type="list" operator="notBetween" allowBlank="1" showInputMessage="1" showErrorMessage="1" sqref="H48" xr:uid="{00000000-0002-0000-0A00-000020000000}">
      <formula1>"15000,100000,300000,500000,1000000"</formula1>
    </dataValidation>
    <dataValidation type="whole" operator="greaterThan" allowBlank="1" showInputMessage="1" showErrorMessage="1" sqref="H47 H51" xr:uid="{00000000-0002-0000-0A00-000021000000}">
      <formula1>-1</formula1>
    </dataValidation>
    <dataValidation type="whole" showInputMessage="1" showErrorMessage="1" sqref="H54" xr:uid="{00000000-0002-0000-0A00-000022000000}">
      <formula1>-1</formula1>
      <formula2>10</formula2>
    </dataValidation>
    <dataValidation type="decimal" operator="greaterThanOrEqual" allowBlank="1" showInputMessage="1" showErrorMessage="1" sqref="M49" xr:uid="{00000000-0002-0000-0A00-000023000000}">
      <formula1>0</formula1>
    </dataValidation>
    <dataValidation type="decimal" allowBlank="1" showInputMessage="1" showErrorMessage="1" sqref="N58:N60" xr:uid="{00000000-0002-0000-0A00-000024000000}">
      <formula1>-100000</formula1>
      <formula2>100000</formula2>
    </dataValidation>
    <dataValidation type="list" allowBlank="1" showInputMessage="1" showErrorMessage="1" sqref="B55:B56 Q42:Q43 B46 T42:T43 W42:W43 M5 C30 B39:B41 C2:C5 H14" xr:uid="{00000000-0002-0000-0A00-000025000000}">
      <formula1>"Yes,No"</formula1>
    </dataValidation>
    <dataValidation type="whole" allowBlank="1" showInputMessage="1" showErrorMessage="1" sqref="E42 E44:E60 I43 E20:E23 E25 E39:E40 I41 E29:E30 E36:E37 T28:V28 G31:G34" xr:uid="{00000000-0002-0000-0A00-000026000000}">
      <formula1>0</formula1>
      <formula2>1</formula2>
    </dataValidation>
    <dataValidation type="list" allowBlank="1" showInputMessage="1" showErrorMessage="1" sqref="J11" xr:uid="{00000000-0002-0000-0A00-000027000000}">
      <formula1>"BRAND NEW,RECONDITIONED,REGISTERED"</formula1>
    </dataValidation>
    <dataValidation type="whole" showInputMessage="1" showErrorMessage="1" error="Should Not Exceed Number of Seats" sqref="G52" xr:uid="{00000000-0002-0000-0A00-000028000000}">
      <formula1>0</formula1>
      <formula2>2</formula2>
    </dataValidation>
    <dataValidation type="whole" showInputMessage="1" showErrorMessage="1" error="Should Not Exceed Number of Seats" sqref="G53" xr:uid="{00000000-0002-0000-0A00-000029000000}">
      <formula1>0</formula1>
      <formula2>25</formula2>
    </dataValidation>
    <dataValidation type="list" allowBlank="1" showInputMessage="1" showErrorMessage="1" sqref="O25 C58:C60 C55:C56 G43 E43 J43 E41 C39:C40 G41 L30 L22 O23 L36:L37 O29 E32:E34 L19:L20 L39:L59 J41 C45:C46 C42" xr:uid="{00000000-0002-0000-0A00-00002A000000}">
      <formula1>"0,1"</formula1>
    </dataValidation>
    <dataValidation type="list" allowBlank="1" showInputMessage="1" showErrorMessage="1" sqref="AA1" xr:uid="{00000000-0002-0000-0A00-00002B000000}">
      <formula1>"Born Hybrid,non-born Hybrid"</formula1>
    </dataValidation>
    <dataValidation type="list" showInputMessage="1" showErrorMessage="1" sqref="L13" xr:uid="{00000000-0002-0000-0A00-00002C000000}">
      <formula1>"1,2,3,4,5"</formula1>
    </dataValidation>
    <dataValidation type="list" showInputMessage="1" showErrorMessage="1" sqref="H29" xr:uid="{00000000-0002-0000-0A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A00-00002E000000}">
      <formula1>L25</formula1>
    </dataValidation>
    <dataValidation type="whole" allowBlank="1" showInputMessage="1" showErrorMessage="1" sqref="H53" xr:uid="{00000000-0002-0000-0A00-00002F000000}">
      <formula1>-1</formula1>
      <formula2>H15/4</formula2>
    </dataValidation>
    <dataValidation type="decimal" showErrorMessage="1" promptTitle="MAXIMUM NCB ALLOWED" prompt="for Private Cars  - 75%_x000a_for Commercial    - 65%_x000a_for Motor Cycles - 35%" sqref="H37" xr:uid="{00000000-0002-0000-0A00-000030000000}">
      <formula1>0</formula1>
      <formula2>R36</formula2>
    </dataValidation>
    <dataValidation type="list" operator="lessThan" showInputMessage="1" showErrorMessage="1" sqref="H13" xr:uid="{00000000-0002-0000-0A00-000031000000}">
      <formula1>AU45:AU54</formula1>
    </dataValidation>
    <dataValidation type="whole" errorStyle="warning" allowBlank="1" showInputMessage="1" showErrorMessage="1" error="Enter Value between Rs.2000/- and 50% of vehicle value" sqref="K22" xr:uid="{00000000-0002-0000-0A00-000032000000}">
      <formula1>10000</formula1>
      <formula2>H15/2</formula2>
    </dataValidation>
    <dataValidation type="whole" allowBlank="1" showInputMessage="1" showErrorMessage="1" sqref="K50" xr:uid="{00000000-0002-0000-0A00-000033000000}">
      <formula1>-1</formula1>
      <formula2>H15/4</formula2>
    </dataValidation>
    <dataValidation type="whole" operator="lessThan" showInputMessage="1" showErrorMessage="1" sqref="H15" xr:uid="{00000000-0002-0000-0A00-000034000000}">
      <formula1>O15+1</formula1>
    </dataValidation>
    <dataValidation type="whole" operator="lessThan" showInputMessage="1" showErrorMessage="1" sqref="I18:J18" xr:uid="{00000000-0002-0000-0A00-000035000000}">
      <formula1>H15/2</formula1>
    </dataValidation>
    <dataValidation type="decimal" allowBlank="1" showInputMessage="1" showErrorMessage="1" error="MAXIMUM  60%" sqref="I24:J24" xr:uid="{00000000-0002-0000-0A00-000036000000}">
      <formula1>0</formula1>
      <formula2>Q23</formula2>
    </dataValidation>
    <dataValidation type="whole" operator="lessThan" showInputMessage="1" showErrorMessage="1" sqref="H18" xr:uid="{00000000-0002-0000-0A00-000037000000}">
      <formula1>O16+1</formula1>
    </dataValidation>
    <dataValidation type="decimal" operator="lessThanOrEqual" showErrorMessage="1" promptTitle="MAXIMUM NCB ALLOWED" prompt="for Private Cars  - 75%_x000a_for Commercial    - 65%_x000a_for Motor Cycles - 35%" sqref="H36" xr:uid="{00000000-0002-0000-0A00-000038000000}">
      <formula1>R36</formula1>
    </dataValidation>
    <dataValidation type="whole" showInputMessage="1" showErrorMessage="1" sqref="H30" xr:uid="{00000000-0002-0000-0A00-000039000000}">
      <formula1>0</formula1>
      <formula2>U30</formula2>
    </dataValidation>
    <dataValidation type="whole" operator="lessThanOrEqual" allowBlank="1" showInputMessage="1" showErrorMessage="1" error="Limit Exceeded._x000a_M/R Not Allowed" sqref="H20" xr:uid="{00000000-0002-0000-0A00-00003A000000}">
      <formula1>T20</formula1>
    </dataValidation>
    <dataValidation type="whole" operator="greaterThanOrEqual" showInputMessage="1" showErrorMessage="1" errorTitle="Free Towing Facility" error="Enter above free towing facility limit_x000a_" sqref="H49" xr:uid="{00000000-0002-0000-0A00-00003B000000}">
      <formula1>Q49</formula1>
    </dataValidation>
  </dataValidations>
  <hyperlinks>
    <hyperlink ref="AZ79" r:id="rId1" display="mailto:info@amanabank.lk" xr:uid="{00000000-0004-0000-0A00-000000000000}"/>
    <hyperlink ref="AZ82" r:id="rId2" display="mailto:boc@boc.lk" xr:uid="{00000000-0004-0000-0A00-000001000000}"/>
    <hyperlink ref="AZ85" r:id="rId3" display="mailto:email@combank.net" xr:uid="{00000000-0004-0000-0A00-000002000000}"/>
    <hyperlink ref="AZ89" r:id="rId4" display="mailto:info@dfccvardhanabank.com" xr:uid="{00000000-0004-0000-0A00-000003000000}"/>
    <hyperlink ref="AZ90" r:id="rId5" display="http://www.dfccvardhanabank.com/" xr:uid="{00000000-0004-0000-0A00-000004000000}"/>
    <hyperlink ref="AZ92" r:id="rId6" display="mailto:moreinfo@hnb.net" xr:uid="{00000000-0004-0000-0A00-000005000000}"/>
    <hyperlink ref="AZ93" r:id="rId7" display="http://www.hnb.net/" xr:uid="{00000000-0004-0000-0A00-000006000000}"/>
    <hyperlink ref="AZ95" r:id="rId8" display="mailto:azfar.nomani@mcb.com.lk" xr:uid="{00000000-0004-0000-0A00-000007000000}"/>
    <hyperlink ref="AZ98" r:id="rId9" display="mailto:contact@ndbbank.com" xr:uid="{00000000-0004-0000-0A00-000008000000}"/>
    <hyperlink ref="AZ99" r:id="rId10" display="http://www.ndbbank.com/" xr:uid="{00000000-0004-0000-0A00-000009000000}"/>
    <hyperlink ref="AZ101" r:id="rId11" display="mailto:info@nationstrust.com" xr:uid="{00000000-0004-0000-0A00-00000A000000}"/>
    <hyperlink ref="AZ104" r:id="rId12" display="mailto:pabc@pabcbank.com" xr:uid="{00000000-0004-0000-0A00-00000B000000}"/>
    <hyperlink ref="AZ105" r:id="rId13" display="http://www.pabcbank.com/" xr:uid="{00000000-0004-0000-0A00-00000C000000}"/>
    <hyperlink ref="AZ107" r:id="rId14" display="mailto:info@peoplesbank.lk" xr:uid="{00000000-0004-0000-0A00-00000D000000}"/>
    <hyperlink ref="AZ110" r:id="rId15" display="mailto:oper.mgr@sampath.lk" xr:uid="{00000000-0004-0000-0A00-00000E000000}"/>
    <hyperlink ref="AZ113" r:id="rId16" display="mailto:info@seylan.lk" xr:uid="{00000000-0004-0000-0A00-00000F000000}"/>
    <hyperlink ref="AZ114" r:id="rId17" display="http://www.eseylan.com/" xr:uid="{00000000-0004-0000-0A00-000010000000}"/>
    <hyperlink ref="AZ116" r:id="rId18" display="mailto:ubc@unionb.com" xr:uid="{00000000-0004-0000-0A00-000011000000}"/>
    <hyperlink ref="AZ119" r:id="rId19" display="mailto:info@dfccbank.com" xr:uid="{00000000-0004-0000-0A00-000012000000}"/>
    <hyperlink ref="AZ122" r:id="rId20" display="mailto:info@lankaputhra.lk" xr:uid="{00000000-0004-0000-0A00-000013000000}"/>
    <hyperlink ref="AZ123" r:id="rId21" display="http://www.lankaputhra.lk/" xr:uid="{00000000-0004-0000-0A00-000014000000}"/>
    <hyperlink ref="AZ125" r:id="rId22" display="mailto:savingsbank@mbslsavingsbank.com" xr:uid="{00000000-0004-0000-0A00-000015000000}"/>
    <hyperlink ref="AZ126" r:id="rId23" display="http://www.mbslsavingsbank.com/" xr:uid="{00000000-0004-0000-0A00-000016000000}"/>
    <hyperlink ref="AZ128" r:id="rId24" display="mailto:siriwardener@rdb.lk" xr:uid="{00000000-0004-0000-0A00-000017000000}"/>
    <hyperlink ref="AZ129" r:id="rId25" display="http://www.rdb.lk/" xr:uid="{00000000-0004-0000-0A00-000018000000}"/>
    <hyperlink ref="AZ131" r:id="rId26" display="mailto:info@sdb.lk" xr:uid="{00000000-0004-0000-0A00-000019000000}"/>
    <hyperlink ref="AZ132" r:id="rId27" display="http://www.sdb.lk/" xr:uid="{00000000-0004-0000-0A00-00001A000000}"/>
    <hyperlink ref="AZ134" r:id="rId28" display="mailto:slsbl@sltnet.lk" xr:uid="{00000000-0004-0000-0A00-00001B000000}"/>
    <hyperlink ref="AZ135" r:id="rId29" display="http://www.sdb.lk/" xr:uid="{00000000-0004-0000-0A00-00001C000000}"/>
    <hyperlink ref="AZ137" r:id="rId30" display="mailto:aban@abansgroup.com" xr:uid="{00000000-0004-0000-0A00-00001D000000}"/>
    <hyperlink ref="AZ138" r:id="rId31" display="http://www.abansgroup.com/" xr:uid="{00000000-0004-0000-0A00-00001E000000}"/>
    <hyperlink ref="AZ140" r:id="rId32" display="mailto:info@alliancefinance.lk" xr:uid="{00000000-0004-0000-0A00-00001F000000}"/>
    <hyperlink ref="AZ141" r:id="rId33" display="http://www.alliancefinance.lk/" xr:uid="{00000000-0004-0000-0A00-000020000000}"/>
    <hyperlink ref="AZ144" r:id="rId34" display="http://www.amwltd.lk/" xr:uid="{00000000-0004-0000-0A00-000021000000}"/>
    <hyperlink ref="AZ146" r:id="rId35" display="mailto:bedej@arpicofinance.com" xr:uid="{00000000-0004-0000-0A00-000022000000}"/>
    <hyperlink ref="AZ147" r:id="rId36" display="http://www.arpicofinance.lk/" xr:uid="{00000000-0004-0000-0A00-000023000000}"/>
    <hyperlink ref="AZ149" r:id="rId37" display="mailto:info@asiaassetfinance.lk" xr:uid="{00000000-0004-0000-0A00-000024000000}"/>
    <hyperlink ref="AZ152" r:id="rId38" display="mailto:afl@asianfinance.lk" xr:uid="{00000000-0004-0000-0A00-000025000000}"/>
    <hyperlink ref="AZ155" r:id="rId39" display="mailto:amfcoltd@sltnet.lk" xr:uid="{00000000-0004-0000-0A00-000026000000}"/>
    <hyperlink ref="AZ158" r:id="rId40" display="mailto:bartfsl@bartleet.com" xr:uid="{00000000-0004-0000-0A00-000027000000}"/>
    <hyperlink ref="AZ159" r:id="rId41" display="http://www.batrleetgroup.com/" xr:uid="{00000000-0004-0000-0A00-000028000000}"/>
    <hyperlink ref="AZ161" r:id="rId42" display="mailto:bimputhlanka@daya-group.com" xr:uid="{00000000-0004-0000-0A00-000029000000}"/>
    <hyperlink ref="AZ162" r:id="rId43" display="http://www.dayagroupofcompanies.com/" xr:uid="{00000000-0004-0000-0A00-00002A000000}"/>
    <hyperlink ref="AZ164" r:id="rId44" display="mailto:silvereenkandy@sltnet.lk" xr:uid="{00000000-0004-0000-0A00-00002B000000}"/>
    <hyperlink ref="AZ165" r:id="rId45" display="http://www.cbsl.gov.lk/htm/english/05_fss/popup/" xr:uid="{00000000-0004-0000-0A00-00002C000000}"/>
    <hyperlink ref="AZ167" r:id="rId46" display="mailto:cenfin@cf.lk" xr:uid="{00000000-0004-0000-0A00-00002D000000}"/>
    <hyperlink ref="AZ168" r:id="rId47" display="http://www.cf.lk/" xr:uid="{00000000-0004-0000-0A00-00002E000000}"/>
    <hyperlink ref="AZ170" r:id="rId48" display="mailto:cifl@cifl.lk" xr:uid="{00000000-0004-0000-0A00-00002F000000}"/>
    <hyperlink ref="AZ171" r:id="rId49" display="http://www.cifl.lk/" xr:uid="{00000000-0004-0000-0A00-000030000000}"/>
    <hyperlink ref="AZ173" r:id="rId50" display="mailto:chifinco@gmail.com" xr:uid="{00000000-0004-0000-0A00-000031000000}"/>
    <hyperlink ref="AZ176" r:id="rId51" display="mailto:cdb@cdb.lk" xr:uid="{00000000-0004-0000-0A00-000032000000}"/>
    <hyperlink ref="AZ177" r:id="rId52" display="http://www.cdb.lk/" xr:uid="{00000000-0004-0000-0A00-000033000000}"/>
    <hyperlink ref="AZ179" r:id="rId53" display="mailto:infoifl@infinltd.lk" xr:uid="{00000000-0004-0000-0A00-000034000000}"/>
    <hyperlink ref="AZ180" r:id="rId54" display="http://www.ifl.lk/" xr:uid="{00000000-0004-0000-0A00-000035000000}"/>
    <hyperlink ref="AZ182" r:id="rId55" display="mailto:ccl@cclk.lk" xr:uid="{00000000-0004-0000-0A00-000036000000}"/>
    <hyperlink ref="AZ183" r:id="rId56" display="http://www.cclk.lk/" xr:uid="{00000000-0004-0000-0A00-000037000000}"/>
    <hyperlink ref="AZ185" r:id="rId57" display="mailto:clc@.lk" xr:uid="{00000000-0004-0000-0A00-000038000000}"/>
    <hyperlink ref="AZ186" r:id="rId58" display="http://www.clc.lk/" xr:uid="{00000000-0004-0000-0A00-000039000000}"/>
    <hyperlink ref="AZ188" r:id="rId59" display="mailto:info@divasafinance.lk" xr:uid="{00000000-0004-0000-0A00-00003A000000}"/>
    <hyperlink ref="AZ189" r:id="rId60" display="http://www.divasafinance.lk/" xr:uid="{00000000-0004-0000-0A00-00003B000000}"/>
    <hyperlink ref="AZ191" r:id="rId61" display="mailto:info@eti.lk" xr:uid="{00000000-0004-0000-0A00-00003C000000}"/>
    <hyperlink ref="AZ192" r:id="rId62" display="http://www.eti.lk/" xr:uid="{00000000-0004-0000-0A00-00003D000000}"/>
    <hyperlink ref="AZ194" r:id="rId63" display="mailto:chandrin@kanrich.lk" xr:uid="{00000000-0004-0000-0A00-00003E000000}"/>
    <hyperlink ref="AZ195" r:id="rId64" display="http://www.kanrich.lk/" xr:uid="{00000000-0004-0000-0A00-00003F000000}"/>
    <hyperlink ref="AZ197" r:id="rId65" display="mailto:mail@lbfinance.lk" xr:uid="{00000000-0004-0000-0A00-000040000000}"/>
    <hyperlink ref="AZ198" r:id="rId66" display="http://www.lbfinance.com/" xr:uid="{00000000-0004-0000-0A00-000041000000}"/>
    <hyperlink ref="AZ200" r:id="rId67" display="mailto:lofin@lankaorix.com" xr:uid="{00000000-0004-0000-0A00-000042000000}"/>
    <hyperlink ref="AZ201" r:id="rId68" display="http://www.lankaorix.com/" xr:uid="{00000000-0004-0000-0A00-000043000000}"/>
    <hyperlink ref="AZ203" r:id="rId69" display="mailto:mercantile@mi.com.lk" xr:uid="{00000000-0004-0000-0A00-000044000000}"/>
    <hyperlink ref="AZ204" r:id="rId70" display="http://www.mi.com.lk/" xr:uid="{00000000-0004-0000-0A00-000045000000}"/>
    <hyperlink ref="AZ206" r:id="rId71" display="mailto:mcsl@mbslbank.com" xr:uid="{00000000-0004-0000-0A00-000046000000}"/>
    <hyperlink ref="AZ207" r:id="rId72" display="http://www.mcsl.lk/" xr:uid="{00000000-0004-0000-0A00-000047000000}"/>
    <hyperlink ref="AZ209" r:id="rId73" display="mailto:info@themultifinance.com" xr:uid="{00000000-0004-0000-0A00-000048000000}"/>
    <hyperlink ref="AZ210" r:id="rId74" display="http://www.mcsl.lk/" xr:uid="{00000000-0004-0000-0A00-000049000000}"/>
    <hyperlink ref="AZ212" r:id="rId75" display="mailto:info@nifl.lk" xr:uid="{00000000-0004-0000-0A00-00004A000000}"/>
    <hyperlink ref="AZ215" r:id="rId76" display="mailto:bede@nflplc.com" xr:uid="{00000000-0004-0000-0A00-00004B000000}"/>
    <hyperlink ref="AZ216" r:id="rId77" display="http://www.cbsl.gov.lk/htm/english/05_fss/popup/www.nflplc.lk/" xr:uid="{00000000-0004-0000-0A00-00004C000000}"/>
    <hyperlink ref="AZ218" r:id="rId78" display="mailto:dinindus@plc.lk" xr:uid="{00000000-0004-0000-0A00-00004D000000}"/>
    <hyperlink ref="AZ221" r:id="rId79" display="mailto:senk@senfin.com" xr:uid="{00000000-0004-0000-0A00-00004E000000}"/>
    <hyperlink ref="AZ222" r:id="rId80" display="http://www.senfin.com/" xr:uid="{00000000-0004-0000-0A00-00004F000000}"/>
    <hyperlink ref="AZ224" r:id="rId81" display="mailto:financecompany@singersl.com" xr:uid="{00000000-0004-0000-0A00-000050000000}"/>
    <hyperlink ref="AZ225" r:id="rId82" display="http://www.singersl.com/" xr:uid="{00000000-0004-0000-0A00-000051000000}"/>
    <hyperlink ref="AZ227" r:id="rId83" display="mailto:info@sinhaputhra.lk" xr:uid="{00000000-0004-0000-0A00-000052000000}"/>
    <hyperlink ref="AZ228" r:id="rId84" display="http://www.sinhaputhra.lk/" xr:uid="{00000000-0004-0000-0A00-000053000000}"/>
    <hyperlink ref="AZ230" r:id="rId85" display="mailto:info@softlogicfinance.lk" xr:uid="{00000000-0004-0000-0A00-000054000000}"/>
    <hyperlink ref="AZ231" r:id="rId86" display="http://www.softlogicfinance.lk/" xr:uid="{00000000-0004-0000-0A00-000055000000}"/>
    <hyperlink ref="AZ233" r:id="rId87" display="mailto:info@sfs.lk" xr:uid="{00000000-0004-0000-0A00-000056000000}"/>
    <hyperlink ref="AZ234" r:id="rId88" display="http://www.sfs.lk/" xr:uid="{00000000-0004-0000-0A00-000057000000}"/>
    <hyperlink ref="AZ236" r:id="rId89" display="mailto:info@fglk.com" xr:uid="{00000000-0004-0000-0A00-000058000000}"/>
    <hyperlink ref="AZ237" r:id="rId90" display="http://www.fglk.com/" xr:uid="{00000000-0004-0000-0A00-000059000000}"/>
    <hyperlink ref="AZ239" r:id="rId91" display="mailto:smi@thefinance.lk" xr:uid="{00000000-0004-0000-0A00-00005A000000}"/>
    <hyperlink ref="AZ240" r:id="rId92" display="http://www.thefinance.lk/" xr:uid="{00000000-0004-0000-0A00-00005B000000}"/>
    <hyperlink ref="AZ243" r:id="rId93" display="mailto:infomail@cir.lk" xr:uid="{00000000-0004-0000-0A00-00005C000000}"/>
    <hyperlink ref="AZ246" r:id="rId94" display="mailto:tradefi@lankabiz.net" xr:uid="{00000000-0004-0000-0A00-00005D000000}"/>
    <hyperlink ref="AZ249" r:id="rId95" display="mailto:info@vallibelfinance.com" xr:uid="{00000000-0004-0000-0A00-00005E000000}"/>
    <hyperlink ref="AZ252" r:id="rId96" display="mailto:kushantha@dpmco.com" xr:uid="{00000000-0004-0000-0A00-00005F000000}"/>
    <hyperlink ref="AZ253" r:id="rId97" display="http://www.assetline.lk/" xr:uid="{00000000-0004-0000-0A00-000060000000}"/>
    <hyperlink ref="AZ255" r:id="rId98" display="mailto:%20ceylease@ceylease.lk" xr:uid="{00000000-0004-0000-0A00-000061000000}"/>
    <hyperlink ref="AZ258" r:id="rId99" display="mailto:info@cooplease.com" xr:uid="{00000000-0004-0000-0A00-000062000000}"/>
    <hyperlink ref="AZ259" r:id="rId100" display="http://www.cooplease.com./" xr:uid="{00000000-0004-0000-0A00-000063000000}"/>
    <hyperlink ref="AZ261" r:id="rId101" display="mailto:indrafinance@sltnet.lk" xr:uid="{00000000-0004-0000-0A00-000064000000}"/>
    <hyperlink ref="AZ264" r:id="rId102" display="mailto:lmewijesuriya@gmail.lk" xr:uid="{00000000-0004-0000-0A00-000065000000}"/>
    <hyperlink ref="AZ267" r:id="rId103" display="mailto:koshilea@sltnet.lk" xr:uid="{00000000-0004-0000-0A00-000066000000}"/>
    <hyperlink ref="AZ270" r:id="rId104" display="mailto:lisvin@lisvin.com" xr:uid="{00000000-0004-0000-0A00-000067000000}"/>
    <hyperlink ref="AZ273" r:id="rId105" display="mailto:chrishathi@lankaorix.com" xr:uid="{00000000-0004-0000-0A00-000068000000}"/>
    <hyperlink ref="AZ276" r:id="rId106" display="mailto:mbslbank@mbslbank.com" xr:uid="{00000000-0004-0000-0A00-000069000000}"/>
    <hyperlink ref="AZ279" r:id="rId107" display="mailto:orientleasing@sltnet.lk" xr:uid="{00000000-0004-0000-0A00-00006A000000}"/>
    <hyperlink ref="AZ282" r:id="rId108" display="mailto:dpkumarage@plc.lk" xr:uid="{00000000-0004-0000-0A00-00006B000000}"/>
    <hyperlink ref="AZ285" r:id="rId109" display="mailto:info@pmb.lk" xr:uid="{00000000-0004-0000-0A00-00006C000000}"/>
    <hyperlink ref="AZ286" r:id="rId110" display="http://www.peoplesmerchantbank.lk/" xr:uid="{00000000-0004-0000-0A00-00006D000000}"/>
    <hyperlink ref="AZ288" r:id="rId111" display="mailto:roshan@sampath-slfl.lk" xr:uid="{00000000-0004-0000-0A00-00006E000000}"/>
    <hyperlink ref="AZ291" r:id="rId112" display="mailto:smbhed@sltnet.lk" xr:uid="{00000000-0004-0000-0A00-00006F000000}"/>
    <hyperlink ref="AZ292" r:id="rId113" display="http://www.smblk.com/" xr:uid="{00000000-0004-0000-0A00-000070000000}"/>
    <hyperlink ref="AZ294" r:id="rId114" display="mailto:credit@softlogicfinance.lk" xr:uid="{00000000-0004-0000-0A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D21" sqref="D21"/>
    </sheetView>
  </sheetViews>
  <sheetFormatPr defaultColWidth="9.1796875" defaultRowHeight="20.149999999999999" customHeight="1" x14ac:dyDescent="0.25"/>
  <cols>
    <col min="1" max="1" width="3.1796875" style="1" customWidth="1"/>
    <col min="2" max="2" width="25.453125" style="1" customWidth="1"/>
    <col min="3" max="3" width="1.54296875" style="1" customWidth="1"/>
    <col min="4" max="4" width="6.453125" style="1" customWidth="1"/>
    <col min="5" max="5" width="2.453125" style="1" customWidth="1"/>
    <col min="6" max="6" width="7.453125" style="1" customWidth="1"/>
    <col min="7" max="8" width="7" style="550" customWidth="1"/>
    <col min="9" max="9" width="2.54296875" style="1" customWidth="1"/>
    <col min="10" max="10" width="25.1796875" style="1" customWidth="1"/>
    <col min="11" max="11" width="7.54296875" style="1" customWidth="1"/>
    <col min="12" max="12" width="20.54296875" style="1" customWidth="1"/>
    <col min="13" max="13" width="8.81640625" style="1" customWidth="1"/>
    <col min="14" max="14" width="15.81640625" style="1" customWidth="1"/>
    <col min="15" max="15" width="10.453125" style="1" customWidth="1"/>
    <col min="16" max="16" width="3.453125" style="1" customWidth="1"/>
    <col min="17" max="17" width="9.1796875" style="1"/>
    <col min="18" max="18" width="11.1796875" style="1" customWidth="1"/>
    <col min="19" max="21" width="9.1796875" style="1"/>
    <col min="22" max="22" width="7.4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3">
        <f ca="1">TODAY()</f>
        <v>45346</v>
      </c>
      <c r="F1" s="1488" t="s">
        <v>156</v>
      </c>
      <c r="L1" s="338"/>
    </row>
    <row r="2" spans="1:19" ht="20.149999999999999" customHeight="1" thickTop="1" thickBot="1" x14ac:dyDescent="0.4">
      <c r="A2" s="88" t="s">
        <v>55</v>
      </c>
      <c r="B2" s="89"/>
      <c r="F2" s="1488"/>
      <c r="G2" s="613" t="s">
        <v>358</v>
      </c>
      <c r="H2" s="613" t="s">
        <v>362</v>
      </c>
      <c r="I2" s="1500" t="s">
        <v>57</v>
      </c>
      <c r="J2" s="1501"/>
      <c r="L2" s="338"/>
    </row>
    <row r="3" spans="1:19" ht="20.149999999999999" customHeight="1" thickTop="1" thickBot="1" x14ac:dyDescent="0.4">
      <c r="A3" s="90">
        <v>1</v>
      </c>
      <c r="B3" s="91" t="s">
        <v>50</v>
      </c>
      <c r="C3" s="92" t="s">
        <v>51</v>
      </c>
      <c r="D3" s="146">
        <f>IF(Working!M12="Above 250cc",10,IF(AND(TW!B13=1,TW!T13="Ijarah"),5,2.2))</f>
        <v>2.2000000000000002</v>
      </c>
      <c r="E3" s="93" t="s">
        <v>56</v>
      </c>
      <c r="F3" s="147">
        <v>2</v>
      </c>
      <c r="I3" s="25">
        <v>1</v>
      </c>
      <c r="J3" s="135" t="s">
        <v>171</v>
      </c>
      <c r="K3" s="148">
        <v>0.2</v>
      </c>
      <c r="L3" s="26" t="s">
        <v>72</v>
      </c>
      <c r="M3" s="27"/>
      <c r="N3" s="1506" t="s">
        <v>142</v>
      </c>
      <c r="O3" s="1507"/>
      <c r="P3" s="1508"/>
      <c r="Q3" s="86" t="s">
        <v>139</v>
      </c>
      <c r="R3" s="87" t="s">
        <v>58</v>
      </c>
    </row>
    <row r="4" spans="1:19" ht="20.149999999999999" customHeight="1" thickTop="1" x14ac:dyDescent="0.35">
      <c r="A4" s="94">
        <f>A3+1</f>
        <v>2</v>
      </c>
      <c r="B4" s="95" t="s">
        <v>52</v>
      </c>
      <c r="C4" s="96" t="s">
        <v>51</v>
      </c>
      <c r="D4" s="149">
        <f>IF(Working!M12="Above 250cc",10,IF(AND(TW!B13=1,TW!T13="Ijarah"),5,2.2))</f>
        <v>2.2000000000000002</v>
      </c>
      <c r="E4" s="97" t="s">
        <v>56</v>
      </c>
      <c r="F4" s="150">
        <v>2</v>
      </c>
      <c r="I4" s="32"/>
      <c r="J4" s="134" t="s">
        <v>170</v>
      </c>
      <c r="K4" s="34">
        <v>0.25</v>
      </c>
      <c r="L4" s="35" t="s">
        <v>72</v>
      </c>
      <c r="M4" s="36"/>
      <c r="N4" s="1498" t="s">
        <v>140</v>
      </c>
      <c r="O4" s="1499"/>
      <c r="P4" s="1499"/>
      <c r="Q4" s="151">
        <v>7.0000000000000007E-2</v>
      </c>
      <c r="R4" s="152">
        <v>2.5000000000000001E-2</v>
      </c>
    </row>
    <row r="5" spans="1:19" ht="20.149999999999999" customHeight="1" x14ac:dyDescent="0.35">
      <c r="A5" s="98">
        <f t="shared" ref="A5:A14" si="0">A4+1</f>
        <v>3</v>
      </c>
      <c r="B5" s="99" t="s">
        <v>155</v>
      </c>
      <c r="C5" s="100" t="s">
        <v>51</v>
      </c>
      <c r="D5" s="153">
        <v>2</v>
      </c>
      <c r="E5" s="101" t="s">
        <v>56</v>
      </c>
      <c r="F5" s="154">
        <v>20</v>
      </c>
      <c r="I5" s="28">
        <f>I3+1</f>
        <v>2</v>
      </c>
      <c r="J5" s="29" t="s">
        <v>172</v>
      </c>
      <c r="K5" s="155">
        <v>0.05</v>
      </c>
      <c r="L5" s="30" t="s">
        <v>72</v>
      </c>
      <c r="M5" s="31"/>
      <c r="N5" s="1504" t="s">
        <v>149</v>
      </c>
      <c r="O5" s="1505"/>
      <c r="P5" s="1505"/>
      <c r="Q5" s="156">
        <v>0.04</v>
      </c>
      <c r="R5" s="157">
        <v>1.2500000000000001E-2</v>
      </c>
    </row>
    <row r="6" spans="1:19" ht="20.149999999999999" customHeight="1" x14ac:dyDescent="0.35">
      <c r="A6" s="94">
        <f t="shared" si="0"/>
        <v>4</v>
      </c>
      <c r="B6" s="95" t="s">
        <v>160</v>
      </c>
      <c r="C6" s="96" t="s">
        <v>51</v>
      </c>
      <c r="D6" s="158">
        <v>2.25</v>
      </c>
      <c r="E6" s="97" t="s">
        <v>56</v>
      </c>
      <c r="F6" s="150">
        <v>5</v>
      </c>
      <c r="I6" s="28"/>
      <c r="J6" s="133" t="s">
        <v>170</v>
      </c>
      <c r="K6" s="155">
        <v>6.25E-2</v>
      </c>
      <c r="L6" s="30" t="s">
        <v>72</v>
      </c>
      <c r="M6" s="31"/>
      <c r="N6" s="1504" t="s">
        <v>148</v>
      </c>
      <c r="O6" s="1505"/>
      <c r="P6" s="1505"/>
      <c r="Q6" s="156">
        <v>3.7499999999999999E-2</v>
      </c>
      <c r="R6" s="157">
        <v>1.2500000000000001E-2</v>
      </c>
    </row>
    <row r="7" spans="1:19" ht="20.149999999999999" customHeight="1" thickBot="1" x14ac:dyDescent="0.4">
      <c r="A7" s="98">
        <f t="shared" si="0"/>
        <v>5</v>
      </c>
      <c r="B7" s="99" t="s">
        <v>161</v>
      </c>
      <c r="C7" s="100" t="s">
        <v>51</v>
      </c>
      <c r="D7" s="153">
        <v>2</v>
      </c>
      <c r="E7" s="101" t="s">
        <v>56</v>
      </c>
      <c r="F7" s="154">
        <v>5</v>
      </c>
      <c r="I7" s="32">
        <f>I5+1</f>
        <v>3</v>
      </c>
      <c r="J7" s="33" t="s">
        <v>59</v>
      </c>
      <c r="K7" s="34"/>
      <c r="L7" s="35"/>
      <c r="M7" s="36"/>
      <c r="N7" s="1509" t="s">
        <v>141</v>
      </c>
      <c r="O7" s="1510"/>
      <c r="P7" s="1510"/>
      <c r="Q7" s="159">
        <v>0.05</v>
      </c>
      <c r="R7" s="160">
        <v>1250</v>
      </c>
    </row>
    <row r="8" spans="1:19" ht="20.149999999999999" customHeight="1" thickTop="1" thickBot="1" x14ac:dyDescent="0.4">
      <c r="A8" s="94">
        <f t="shared" si="0"/>
        <v>6</v>
      </c>
      <c r="B8" s="95" t="s">
        <v>163</v>
      </c>
      <c r="C8" s="96" t="s">
        <v>51</v>
      </c>
      <c r="D8" s="158">
        <v>2.25</v>
      </c>
      <c r="E8" s="97" t="s">
        <v>56</v>
      </c>
      <c r="F8" s="150">
        <v>7</v>
      </c>
      <c r="I8" s="32"/>
      <c r="J8" s="35" t="s">
        <v>68</v>
      </c>
      <c r="K8" s="34">
        <v>50</v>
      </c>
      <c r="L8" s="35" t="s">
        <v>61</v>
      </c>
      <c r="M8" s="36"/>
      <c r="N8" s="1506" t="s">
        <v>40</v>
      </c>
      <c r="O8" s="1507"/>
      <c r="P8" s="1508"/>
      <c r="Q8" s="159">
        <v>0.15</v>
      </c>
      <c r="R8" s="160">
        <v>0.25</v>
      </c>
      <c r="S8" s="1" t="s">
        <v>145</v>
      </c>
    </row>
    <row r="9" spans="1:19" ht="20.149999999999999" customHeight="1" thickTop="1" thickBot="1" x14ac:dyDescent="0.4">
      <c r="A9" s="98">
        <f t="shared" si="0"/>
        <v>7</v>
      </c>
      <c r="B9" s="99" t="s">
        <v>162</v>
      </c>
      <c r="C9" s="100" t="s">
        <v>51</v>
      </c>
      <c r="D9" s="153">
        <v>2</v>
      </c>
      <c r="E9" s="101" t="s">
        <v>56</v>
      </c>
      <c r="F9" s="154">
        <v>7</v>
      </c>
      <c r="I9" s="32"/>
      <c r="J9" s="35" t="s">
        <v>67</v>
      </c>
      <c r="K9" s="34">
        <v>25</v>
      </c>
      <c r="L9" s="35" t="s">
        <v>61</v>
      </c>
      <c r="M9" s="36"/>
      <c r="N9" s="1511" t="s">
        <v>143</v>
      </c>
      <c r="O9" s="1511"/>
      <c r="P9" s="1511"/>
      <c r="Q9" s="159">
        <v>15</v>
      </c>
      <c r="R9" s="160">
        <v>3.7499999999999999E-2</v>
      </c>
      <c r="S9" s="1" t="s">
        <v>144</v>
      </c>
    </row>
    <row r="10" spans="1:19" ht="20.149999999999999" customHeight="1" thickTop="1" x14ac:dyDescent="0.35">
      <c r="A10" s="94">
        <f t="shared" si="0"/>
        <v>8</v>
      </c>
      <c r="B10" s="95" t="s">
        <v>317</v>
      </c>
      <c r="C10" s="96" t="s">
        <v>51</v>
      </c>
      <c r="D10" s="158">
        <f>Working!K8*100</f>
        <v>1.25</v>
      </c>
      <c r="E10" s="97" t="s">
        <v>56</v>
      </c>
      <c r="F10" s="150">
        <v>5</v>
      </c>
      <c r="I10" s="32"/>
      <c r="J10" s="35" t="s">
        <v>66</v>
      </c>
      <c r="K10" s="34">
        <v>25</v>
      </c>
      <c r="L10" s="35" t="s">
        <v>61</v>
      </c>
      <c r="M10" s="36"/>
    </row>
    <row r="11" spans="1:19" ht="20.149999999999999" customHeight="1" x14ac:dyDescent="0.35">
      <c r="A11" s="98">
        <f t="shared" si="0"/>
        <v>9</v>
      </c>
      <c r="B11" s="99" t="s">
        <v>154</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318</v>
      </c>
      <c r="C16" s="96" t="s">
        <v>51</v>
      </c>
      <c r="D16" s="369">
        <v>2.25</v>
      </c>
      <c r="E16" s="370" t="s">
        <v>56</v>
      </c>
      <c r="F16" s="164">
        <v>4</v>
      </c>
      <c r="I16" s="32">
        <f>I15+1</f>
        <v>9</v>
      </c>
      <c r="J16" s="33" t="s">
        <v>36</v>
      </c>
      <c r="K16" s="35"/>
      <c r="L16" s="35"/>
      <c r="M16" s="36"/>
    </row>
    <row r="17" spans="1:15" ht="20.149999999999999" customHeight="1" thickBot="1" x14ac:dyDescent="0.4">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x14ac:dyDescent="0.4">
      <c r="A18" s="51">
        <v>1</v>
      </c>
      <c r="B18" s="39"/>
      <c r="C18" s="39"/>
      <c r="D18" s="39"/>
      <c r="E18" s="39"/>
      <c r="F18" s="39"/>
      <c r="I18" s="32"/>
      <c r="J18" s="134" t="s">
        <v>521</v>
      </c>
      <c r="K18" s="165">
        <v>700</v>
      </c>
      <c r="L18" s="50" t="s">
        <v>82</v>
      </c>
      <c r="M18" s="49">
        <v>2200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1502" t="s">
        <v>128</v>
      </c>
      <c r="N19" s="1503"/>
      <c r="O19" s="54" t="s">
        <v>114</v>
      </c>
    </row>
    <row r="20" spans="1:15" ht="20.149999999999999" customHeight="1" thickTop="1" thickBot="1" x14ac:dyDescent="0.4">
      <c r="A20" s="143"/>
      <c r="B20" s="144" t="s">
        <v>173</v>
      </c>
      <c r="C20" s="145" t="s">
        <v>51</v>
      </c>
      <c r="D20" s="167">
        <v>0</v>
      </c>
      <c r="E20" s="346" t="s">
        <v>56</v>
      </c>
      <c r="F20" s="347" t="s">
        <v>114</v>
      </c>
      <c r="G20" s="614">
        <f>IF(F20="Yes",D20,0)</f>
        <v>0</v>
      </c>
      <c r="H20" s="614"/>
      <c r="I20" s="28"/>
      <c r="J20" s="29"/>
      <c r="K20" s="155"/>
      <c r="L20" s="30"/>
      <c r="M20" s="220"/>
      <c r="N20" s="72"/>
    </row>
    <row r="21" spans="1:15" ht="20.149999999999999" customHeight="1" thickTop="1" thickBot="1" x14ac:dyDescent="0.4">
      <c r="A21" s="44"/>
      <c r="B21" s="45" t="s">
        <v>80</v>
      </c>
      <c r="C21" s="46" t="s">
        <v>51</v>
      </c>
      <c r="D21" s="168">
        <v>15</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1000000</v>
      </c>
      <c r="C25" s="85" t="s">
        <v>138</v>
      </c>
      <c r="I25" s="28"/>
      <c r="J25" s="30" t="s">
        <v>76</v>
      </c>
      <c r="K25" s="155">
        <v>150</v>
      </c>
      <c r="L25" s="56" t="s">
        <v>77</v>
      </c>
      <c r="M25" s="31"/>
    </row>
    <row r="26" spans="1:15" ht="20.149999999999999" customHeight="1" thickTop="1" thickBot="1" x14ac:dyDescent="0.4">
      <c r="A26" s="51">
        <v>3</v>
      </c>
      <c r="B26" s="52" t="s">
        <v>113</v>
      </c>
      <c r="F26" s="52" t="s">
        <v>396</v>
      </c>
      <c r="I26" s="32">
        <v>13</v>
      </c>
      <c r="J26" s="33" t="s">
        <v>83</v>
      </c>
      <c r="K26" s="35"/>
      <c r="L26" s="35"/>
      <c r="M26" s="49"/>
    </row>
    <row r="27" spans="1:15" ht="20.149999999999999" customHeight="1" thickTop="1" thickBot="1" x14ac:dyDescent="0.4">
      <c r="A27" s="53"/>
      <c r="B27" s="169">
        <v>28000000</v>
      </c>
      <c r="F27" s="1478">
        <v>10</v>
      </c>
      <c r="G27" s="1479"/>
      <c r="I27" s="60"/>
      <c r="J27" s="61" t="s">
        <v>84</v>
      </c>
      <c r="K27" s="165">
        <v>6</v>
      </c>
      <c r="L27" s="70" t="s">
        <v>88</v>
      </c>
      <c r="M27" s="49">
        <v>12</v>
      </c>
    </row>
    <row r="28" spans="1:15" ht="20.149999999999999" customHeight="1" thickTop="1" thickBot="1" x14ac:dyDescent="0.4">
      <c r="A28" s="51">
        <v>4</v>
      </c>
      <c r="B28" s="52" t="s">
        <v>115</v>
      </c>
      <c r="C28" s="1493" t="s">
        <v>78</v>
      </c>
      <c r="D28" s="1494"/>
      <c r="I28" s="60"/>
      <c r="J28" s="61" t="s">
        <v>87</v>
      </c>
      <c r="K28" s="165">
        <v>20</v>
      </c>
      <c r="L28" s="70" t="s">
        <v>89</v>
      </c>
      <c r="M28" s="49">
        <v>30</v>
      </c>
    </row>
    <row r="29" spans="1:15" ht="20.149999999999999" customHeight="1" thickTop="1" thickBot="1" x14ac:dyDescent="0.4">
      <c r="A29" s="51">
        <v>5</v>
      </c>
      <c r="B29" s="59" t="s">
        <v>116</v>
      </c>
      <c r="C29" s="1478">
        <v>75</v>
      </c>
      <c r="D29" s="1479"/>
      <c r="E29" s="1495">
        <f>IF(OR(Working!H8=Administration!C7,Working!H8=Administration!C8),G29,0)</f>
        <v>0</v>
      </c>
      <c r="F29" s="1496"/>
      <c r="G29" s="1480">
        <v>1200000</v>
      </c>
      <c r="H29" s="1481"/>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137</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135</v>
      </c>
      <c r="I37" s="32">
        <v>17</v>
      </c>
      <c r="J37" s="33" t="s">
        <v>2</v>
      </c>
      <c r="K37" s="34"/>
      <c r="L37" s="35"/>
      <c r="M37" s="36"/>
    </row>
    <row r="38" spans="1:13" ht="20.149999999999999" customHeight="1" thickTop="1" thickBot="1" x14ac:dyDescent="0.35">
      <c r="B38" s="83" t="s">
        <v>136</v>
      </c>
      <c r="C38" s="1490">
        <v>0</v>
      </c>
      <c r="D38" s="1491"/>
      <c r="E38" s="1492"/>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1490">
        <v>50000</v>
      </c>
      <c r="D40" s="1491"/>
      <c r="E40" s="1492"/>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159</v>
      </c>
      <c r="D42" s="68">
        <v>10</v>
      </c>
      <c r="I42" s="64"/>
      <c r="J42" s="67" t="s">
        <v>98</v>
      </c>
      <c r="K42" s="155">
        <v>4.5</v>
      </c>
      <c r="L42" s="30" t="s">
        <v>69</v>
      </c>
      <c r="M42" s="31"/>
    </row>
    <row r="43" spans="1:13" ht="17.149999999999999" customHeight="1" thickTop="1" thickBot="1" x14ac:dyDescent="0.4">
      <c r="A43" s="51">
        <v>11</v>
      </c>
      <c r="B43" s="1497" t="s">
        <v>131</v>
      </c>
      <c r="D43" s="68" t="s">
        <v>114</v>
      </c>
      <c r="I43" s="64"/>
      <c r="J43" s="67" t="s">
        <v>99</v>
      </c>
      <c r="K43" s="155">
        <v>5.25</v>
      </c>
      <c r="L43" s="30" t="s">
        <v>69</v>
      </c>
      <c r="M43" s="31"/>
    </row>
    <row r="44" spans="1:13" ht="17.149999999999999" customHeight="1" thickTop="1" thickBot="1" x14ac:dyDescent="0.35">
      <c r="B44" s="1497"/>
      <c r="I44" s="64"/>
      <c r="J44" s="67" t="s">
        <v>100</v>
      </c>
      <c r="K44" s="155">
        <v>6</v>
      </c>
      <c r="L44" s="30" t="s">
        <v>69</v>
      </c>
      <c r="M44" s="31"/>
    </row>
    <row r="45" spans="1:13" ht="17.149999999999999" customHeight="1" thickTop="1" thickBot="1" x14ac:dyDescent="0.4">
      <c r="A45" s="51">
        <v>12</v>
      </c>
      <c r="B45" s="63" t="s">
        <v>295</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1489" t="s">
        <v>402</v>
      </c>
      <c r="D47" s="68" t="s">
        <v>114</v>
      </c>
      <c r="I47" s="64"/>
      <c r="J47" s="67" t="s">
        <v>103</v>
      </c>
      <c r="K47" s="155">
        <v>6.75</v>
      </c>
      <c r="L47" s="30" t="s">
        <v>69</v>
      </c>
      <c r="M47" s="31"/>
    </row>
    <row r="48" spans="1:13" ht="17.149999999999999" customHeight="1" thickTop="1" x14ac:dyDescent="0.3">
      <c r="B48" s="1489"/>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264</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294</v>
      </c>
      <c r="I54" s="60"/>
      <c r="J54" s="37" t="s">
        <v>5</v>
      </c>
      <c r="K54" s="173">
        <v>1.5</v>
      </c>
      <c r="L54" s="37" t="s">
        <v>122</v>
      </c>
      <c r="M54" s="36"/>
    </row>
    <row r="55" spans="1:13" ht="20.149999999999999" customHeight="1" thickTop="1" thickBot="1" x14ac:dyDescent="0.35">
      <c r="B55" s="1490">
        <v>15000</v>
      </c>
      <c r="C55" s="1491"/>
      <c r="D55" s="1492"/>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28" t="s">
        <v>363</v>
      </c>
      <c r="I57" s="28">
        <v>20</v>
      </c>
      <c r="J57" s="55" t="s">
        <v>123</v>
      </c>
      <c r="K57" s="155">
        <v>33.33</v>
      </c>
      <c r="L57" s="30" t="s">
        <v>69</v>
      </c>
      <c r="M57" s="31"/>
    </row>
    <row r="58" spans="1:13" ht="20.149999999999999" customHeight="1" thickTop="1" thickBot="1" x14ac:dyDescent="0.35">
      <c r="B58" s="423" t="s">
        <v>367</v>
      </c>
      <c r="D58" s="68" t="s">
        <v>78</v>
      </c>
      <c r="I58" s="32">
        <v>21</v>
      </c>
      <c r="J58" s="33" t="s">
        <v>229</v>
      </c>
      <c r="K58" s="35"/>
      <c r="L58" s="35"/>
      <c r="M58" s="36"/>
    </row>
    <row r="59" spans="1:13" ht="20.149999999999999" customHeight="1" thickTop="1" thickBot="1" x14ac:dyDescent="0.35">
      <c r="B59" s="423" t="s">
        <v>364</v>
      </c>
      <c r="D59" s="251">
        <v>15</v>
      </c>
      <c r="E59" s="1" t="s">
        <v>368</v>
      </c>
      <c r="I59" s="60"/>
      <c r="J59" s="35" t="s">
        <v>230</v>
      </c>
      <c r="K59" s="172">
        <v>0</v>
      </c>
      <c r="L59" s="227" t="s">
        <v>77</v>
      </c>
      <c r="M59" s="36"/>
    </row>
    <row r="60" spans="1:13" ht="20.149999999999999" customHeight="1" thickBot="1" x14ac:dyDescent="0.35">
      <c r="B60" s="423" t="s">
        <v>365</v>
      </c>
      <c r="D60" s="251">
        <v>15</v>
      </c>
      <c r="E60" s="1" t="s">
        <v>368</v>
      </c>
      <c r="I60" s="60"/>
      <c r="J60" s="35" t="s">
        <v>231</v>
      </c>
      <c r="K60" s="173">
        <v>0</v>
      </c>
      <c r="L60" s="227" t="s">
        <v>77</v>
      </c>
      <c r="M60" s="36"/>
    </row>
    <row r="61" spans="1:13" ht="20.149999999999999" customHeight="1" thickTop="1" thickBot="1" x14ac:dyDescent="0.35">
      <c r="A61" s="454"/>
      <c r="B61" s="455" t="s">
        <v>369</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7" t="s">
        <v>366</v>
      </c>
      <c r="D63" s="68" t="s">
        <v>78</v>
      </c>
      <c r="I63" s="60"/>
      <c r="J63" s="37" t="s">
        <v>225</v>
      </c>
      <c r="K63" s="173">
        <v>0</v>
      </c>
      <c r="L63" s="227" t="s">
        <v>77</v>
      </c>
      <c r="M63" s="36"/>
    </row>
    <row r="64" spans="1:13" ht="20.149999999999999" customHeight="1" thickTop="1" thickBot="1" x14ac:dyDescent="0.35">
      <c r="B64" s="423" t="s">
        <v>367</v>
      </c>
      <c r="D64" s="68" t="s">
        <v>78</v>
      </c>
      <c r="I64" s="60"/>
      <c r="J64" s="37" t="s">
        <v>232</v>
      </c>
      <c r="K64" s="173">
        <v>2500</v>
      </c>
      <c r="L64" s="227" t="s">
        <v>77</v>
      </c>
      <c r="M64" s="36"/>
    </row>
    <row r="65" spans="1:13" ht="20.149999999999999" customHeight="1" thickTop="1" thickBot="1" x14ac:dyDescent="0.35">
      <c r="I65" s="60"/>
      <c r="J65" s="37" t="s">
        <v>228</v>
      </c>
      <c r="K65" s="173">
        <v>2000</v>
      </c>
      <c r="L65" s="227" t="s">
        <v>77</v>
      </c>
      <c r="M65" s="36"/>
    </row>
    <row r="66" spans="1:13" ht="20.149999999999999" customHeight="1" thickTop="1" thickBot="1" x14ac:dyDescent="0.45">
      <c r="A66" s="51">
        <v>19</v>
      </c>
      <c r="B66" s="428" t="s">
        <v>370</v>
      </c>
      <c r="I66" s="60"/>
      <c r="J66" s="37" t="s">
        <v>233</v>
      </c>
      <c r="K66" s="173">
        <v>5000</v>
      </c>
      <c r="L66" s="227" t="s">
        <v>77</v>
      </c>
      <c r="M66" s="36"/>
    </row>
    <row r="67" spans="1:13" ht="20.149999999999999" customHeight="1" thickTop="1" thickBot="1" x14ac:dyDescent="0.35">
      <c r="B67" s="426" t="s">
        <v>371</v>
      </c>
      <c r="D67" s="68" t="s">
        <v>78</v>
      </c>
      <c r="I67" s="60"/>
      <c r="J67" s="37" t="s">
        <v>220</v>
      </c>
      <c r="K67" s="173">
        <v>2500</v>
      </c>
      <c r="L67" s="227" t="s">
        <v>77</v>
      </c>
      <c r="M67" s="36"/>
    </row>
    <row r="68" spans="1:13" ht="20.149999999999999" customHeight="1" thickTop="1" x14ac:dyDescent="0.3">
      <c r="A68" s="1482" t="s">
        <v>435</v>
      </c>
      <c r="B68" s="1483"/>
      <c r="C68" s="1483"/>
      <c r="D68" s="1483"/>
      <c r="E68" s="1483"/>
      <c r="F68" s="1483"/>
      <c r="G68" s="1484"/>
      <c r="I68" s="60"/>
      <c r="J68" s="37" t="s">
        <v>270</v>
      </c>
      <c r="K68" s="173">
        <v>10</v>
      </c>
      <c r="L68" s="319">
        <v>5000</v>
      </c>
      <c r="M68" s="320" t="s">
        <v>283</v>
      </c>
    </row>
    <row r="69" spans="1:13" ht="20.149999999999999" customHeight="1" x14ac:dyDescent="0.3">
      <c r="A69" s="1485"/>
      <c r="B69" s="1486"/>
      <c r="C69" s="1486"/>
      <c r="D69" s="1486"/>
      <c r="E69" s="1486"/>
      <c r="F69" s="1486"/>
      <c r="G69" s="1487"/>
      <c r="I69" s="60"/>
      <c r="J69" s="37" t="s">
        <v>210</v>
      </c>
      <c r="K69" s="173">
        <v>0</v>
      </c>
      <c r="L69" s="227" t="s">
        <v>77</v>
      </c>
      <c r="M69" s="36"/>
    </row>
    <row r="70" spans="1:13" ht="20.149999999999999" customHeight="1" thickBot="1" x14ac:dyDescent="0.35">
      <c r="I70" s="60"/>
      <c r="J70" s="37" t="s">
        <v>271</v>
      </c>
      <c r="K70" s="173">
        <v>0</v>
      </c>
      <c r="L70" s="227" t="s">
        <v>77</v>
      </c>
      <c r="M70" s="36"/>
    </row>
    <row r="71" spans="1:13" ht="20.149999999999999" customHeight="1" thickTop="1" thickBot="1" x14ac:dyDescent="0.35">
      <c r="B71" s="426" t="s">
        <v>372</v>
      </c>
      <c r="D71" s="68" t="s">
        <v>114</v>
      </c>
      <c r="I71" s="60"/>
      <c r="J71" s="37" t="s">
        <v>209</v>
      </c>
      <c r="K71" s="173">
        <v>0</v>
      </c>
      <c r="L71" s="227" t="s">
        <v>77</v>
      </c>
      <c r="M71" s="36"/>
    </row>
    <row r="72" spans="1:13" ht="20.149999999999999" customHeight="1" thickTop="1" x14ac:dyDescent="0.3">
      <c r="A72" s="1482"/>
      <c r="B72" s="1483"/>
      <c r="C72" s="1483"/>
      <c r="D72" s="1483"/>
      <c r="E72" s="1483"/>
      <c r="F72" s="1483"/>
      <c r="G72" s="1484"/>
      <c r="I72" s="60"/>
      <c r="J72" s="37" t="s">
        <v>275</v>
      </c>
      <c r="K72" s="173">
        <v>0</v>
      </c>
      <c r="L72" s="227" t="s">
        <v>77</v>
      </c>
      <c r="M72" s="36"/>
    </row>
    <row r="73" spans="1:13" ht="20.149999999999999" customHeight="1" x14ac:dyDescent="0.3">
      <c r="A73" s="1485"/>
      <c r="B73" s="1486"/>
      <c r="C73" s="1486"/>
      <c r="D73" s="1486"/>
      <c r="E73" s="1486"/>
      <c r="F73" s="1486"/>
      <c r="G73" s="1487"/>
      <c r="I73" s="60"/>
      <c r="J73" s="37" t="s">
        <v>276</v>
      </c>
      <c r="K73" s="173">
        <v>0</v>
      </c>
      <c r="L73" s="227" t="s">
        <v>77</v>
      </c>
      <c r="M73" s="36"/>
    </row>
    <row r="74" spans="1:13" ht="20.149999999999999" customHeight="1" thickBot="1" x14ac:dyDescent="0.35">
      <c r="I74" s="60"/>
      <c r="J74" s="37" t="s">
        <v>211</v>
      </c>
      <c r="K74" s="173">
        <v>0</v>
      </c>
      <c r="L74" s="227" t="s">
        <v>77</v>
      </c>
      <c r="M74" s="36"/>
    </row>
    <row r="75" spans="1:13" ht="20.149999999999999" customHeight="1" thickTop="1" thickBot="1" x14ac:dyDescent="0.35">
      <c r="B75" s="426" t="s">
        <v>373</v>
      </c>
      <c r="D75" s="68" t="s">
        <v>114</v>
      </c>
      <c r="F75" s="425">
        <v>0.25</v>
      </c>
      <c r="I75" s="60"/>
      <c r="J75" s="37" t="s">
        <v>215</v>
      </c>
      <c r="K75" s="173">
        <v>0</v>
      </c>
      <c r="L75" s="227" t="s">
        <v>77</v>
      </c>
      <c r="M75" s="36"/>
    </row>
    <row r="76" spans="1:13" ht="20.149999999999999" customHeight="1" thickTop="1" thickBot="1" x14ac:dyDescent="0.35">
      <c r="B76" s="423" t="s">
        <v>367</v>
      </c>
      <c r="D76" s="68" t="str">
        <f>IF(OR(Working!H14="Yes",Working!M12="Corporate"),"Yes","No")</f>
        <v>Yes</v>
      </c>
      <c r="I76" s="60"/>
      <c r="J76" s="544" t="s">
        <v>212</v>
      </c>
      <c r="K76" s="173">
        <v>3000</v>
      </c>
      <c r="L76" s="227" t="s">
        <v>77</v>
      </c>
      <c r="M76" s="36"/>
    </row>
    <row r="77" spans="1:13" ht="20.149999999999999" customHeight="1" thickTop="1" x14ac:dyDescent="0.3">
      <c r="I77" s="28">
        <v>22</v>
      </c>
      <c r="J77" s="55" t="s">
        <v>306</v>
      </c>
      <c r="K77" s="30"/>
      <c r="L77" s="30"/>
      <c r="M77" s="31"/>
    </row>
    <row r="78" spans="1:13" ht="20.149999999999999" customHeight="1" thickBot="1" x14ac:dyDescent="0.35">
      <c r="I78" s="64"/>
      <c r="J78" s="67" t="s">
        <v>316</v>
      </c>
      <c r="K78" s="356">
        <v>0.125</v>
      </c>
      <c r="L78" s="30" t="s">
        <v>307</v>
      </c>
      <c r="M78" s="31"/>
    </row>
    <row r="79" spans="1:13" ht="20.149999999999999" customHeight="1" thickTop="1" thickBot="1" x14ac:dyDescent="0.45">
      <c r="A79" s="51">
        <v>20</v>
      </c>
      <c r="B79" s="428" t="s">
        <v>397</v>
      </c>
      <c r="D79" s="68" t="s">
        <v>78</v>
      </c>
      <c r="I79" s="64"/>
      <c r="J79" s="67" t="s">
        <v>308</v>
      </c>
      <c r="K79" s="356">
        <v>0.25</v>
      </c>
      <c r="L79" s="30" t="s">
        <v>307</v>
      </c>
      <c r="M79" s="31"/>
    </row>
    <row r="80" spans="1:13" ht="20.149999999999999" customHeight="1" thickTop="1" thickBot="1" x14ac:dyDescent="0.35">
      <c r="I80" s="64"/>
      <c r="J80" s="67" t="s">
        <v>309</v>
      </c>
      <c r="K80" s="356">
        <v>0.375</v>
      </c>
      <c r="L80" s="30" t="s">
        <v>307</v>
      </c>
      <c r="M80" s="31"/>
    </row>
    <row r="81" spans="1:13" ht="20.149999999999999" customHeight="1" thickTop="1" thickBot="1" x14ac:dyDescent="0.4">
      <c r="A81" s="51">
        <v>24</v>
      </c>
      <c r="B81" s="533" t="s">
        <v>407</v>
      </c>
      <c r="D81" s="68" t="s">
        <v>114</v>
      </c>
      <c r="F81" s="68">
        <v>1000</v>
      </c>
      <c r="I81" s="64"/>
      <c r="J81" s="67" t="s">
        <v>302</v>
      </c>
      <c r="K81" s="356">
        <v>0.5</v>
      </c>
      <c r="L81" s="30" t="s">
        <v>69</v>
      </c>
      <c r="M81" s="31"/>
    </row>
    <row r="82" spans="1:13" ht="20.149999999999999" customHeight="1" thickTop="1" thickBot="1" x14ac:dyDescent="0.35">
      <c r="B82" s="542" t="s">
        <v>409</v>
      </c>
      <c r="I82" s="64"/>
      <c r="J82" s="67" t="s">
        <v>310</v>
      </c>
      <c r="K82" s="356">
        <v>0.625</v>
      </c>
      <c r="L82" s="30" t="s">
        <v>69</v>
      </c>
      <c r="M82" s="31"/>
    </row>
    <row r="83" spans="1:13" ht="20.149999999999999" customHeight="1" thickTop="1" thickBot="1" x14ac:dyDescent="0.35">
      <c r="B83" s="543" t="s">
        <v>223</v>
      </c>
      <c r="D83" s="68">
        <v>2500</v>
      </c>
      <c r="I83" s="64"/>
      <c r="J83" s="67" t="s">
        <v>305</v>
      </c>
      <c r="K83" s="356">
        <v>0.75</v>
      </c>
      <c r="L83" s="30" t="s">
        <v>69</v>
      </c>
      <c r="M83" s="31"/>
    </row>
    <row r="84" spans="1:13" ht="20.149999999999999" customHeight="1" thickTop="1" x14ac:dyDescent="0.3">
      <c r="I84" s="64"/>
      <c r="J84" s="67" t="s">
        <v>311</v>
      </c>
      <c r="K84" s="356">
        <v>0.75</v>
      </c>
      <c r="L84" s="30" t="s">
        <v>69</v>
      </c>
      <c r="M84" s="31"/>
    </row>
    <row r="85" spans="1:13" ht="20.149999999999999" customHeight="1" thickBot="1" x14ac:dyDescent="0.35">
      <c r="I85" s="64"/>
      <c r="J85" s="67" t="s">
        <v>312</v>
      </c>
      <c r="K85" s="356">
        <v>0.875</v>
      </c>
      <c r="L85" s="30" t="s">
        <v>307</v>
      </c>
      <c r="M85" s="31"/>
    </row>
    <row r="86" spans="1:13" ht="20.149999999999999" customHeight="1" thickTop="1" thickBot="1" x14ac:dyDescent="0.4">
      <c r="A86" s="51">
        <v>25</v>
      </c>
      <c r="B86" s="533" t="s">
        <v>412</v>
      </c>
      <c r="D86" s="551" t="s">
        <v>414</v>
      </c>
      <c r="E86" s="551"/>
      <c r="F86" s="551" t="s">
        <v>0</v>
      </c>
      <c r="I86" s="64"/>
      <c r="J86" s="67" t="s">
        <v>304</v>
      </c>
      <c r="K86" s="356">
        <v>0.875</v>
      </c>
      <c r="L86" s="30" t="s">
        <v>307</v>
      </c>
      <c r="M86" s="31"/>
    </row>
    <row r="87" spans="1:13" ht="20.149999999999999" customHeight="1" thickTop="1" x14ac:dyDescent="0.3">
      <c r="B87" s="549" t="s">
        <v>60</v>
      </c>
      <c r="D87" s="552">
        <f>IF(OR(Working!K14=Working!F107,Working!K14=Working!F114),1,IF(Working!K14=Working!F99,0,IF(Working!K14=Working!F112,0,IF(Working!K14=Working!F97,Rates!D98,0))))</f>
        <v>0</v>
      </c>
      <c r="E87" s="553"/>
      <c r="F87" s="552">
        <f>IF(Working!K14=Working!F99,10,IF(Working!K14=Working!F112,10,IF(Working!K14=Working!F97,Rates!F98,15)))</f>
        <v>15</v>
      </c>
      <c r="I87" s="64"/>
      <c r="J87" s="67" t="s">
        <v>313</v>
      </c>
      <c r="K87" s="354">
        <v>1</v>
      </c>
      <c r="L87" s="30" t="s">
        <v>307</v>
      </c>
      <c r="M87" s="31"/>
    </row>
    <row r="88" spans="1:13" ht="20.149999999999999" customHeight="1" x14ac:dyDescent="0.3">
      <c r="B88" s="549" t="s">
        <v>413</v>
      </c>
      <c r="D88" s="552">
        <f>IF(OR(Working!K14=Working!F107,Working!K14=Working!F114),0,IF(Working!K14=Working!F112,D92,IF(OR(Working!K14=Working!F102,Working!K14=Working!F118),D104,0)))</f>
        <v>0</v>
      </c>
      <c r="E88" s="553"/>
      <c r="F88" s="552">
        <f>IF(OR(Working!K14=Working!F107,Working!K14=Working!F114),15,IF(Working!K14=Working!F112,F92,IF(OR(Working!K14=Working!F102,Working!K14=Working!F118),F104,15)))</f>
        <v>15</v>
      </c>
      <c r="I88" s="64"/>
      <c r="J88" s="67" t="s">
        <v>314</v>
      </c>
      <c r="K88" s="354">
        <v>1</v>
      </c>
      <c r="L88" s="30" t="s">
        <v>307</v>
      </c>
      <c r="M88" s="31"/>
    </row>
    <row r="89" spans="1:13" ht="20.149999999999999" customHeight="1" x14ac:dyDescent="0.3">
      <c r="I89" s="64"/>
      <c r="J89" s="67" t="s">
        <v>315</v>
      </c>
      <c r="K89" s="354">
        <v>1</v>
      </c>
      <c r="L89" s="30" t="s">
        <v>307</v>
      </c>
      <c r="M89" s="31"/>
    </row>
    <row r="90" spans="1:13" ht="20.149999999999999" customHeight="1" x14ac:dyDescent="0.3">
      <c r="B90" s="550"/>
      <c r="I90" s="64"/>
      <c r="J90" s="67" t="s">
        <v>303</v>
      </c>
      <c r="K90" s="354">
        <v>1</v>
      </c>
      <c r="L90" s="30" t="s">
        <v>307</v>
      </c>
      <c r="M90" s="31"/>
    </row>
    <row r="91" spans="1:13" ht="20.149999999999999" customHeight="1" x14ac:dyDescent="0.3">
      <c r="B91" s="564" t="s">
        <v>433</v>
      </c>
      <c r="C91" s="564"/>
      <c r="D91" s="565" t="s">
        <v>414</v>
      </c>
      <c r="E91" s="565"/>
      <c r="F91" s="565" t="s">
        <v>0</v>
      </c>
      <c r="I91" s="64"/>
      <c r="J91" s="67"/>
      <c r="K91" s="155"/>
      <c r="L91" s="30"/>
      <c r="M91" s="31"/>
    </row>
    <row r="92" spans="1:13" ht="20.149999999999999" customHeight="1" x14ac:dyDescent="0.3">
      <c r="B92" s="568" t="s">
        <v>434</v>
      </c>
      <c r="D92" s="552">
        <f>IF(Working!H9="Hiring",Rates!D95,Rates!F95)</f>
        <v>33.799999999999997</v>
      </c>
      <c r="E92" s="553"/>
      <c r="F92" s="552">
        <f>IF(Working!H9="Hiring",Rates!D96,Rates!F96)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0" t="s">
        <v>414</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437</v>
      </c>
      <c r="C97" s="564"/>
      <c r="D97" s="565" t="s">
        <v>414</v>
      </c>
      <c r="E97" s="565"/>
      <c r="F97" s="565" t="s">
        <v>0</v>
      </c>
    </row>
    <row r="98" spans="2:6" ht="20.149999999999999" customHeight="1" x14ac:dyDescent="0.3">
      <c r="B98" s="568" t="s">
        <v>436</v>
      </c>
      <c r="D98" s="552">
        <v>0</v>
      </c>
      <c r="E98" s="553"/>
      <c r="F98" s="552">
        <v>15</v>
      </c>
    </row>
    <row r="99" spans="2:6" ht="20.149999999999999" customHeight="1" x14ac:dyDescent="0.25">
      <c r="D99" s="570" t="s">
        <v>438</v>
      </c>
      <c r="F99" s="569" t="s">
        <v>439</v>
      </c>
    </row>
    <row r="100" spans="2:6" ht="20.149999999999999" customHeight="1" x14ac:dyDescent="0.25">
      <c r="B100" s="560" t="s">
        <v>444</v>
      </c>
      <c r="D100" s="1">
        <v>0</v>
      </c>
      <c r="F100" s="1">
        <v>0</v>
      </c>
    </row>
    <row r="101" spans="2:6" ht="20.149999999999999" customHeight="1" x14ac:dyDescent="0.25">
      <c r="B101" s="566" t="s">
        <v>445</v>
      </c>
      <c r="C101" s="19"/>
      <c r="D101" s="19">
        <v>15</v>
      </c>
      <c r="E101" s="19"/>
      <c r="F101" s="19">
        <v>15</v>
      </c>
    </row>
    <row r="102" spans="2:6" ht="20.149999999999999" customHeight="1" x14ac:dyDescent="0.25">
      <c r="B102" s="566"/>
      <c r="C102" s="19"/>
      <c r="D102" s="19"/>
      <c r="E102" s="19"/>
      <c r="F102" s="19"/>
    </row>
    <row r="103" spans="2:6" ht="23.25" customHeight="1" x14ac:dyDescent="0.3">
      <c r="B103" s="571" t="s">
        <v>442</v>
      </c>
      <c r="C103" s="564"/>
      <c r="D103" s="565" t="s">
        <v>414</v>
      </c>
      <c r="E103" s="565"/>
      <c r="F103" s="565" t="s">
        <v>0</v>
      </c>
    </row>
    <row r="104" spans="2:6" ht="20.149999999999999" customHeight="1" x14ac:dyDescent="0.3">
      <c r="B104" s="568" t="s">
        <v>434</v>
      </c>
      <c r="D104" s="552">
        <v>33</v>
      </c>
      <c r="E104" s="553"/>
      <c r="F104" s="552">
        <v>35</v>
      </c>
    </row>
  </sheetData>
  <mergeCells count="22">
    <mergeCell ref="N4:P4"/>
    <mergeCell ref="I2:J2"/>
    <mergeCell ref="M19:N19"/>
    <mergeCell ref="N6:P6"/>
    <mergeCell ref="N8:P8"/>
    <mergeCell ref="N5:P5"/>
    <mergeCell ref="N7:P7"/>
    <mergeCell ref="N3:P3"/>
    <mergeCell ref="N9:P9"/>
    <mergeCell ref="F27:G27"/>
    <mergeCell ref="G29:H29"/>
    <mergeCell ref="A68:G69"/>
    <mergeCell ref="A72:G73"/>
    <mergeCell ref="F1:F2"/>
    <mergeCell ref="B47:B48"/>
    <mergeCell ref="B55:D55"/>
    <mergeCell ref="C28:D28"/>
    <mergeCell ref="C29:D29"/>
    <mergeCell ref="C38:E38"/>
    <mergeCell ref="E29:F29"/>
    <mergeCell ref="B43:B44"/>
    <mergeCell ref="C40:E40"/>
  </mergeCells>
  <phoneticPr fontId="28" type="noConversion"/>
  <conditionalFormatting sqref="D59:D60">
    <cfRule type="cellIs" dxfId="342"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1" customWidth="1"/>
    <col min="2" max="3" width="10.453125" style="381" customWidth="1"/>
    <col min="4" max="4" width="1.54296875" style="381" customWidth="1"/>
    <col min="5" max="5" width="3.54296875" style="381" customWidth="1"/>
    <col min="6" max="6" width="10.1796875" style="381" customWidth="1"/>
    <col min="7" max="7" width="5.453125" style="381" customWidth="1"/>
    <col min="8" max="8" width="4.1796875" style="381" customWidth="1"/>
    <col min="9" max="9" width="3.54296875" style="381" customWidth="1"/>
    <col min="10" max="10" width="10.1796875" style="381" customWidth="1"/>
    <col min="11" max="11" width="6.54296875" style="381" customWidth="1"/>
    <col min="12" max="12" width="9.54296875" style="381" customWidth="1"/>
    <col min="13" max="13" width="2.453125" style="381" customWidth="1"/>
    <col min="14" max="14" width="10.5429687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x14ac:dyDescent="0.3">
      <c r="A1" s="1512"/>
      <c r="B1" s="1513"/>
      <c r="C1" s="1513"/>
      <c r="D1" s="1513"/>
      <c r="E1" s="1513"/>
      <c r="F1" s="1513"/>
      <c r="G1" s="1513"/>
      <c r="H1" s="1513"/>
      <c r="I1" s="1513"/>
      <c r="J1" s="419"/>
      <c r="K1" s="419"/>
      <c r="L1" s="419"/>
      <c r="M1" s="420"/>
      <c r="R1" s="404" t="s">
        <v>327</v>
      </c>
      <c r="S1" s="404">
        <f>IF(O3&gt;DATE(Working!I4,2,28),K3,Working!I4)</f>
        <v>2014</v>
      </c>
      <c r="T1" s="381">
        <f>IF(OR(S1=2008,S1=2012,S1=2016,S1=2020),366,365)</f>
        <v>365</v>
      </c>
      <c r="U1" s="421" t="s">
        <v>222</v>
      </c>
      <c r="V1" s="421" t="s">
        <v>328</v>
      </c>
      <c r="W1" s="394" t="s">
        <v>329</v>
      </c>
    </row>
    <row r="2" spans="1:24" ht="20.149999999999999" customHeight="1" thickBot="1" x14ac:dyDescent="0.3">
      <c r="A2" s="402"/>
      <c r="B2" s="403"/>
      <c r="C2" s="403"/>
      <c r="D2" s="403"/>
      <c r="E2" s="403"/>
      <c r="F2" s="403"/>
      <c r="G2" s="403"/>
      <c r="H2" s="404"/>
      <c r="I2" s="404"/>
      <c r="J2" s="404"/>
      <c r="K2" s="404"/>
      <c r="L2" s="404"/>
      <c r="M2" s="405"/>
      <c r="O2" s="394" t="s">
        <v>206</v>
      </c>
      <c r="P2" s="394" t="s">
        <v>205</v>
      </c>
      <c r="Q2" s="394"/>
      <c r="R2" s="381" t="s">
        <v>330</v>
      </c>
      <c r="S2" s="381">
        <f>IF(OR(Working!I4=2008,Working!I4=2012,Working!I4=2016,Working!I4=2020),29,28)</f>
        <v>28</v>
      </c>
      <c r="T2" s="381">
        <f>IF(OR(K3=2008,K3=2012,K3=2016,K3=2020),29,28)</f>
        <v>28</v>
      </c>
      <c r="U2" s="394">
        <f>IF(AND(Working!G4=1,Working!H4="January"),Working!I4,Working!I4+1)</f>
        <v>2014</v>
      </c>
      <c r="V2" s="381" t="str">
        <f>IF(Working!G4-1=0,V4,Working!H4)</f>
        <v>August</v>
      </c>
      <c r="W2" s="381">
        <f>IF(Working!G4-1=0,W4,Working!G4-1)</f>
        <v>23</v>
      </c>
    </row>
    <row r="3" spans="1:24" ht="15.75" customHeight="1" thickBot="1" x14ac:dyDescent="0.3">
      <c r="A3" s="402"/>
      <c r="B3" s="403"/>
      <c r="C3" s="403"/>
      <c r="D3" s="403"/>
      <c r="E3" s="403"/>
      <c r="F3" s="403"/>
      <c r="G3" s="403"/>
      <c r="H3" s="406" t="s">
        <v>331</v>
      </c>
      <c r="I3" s="407">
        <f>W2</f>
        <v>23</v>
      </c>
      <c r="J3" s="407" t="str">
        <f>V2</f>
        <v>August</v>
      </c>
      <c r="K3" s="407">
        <f>U2</f>
        <v>2014</v>
      </c>
      <c r="L3" s="404"/>
      <c r="M3" s="405"/>
      <c r="O3" s="395">
        <f>DATE(Working!I4,P3,Working!G4)</f>
        <v>41510</v>
      </c>
      <c r="P3" s="381">
        <f>IF(Working!H4="January",1,IF(Working!H4="February",2,IF(Working!H4="March",3,IF(Working!H4="April",4,IF(Working!H4="May",5,IF(Working!H4="June",6,IF(Working!H4="July",7,IF(Working!H4="August",8,Q3))))))))</f>
        <v>8</v>
      </c>
      <c r="Q3" s="381">
        <f>IF(Working!H4="September",9,IF(Working!H4="October",10,IF(Working!H4="November",11,12)))</f>
        <v>12</v>
      </c>
      <c r="R3" s="381" t="s">
        <v>332</v>
      </c>
      <c r="S3" s="381">
        <f>IF(AND(P3=2,Working!G4&gt;S2),0,IF(AND(P3=4,Working!G4&gt;30),0,IF(AND(P3=6,Working!G4&gt;30),0,IF(AND(P3=9,Working!G4&gt;30),0,IF(AND(P3=11,Working!G4&gt;30),0,1)))))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IF(Working!$H$4="January",31,IF(Working!$H$4="February",S2,IF(Working!$H$4="March",31,IF(Working!$H$4="April",30,IF(Working!$H$4="May",31,IF(Working!$H$4="June",30,IF(Working!$H$4="July",31,IF(Working!$H$4="August",31,U5))))))))</f>
        <v>31</v>
      </c>
      <c r="V4" s="381" t="str">
        <f>IF(Working!$H$4="January","December",IF(Working!$H$4="February","January",IF(Working!$H$4="March","February",IF(Working!$H$4="April","March",IF(Working!$H$4="May","April",IF(Working!$H$4="June","May",IF(Working!$H$4="July","June",IF(Working!$H$4="August","July",V5))))))))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1516" t="str">
        <f>IF(Working!H3="Short period","Period Used (only for Short Period)","")</f>
        <v/>
      </c>
      <c r="J5" s="1516"/>
      <c r="K5" s="1516"/>
      <c r="L5" s="1516"/>
      <c r="M5" s="409"/>
      <c r="N5" s="398"/>
      <c r="O5" s="395"/>
      <c r="U5" s="381">
        <f>IF(Working!$H$4="September",30,IF(Working!$H$4="October",31,IF(Working!$H$4="November",30,31)))</f>
        <v>31</v>
      </c>
      <c r="V5" s="381" t="str">
        <f>IF(Working!$H$4="September","August",IF(Working!$H$4="October","September",IF(Working!$H$4="November","October","November")))</f>
        <v>November</v>
      </c>
      <c r="W5" s="381">
        <f>IF(V4="September",30,IF(V4="October",31,IF(V4="November",30,31)))</f>
        <v>31</v>
      </c>
    </row>
    <row r="6" spans="1:24" ht="13.5" customHeight="1" thickBot="1" x14ac:dyDescent="0.3">
      <c r="A6" s="402"/>
      <c r="B6" s="403"/>
      <c r="C6" s="403"/>
      <c r="D6" s="403"/>
      <c r="E6" s="403"/>
      <c r="F6" s="403"/>
      <c r="G6" s="403"/>
      <c r="H6" s="411"/>
      <c r="I6" s="1517"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18"/>
      <c r="K6" s="1518"/>
      <c r="L6" s="1519"/>
      <c r="M6" s="405"/>
      <c r="O6" s="395">
        <f>DATE(Working!I5,P6,Working!G5)</f>
        <v>41606</v>
      </c>
      <c r="P6" s="381">
        <f>IF(Working!H5="January",1,IF(Working!H5="February",2,IF(Working!H5="March",3,IF(Working!H5="April",4,IF(Working!H5="May",5,IF(Working!H5="June",6,IF(Working!H5="July",7,IF(Working!H5="August",8,Q6))))))))</f>
        <v>11</v>
      </c>
      <c r="Q6" s="381">
        <f>IF(Working!H5="September",9,IF(Working!H5="October",10,IF(Working!H5="November",11,12)))</f>
        <v>11</v>
      </c>
      <c r="R6" s="381" t="s">
        <v>332</v>
      </c>
      <c r="S6" s="381">
        <f>IF(AND(P6=2,Working!G5&gt;S2),0,IF(AND(P6=4,Working!G5&gt;30),0,IF(AND(P6=6,Working!G5&gt;30),0,IF(AND(P6=9,Working!G5&gt;30),0,IF(AND(P6=11,Working!G5&gt;30),0,1)))))</f>
        <v>1</v>
      </c>
    </row>
    <row r="7" spans="1:24" ht="15" customHeight="1" thickBot="1" x14ac:dyDescent="0.3">
      <c r="A7" s="402"/>
      <c r="B7" s="403"/>
      <c r="C7" s="403"/>
      <c r="D7" s="403"/>
      <c r="E7" s="403"/>
      <c r="F7" s="403"/>
      <c r="G7" s="403"/>
      <c r="H7" s="411"/>
      <c r="I7" s="404"/>
      <c r="J7" s="411"/>
      <c r="K7" s="404"/>
      <c r="L7" s="404"/>
      <c r="M7" s="405"/>
      <c r="O7" s="394" t="s">
        <v>335</v>
      </c>
    </row>
    <row r="8" spans="1:24" ht="16.5" customHeight="1" thickBot="1" x14ac:dyDescent="0.3">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x14ac:dyDescent="0.3">
      <c r="A9" s="402"/>
      <c r="B9" s="403"/>
      <c r="C9" s="403"/>
      <c r="D9" s="404"/>
      <c r="E9" s="412" t="s">
        <v>356</v>
      </c>
      <c r="F9" s="411"/>
      <c r="G9" s="411"/>
      <c r="H9" s="414">
        <f>P8</f>
        <v>97</v>
      </c>
      <c r="I9" s="412"/>
      <c r="J9" s="415">
        <f>IF(Working!H3="Short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x14ac:dyDescent="0.25">
      <c r="A10" s="402"/>
      <c r="B10" s="416"/>
      <c r="C10" s="416"/>
      <c r="D10" s="403"/>
      <c r="E10" s="403"/>
      <c r="F10" s="403"/>
      <c r="G10" s="403"/>
      <c r="H10" s="403"/>
      <c r="I10" s="403"/>
      <c r="J10" s="403"/>
      <c r="K10" s="404"/>
      <c r="L10" s="404"/>
      <c r="M10" s="405"/>
      <c r="T10" s="381" t="s">
        <v>338</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IF(Working!G4-1=0,W2,Working!G4-1)</f>
        <v>23</v>
      </c>
    </row>
    <row r="12" spans="1:24" ht="15" customHeight="1" x14ac:dyDescent="0.25">
      <c r="A12" s="402"/>
      <c r="B12" s="403"/>
      <c r="C12" s="403"/>
      <c r="D12" s="403"/>
      <c r="E12" s="403"/>
      <c r="F12" s="403"/>
      <c r="G12" s="403"/>
      <c r="H12" s="403"/>
      <c r="I12" s="403"/>
      <c r="J12" s="403"/>
      <c r="K12" s="403"/>
      <c r="L12" s="403"/>
      <c r="M12" s="403"/>
      <c r="N12" s="1522" t="s">
        <v>340</v>
      </c>
      <c r="O12" s="1520">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x14ac:dyDescent="0.25">
      <c r="A13" s="402"/>
      <c r="B13" s="403"/>
      <c r="C13" s="403"/>
      <c r="D13" s="403"/>
      <c r="E13" s="403"/>
      <c r="F13" s="403"/>
      <c r="G13" s="403"/>
      <c r="H13" s="403"/>
      <c r="I13" s="403"/>
      <c r="J13" s="403"/>
      <c r="K13" s="403"/>
      <c r="L13" s="403"/>
      <c r="M13" s="403"/>
      <c r="N13" s="1522"/>
      <c r="O13" s="1520"/>
      <c r="P13" s="381" t="s">
        <v>330</v>
      </c>
      <c r="Q13" s="382">
        <f>S2</f>
        <v>28</v>
      </c>
      <c r="T13" s="381" t="s">
        <v>343</v>
      </c>
      <c r="U13" s="395">
        <f>DATE(YEAR($O$3),MONTH($O$3)+3,DAY($O$3))</f>
        <v>41602</v>
      </c>
    </row>
    <row r="14" spans="1:24" ht="15" customHeight="1" x14ac:dyDescent="0.25">
      <c r="A14" s="402"/>
      <c r="B14" s="403"/>
      <c r="C14" s="403"/>
      <c r="D14" s="403"/>
      <c r="E14" s="403"/>
      <c r="F14" s="403"/>
      <c r="G14" s="403"/>
      <c r="H14" s="403"/>
      <c r="I14" s="403"/>
      <c r="J14" s="403"/>
      <c r="K14" s="403"/>
      <c r="L14" s="403"/>
      <c r="M14" s="403"/>
      <c r="N14" s="1522" t="s">
        <v>344</v>
      </c>
      <c r="O14" s="1521">
        <f>P8/365</f>
        <v>0.26575342465753427</v>
      </c>
      <c r="P14" s="381" t="s">
        <v>322</v>
      </c>
      <c r="Q14" s="382">
        <v>31</v>
      </c>
      <c r="T14" s="381" t="s">
        <v>345</v>
      </c>
      <c r="U14" s="395">
        <f>DATE(YEAR($O$3),MONTH($O$3)+4,DAY($O$3))</f>
        <v>41632</v>
      </c>
    </row>
    <row r="15" spans="1:24" ht="15" customHeight="1" x14ac:dyDescent="0.25">
      <c r="A15" s="402"/>
      <c r="B15" s="403"/>
      <c r="C15" s="403"/>
      <c r="D15" s="403"/>
      <c r="E15" s="403"/>
      <c r="F15" s="403"/>
      <c r="G15" s="403"/>
      <c r="H15" s="403"/>
      <c r="I15" s="403"/>
      <c r="J15" s="403"/>
      <c r="K15" s="403"/>
      <c r="L15" s="403"/>
      <c r="M15" s="403"/>
      <c r="N15" s="1522"/>
      <c r="O15" s="1521"/>
      <c r="P15" s="381" t="s">
        <v>346</v>
      </c>
      <c r="Q15" s="382">
        <v>30</v>
      </c>
      <c r="T15" s="381" t="s">
        <v>347</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350</v>
      </c>
      <c r="Q17" s="382">
        <v>30</v>
      </c>
    </row>
    <row r="18" spans="1:21" ht="15" customHeight="1" x14ac:dyDescent="0.25">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x14ac:dyDescent="0.25">
      <c r="A20" s="402"/>
      <c r="B20" s="403"/>
      <c r="C20" s="403"/>
      <c r="D20" s="403"/>
      <c r="E20" s="403"/>
      <c r="F20" s="403"/>
      <c r="G20" s="403"/>
      <c r="H20" s="403"/>
      <c r="I20" s="403"/>
      <c r="J20" s="403"/>
      <c r="K20" s="404"/>
      <c r="L20" s="404"/>
      <c r="M20" s="405"/>
      <c r="O20" s="401"/>
      <c r="P20" s="381" t="s">
        <v>352</v>
      </c>
      <c r="Q20" s="382">
        <v>30</v>
      </c>
    </row>
    <row r="21" spans="1:21" ht="15" customHeight="1" x14ac:dyDescent="0.25">
      <c r="A21" s="402"/>
      <c r="B21" s="403"/>
      <c r="C21" s="403"/>
      <c r="D21" s="403"/>
      <c r="E21" s="403"/>
      <c r="F21" s="403"/>
      <c r="G21" s="403"/>
      <c r="H21" s="403"/>
      <c r="I21" s="403"/>
      <c r="J21" s="403"/>
      <c r="K21" s="404"/>
      <c r="L21" s="404"/>
      <c r="M21" s="405"/>
      <c r="O21" s="401"/>
      <c r="P21" s="381" t="s">
        <v>353</v>
      </c>
      <c r="Q21" s="382">
        <v>31</v>
      </c>
    </row>
    <row r="22" spans="1:21" ht="15" customHeight="1" x14ac:dyDescent="0.25">
      <c r="A22" s="402"/>
      <c r="B22" s="403"/>
      <c r="C22" s="403"/>
      <c r="D22" s="403"/>
      <c r="E22" s="403"/>
      <c r="F22" s="403"/>
      <c r="G22" s="403"/>
      <c r="H22" s="403"/>
      <c r="I22" s="403"/>
      <c r="J22" s="403"/>
      <c r="K22" s="404"/>
      <c r="L22" s="404"/>
      <c r="M22" s="405"/>
      <c r="P22" s="381" t="s">
        <v>354</v>
      </c>
      <c r="Q22" s="382">
        <v>30</v>
      </c>
    </row>
    <row r="23" spans="1:21" ht="15" customHeight="1" x14ac:dyDescent="0.25">
      <c r="A23" s="402"/>
      <c r="B23" s="403"/>
      <c r="C23" s="403"/>
      <c r="D23" s="403"/>
      <c r="E23" s="403"/>
      <c r="F23" s="403"/>
      <c r="G23" s="403"/>
      <c r="H23" s="403"/>
      <c r="I23" s="403"/>
      <c r="J23" s="403"/>
      <c r="K23" s="404"/>
      <c r="L23" s="404"/>
      <c r="M23" s="405"/>
      <c r="P23" s="381" t="s">
        <v>355</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1514"/>
      <c r="M39" s="1515"/>
    </row>
    <row r="40" spans="1:13" ht="20.25" customHeight="1" x14ac:dyDescent="0.25">
      <c r="A40" s="402"/>
      <c r="B40" s="403"/>
      <c r="C40" s="403"/>
      <c r="D40" s="403"/>
      <c r="E40" s="403"/>
      <c r="F40" s="403"/>
      <c r="G40" s="403"/>
      <c r="H40" s="403"/>
      <c r="I40" s="403"/>
      <c r="J40" s="403"/>
      <c r="K40" s="1526"/>
      <c r="L40" s="1526"/>
      <c r="M40" s="1527"/>
    </row>
    <row r="41" spans="1:13" ht="15" customHeight="1" x14ac:dyDescent="0.25">
      <c r="A41" s="402"/>
      <c r="B41" s="403"/>
      <c r="C41" s="403"/>
      <c r="D41" s="403"/>
      <c r="E41" s="403"/>
      <c r="F41" s="403"/>
      <c r="G41" s="403"/>
      <c r="H41" s="403"/>
      <c r="I41" s="403"/>
      <c r="J41" s="403"/>
      <c r="K41" s="1528"/>
      <c r="L41" s="1528"/>
      <c r="M41" s="1529"/>
    </row>
    <row r="42" spans="1:13" ht="15" customHeight="1" x14ac:dyDescent="0.25">
      <c r="A42" s="402"/>
      <c r="B42" s="403"/>
      <c r="C42" s="403"/>
      <c r="D42" s="403"/>
      <c r="E42" s="403"/>
      <c r="F42" s="403"/>
      <c r="G42" s="403"/>
      <c r="H42" s="403"/>
      <c r="I42" s="403"/>
      <c r="J42" s="403"/>
      <c r="K42" s="1530"/>
      <c r="L42" s="1530"/>
      <c r="M42" s="1531"/>
    </row>
    <row r="43" spans="1:13" ht="20.149999999999999" customHeight="1" x14ac:dyDescent="0.25">
      <c r="A43" s="417"/>
      <c r="B43" s="418"/>
      <c r="C43" s="418"/>
      <c r="D43" s="418"/>
      <c r="E43" s="418"/>
      <c r="F43" s="418"/>
      <c r="G43" s="418"/>
      <c r="H43" s="418"/>
      <c r="I43" s="418"/>
      <c r="J43" s="418"/>
      <c r="K43" s="1523"/>
      <c r="L43" s="1524"/>
      <c r="M43" s="1525"/>
    </row>
  </sheetData>
  <sheetProtection password="9298" sheet="1" objects="1" scenarios="1"/>
  <mergeCells count="12">
    <mergeCell ref="K43:M43"/>
    <mergeCell ref="K40:M40"/>
    <mergeCell ref="K41:M41"/>
    <mergeCell ref="K42:M42"/>
    <mergeCell ref="A1:I1"/>
    <mergeCell ref="L39:M39"/>
    <mergeCell ref="I5:L5"/>
    <mergeCell ref="I6:L6"/>
    <mergeCell ref="O12:O13"/>
    <mergeCell ref="O14:O15"/>
    <mergeCell ref="N12:N13"/>
    <mergeCell ref="N14:N15"/>
  </mergeCells>
  <phoneticPr fontId="28" type="noConversion"/>
  <conditionalFormatting sqref="H8">
    <cfRule type="cellIs" dxfId="341" priority="1" stopIfTrue="1" operator="greaterThan">
      <formula>T1</formula>
    </cfRule>
    <cfRule type="cellIs" dxfId="340" priority="2" stopIfTrue="1" operator="lessThan">
      <formula>0</formula>
    </cfRule>
  </conditionalFormatting>
  <conditionalFormatting sqref="H9">
    <cfRule type="cellIs" dxfId="339" priority="3" stopIfTrue="1" operator="greaterThan">
      <formula>T1</formula>
    </cfRule>
    <cfRule type="cellIs" dxfId="338" priority="4" stopIfTrue="1" operator="lessThan">
      <formula>0</formula>
    </cfRule>
  </conditionalFormatting>
  <conditionalFormatting sqref="I6:L6">
    <cfRule type="expression" dxfId="337"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indexed="40"/>
    <pageSetUpPr fitToPage="1"/>
  </sheetPr>
  <dimension ref="A1:BH152"/>
  <sheetViews>
    <sheetView showGridLines="0" topLeftCell="E40" zoomScale="75" zoomScaleNormal="82" workbookViewId="0">
      <selection activeCell="M40" sqref="M40"/>
    </sheetView>
  </sheetViews>
  <sheetFormatPr defaultColWidth="0" defaultRowHeight="14" zeroHeight="1" x14ac:dyDescent="0.3"/>
  <cols>
    <col min="1" max="1" width="0.81640625" style="693" customWidth="1"/>
    <col min="2" max="2" width="0.54296875" style="693" customWidth="1"/>
    <col min="3" max="3" width="5.453125" style="693" customWidth="1"/>
    <col min="4" max="4" width="3.453125" style="693" customWidth="1"/>
    <col min="5" max="5" width="4.453125" style="693" customWidth="1"/>
    <col min="6" max="6" width="33.453125" style="693" customWidth="1"/>
    <col min="7" max="7" width="4.54296875" style="693" customWidth="1"/>
    <col min="8" max="8" width="18.54296875" style="693" customWidth="1"/>
    <col min="9" max="9" width="16.453125" style="693" customWidth="1"/>
    <col min="10" max="10" width="3.81640625" style="693" customWidth="1"/>
    <col min="11" max="11" width="14.54296875" style="693" customWidth="1"/>
    <col min="12" max="12" width="4" style="693" customWidth="1"/>
    <col min="13" max="13" width="25.453125" style="693" customWidth="1"/>
    <col min="14" max="14" width="11.453125" style="693" customWidth="1"/>
    <col min="15" max="15" width="9.81640625" style="693" customWidth="1"/>
    <col min="16" max="16" width="13.54296875" style="693" customWidth="1"/>
    <col min="17" max="17" width="5.453125" style="694" customWidth="1"/>
    <col min="18" max="18" width="6.453125" style="693" hidden="1" customWidth="1"/>
    <col min="19" max="19" width="5" style="693" hidden="1" customWidth="1"/>
    <col min="20" max="20" width="9.54296875" style="693" hidden="1" customWidth="1"/>
    <col min="21" max="21" width="5.453125" style="693" hidden="1" customWidth="1"/>
    <col min="22" max="22" width="4.54296875" style="693" hidden="1" customWidth="1"/>
    <col min="23" max="23" width="2.81640625" style="693" hidden="1" customWidth="1"/>
    <col min="24" max="24" width="0" style="693" hidden="1" customWidth="1"/>
    <col min="25" max="25" width="5.81640625" style="693" hidden="1" customWidth="1"/>
    <col min="26" max="26" width="7.1796875" style="693" hidden="1" customWidth="1"/>
    <col min="27" max="27" width="26.54296875" style="693" hidden="1" customWidth="1"/>
    <col min="28" max="29" width="0" style="693" hidden="1" customWidth="1"/>
    <col min="30" max="30" width="27.1796875" style="693" hidden="1" customWidth="1"/>
    <col min="31" max="35" width="0" style="693" hidden="1" customWidth="1"/>
    <col min="36" max="36" width="0" style="695" hidden="1" customWidth="1"/>
    <col min="37" max="38" width="0" style="693" hidden="1" customWidth="1"/>
    <col min="39" max="39" width="0" style="694" hidden="1" customWidth="1"/>
    <col min="40" max="46" width="0" style="693" hidden="1" customWidth="1"/>
    <col min="47" max="47" width="0" style="695" hidden="1" customWidth="1"/>
    <col min="48" max="49" width="0" style="693" hidden="1" customWidth="1"/>
    <col min="50" max="50" width="47.453125" style="696" hidden="1" customWidth="1"/>
    <col min="51" max="16384" width="0" style="693"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1584"/>
      <c r="O1" s="1585"/>
      <c r="P1" s="139"/>
      <c r="Q1" s="139"/>
      <c r="R1" s="139"/>
      <c r="S1" s="139"/>
      <c r="T1" s="139"/>
      <c r="U1" s="142">
        <f>IF(G36="Yes",H23+H36,H23)</f>
        <v>77.141999999999996</v>
      </c>
      <c r="V1" s="139"/>
      <c r="W1" s="139"/>
      <c r="X1" s="139"/>
      <c r="Y1" s="139"/>
      <c r="Z1" s="139"/>
      <c r="AA1" s="658" t="s">
        <v>405</v>
      </c>
      <c r="AB1" s="139"/>
      <c r="AM1" s="219"/>
    </row>
    <row r="2" spans="1:60" s="141" customFormat="1" ht="18.5" thickBot="1" x14ac:dyDescent="0.45">
      <c r="A2" s="142"/>
      <c r="B2" s="289"/>
      <c r="C2" s="475" t="s">
        <v>114</v>
      </c>
      <c r="D2" s="6"/>
      <c r="E2" s="434" t="s">
        <v>174</v>
      </c>
      <c r="F2" s="177"/>
      <c r="G2" s="317" t="s">
        <v>282</v>
      </c>
      <c r="H2" s="1593" t="s">
        <v>531</v>
      </c>
      <c r="I2" s="1594"/>
      <c r="J2" s="439"/>
      <c r="K2" s="1582" t="s">
        <v>415</v>
      </c>
      <c r="L2" s="1582"/>
      <c r="M2" s="1583"/>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301</v>
      </c>
      <c r="F3" s="177"/>
      <c r="G3" s="317" t="s">
        <v>282</v>
      </c>
      <c r="H3" s="702" t="s">
        <v>303</v>
      </c>
      <c r="I3" s="388" t="str">
        <f>IF(Calculation!S6=0,CONCATENATE("     ",Calculation!H9," Days"),IF(OR(Calculation!O6&lt;Calculation!O3,Calculation!O6&gt;=Calculation!O4),"Invalid Cover  Period",CONCATENATE("     ",Calculation!H9," Days")))</f>
        <v xml:space="preserve">     97 Days</v>
      </c>
      <c r="J3" s="388"/>
      <c r="K3" s="383"/>
      <c r="L3" s="1595" t="str">
        <f>IF(D3=0,"Charge SRCC/TC Full?","")</f>
        <v/>
      </c>
      <c r="M3" s="1596"/>
      <c r="N3" s="554">
        <f>IF(H3="One Year",1,IF(Working!H3="Short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9">
        <v>24</v>
      </c>
      <c r="H4" s="660" t="s">
        <v>351</v>
      </c>
      <c r="I4" s="660">
        <v>2013</v>
      </c>
      <c r="J4" s="661"/>
      <c r="K4" s="388" t="str">
        <f>IF(Calculation!S3=0,"Date Error","")</f>
        <v/>
      </c>
      <c r="L4" s="1595"/>
      <c r="M4" s="1596"/>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9">
        <v>28</v>
      </c>
      <c r="H5" s="660" t="s">
        <v>354</v>
      </c>
      <c r="I5" s="662">
        <v>2013</v>
      </c>
      <c r="J5" s="661"/>
      <c r="K5" s="388" t="str">
        <f>IF(Calculation!S6=0,"Date Error","")</f>
        <v/>
      </c>
      <c r="L5" s="435"/>
      <c r="M5" s="663" t="s">
        <v>78</v>
      </c>
      <c r="N5" s="555" t="str">
        <f>Rates!D81</f>
        <v>No</v>
      </c>
      <c r="O5" s="547">
        <f>H15*N7%</f>
        <v>17500</v>
      </c>
      <c r="P5" s="547">
        <f>(O5-M40-M42)/P6*100</f>
        <v>10267.857142857143</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375</v>
      </c>
      <c r="F6" s="525"/>
      <c r="G6" s="317" t="s">
        <v>399</v>
      </c>
      <c r="H6" s="701" t="s">
        <v>446</v>
      </c>
      <c r="I6" s="1603"/>
      <c r="J6" s="1604"/>
      <c r="K6" s="1605"/>
      <c r="L6" s="1601" t="str">
        <f>TW!C8</f>
        <v>to be advised</v>
      </c>
      <c r="M6" s="1602"/>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280</v>
      </c>
      <c r="F7" s="525"/>
      <c r="G7" s="317" t="s">
        <v>400</v>
      </c>
      <c r="H7" s="1606" t="str">
        <f>TW!C11</f>
        <v>to be advised</v>
      </c>
      <c r="I7" s="1607"/>
      <c r="J7" s="1607"/>
      <c r="K7" s="1608"/>
      <c r="L7" s="1609" t="str">
        <f>IF(AND(H15&gt;0,L6=""),"Enter Name","")</f>
        <v/>
      </c>
      <c r="M7" s="1610"/>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376</v>
      </c>
      <c r="F8" s="526"/>
      <c r="G8" s="317" t="s">
        <v>399</v>
      </c>
      <c r="H8" s="1597" t="s">
        <v>212</v>
      </c>
      <c r="I8" s="1598"/>
      <c r="J8" s="477"/>
      <c r="K8" s="664">
        <v>1.2500000000000001E-2</v>
      </c>
      <c r="L8" s="23" t="str">
        <f>Administration!C11</f>
        <v>Motor Lorry</v>
      </c>
      <c r="M8" s="496" t="str">
        <f>IF(AND(H8=Administration!C14,Working!H11="Chinese"),Administration!C13,IF(AND(H8=Administration!C11,Working!H11="Chinese"),Administration!C16,Working!H8))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35</v>
      </c>
      <c r="F9" s="526"/>
      <c r="G9" s="317" t="s">
        <v>399</v>
      </c>
      <c r="H9" s="1562" t="s">
        <v>41</v>
      </c>
      <c r="I9" s="1563"/>
      <c r="J9" s="478"/>
      <c r="K9" s="1599" t="str">
        <f>IF(OR(T2=3,W2=0),"ERROR",IF(O8=0,"&lt;= Select Usage of Vehicle",IF(Z2=0,"NOT ALLOWED","")))</f>
        <v/>
      </c>
      <c r="L9" s="1599"/>
      <c r="M9" s="1600"/>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1570" t="s">
        <v>108</v>
      </c>
      <c r="F10" s="1570"/>
      <c r="G10" s="317" t="s">
        <v>400</v>
      </c>
      <c r="H10" s="1566" t="str">
        <f>TW!P8</f>
        <v>to be advised</v>
      </c>
      <c r="I10" s="1567"/>
      <c r="J10" s="478"/>
      <c r="K10" s="303" t="s">
        <v>380</v>
      </c>
      <c r="L10" s="1591" t="str">
        <f>TW!P11</f>
        <v>TO BE ADVISED</v>
      </c>
      <c r="M10" s="1592"/>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377</v>
      </c>
      <c r="F11" s="528"/>
      <c r="G11" s="317" t="s">
        <v>399</v>
      </c>
      <c r="H11" s="1611" t="str">
        <f>TW!P9</f>
        <v>INDIA</v>
      </c>
      <c r="I11" s="1612"/>
      <c r="J11" s="1586" t="s">
        <v>451</v>
      </c>
      <c r="K11" s="1587"/>
      <c r="L11" s="1588"/>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357</v>
      </c>
      <c r="F12" s="528"/>
      <c r="G12" s="317" t="s">
        <v>399</v>
      </c>
      <c r="H12" s="1615" t="s">
        <v>452</v>
      </c>
      <c r="I12" s="1616"/>
      <c r="J12" s="1576" t="str">
        <f>IF(H8="Motor Cycle","Important --&gt;","")</f>
        <v/>
      </c>
      <c r="K12" s="1577"/>
      <c r="L12" s="1577"/>
      <c r="M12" s="665" t="str">
        <f>TW!X10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281</v>
      </c>
      <c r="F13" s="105"/>
      <c r="G13" s="317" t="s">
        <v>399</v>
      </c>
      <c r="H13" s="700">
        <f>TW!P13</f>
        <v>2021</v>
      </c>
      <c r="I13" s="1536" t="str">
        <f>IF(H13="","     Enter Year of Make",IF(Z15=0,CONCATENATE("     Vehicles Above ", Administration!F29," Yrs Not Covered"),""))</f>
        <v/>
      </c>
      <c r="J13" s="1537"/>
      <c r="K13" s="1537"/>
      <c r="L13" s="644">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374</v>
      </c>
      <c r="F14" s="528"/>
      <c r="G14" s="317" t="s">
        <v>399</v>
      </c>
      <c r="H14" s="666" t="str">
        <f>IF(TW!C13="Not Applicable","No","Yes")</f>
        <v>Yes</v>
      </c>
      <c r="I14" s="1589" t="str">
        <f>IF(H14="Yes","NAME OF CO.","")</f>
        <v>NAME OF CO.</v>
      </c>
      <c r="J14" s="1590"/>
      <c r="K14" s="1613" t="str">
        <f>TW!C13</f>
        <v>FINTREX FINANCE</v>
      </c>
      <c r="L14" s="1613"/>
      <c r="M14" s="1614"/>
      <c r="N14" s="362"/>
      <c r="O14" s="229"/>
      <c r="P14" s="229"/>
      <c r="T14" s="392"/>
      <c r="X14" s="232" t="s">
        <v>222</v>
      </c>
      <c r="Z14" s="230"/>
      <c r="AM14" s="142" t="str">
        <f>Administration!G13</f>
        <v>Motor Cycle (Chinese)</v>
      </c>
      <c r="AU14" s="142">
        <f t="shared" si="0"/>
        <v>1976</v>
      </c>
    </row>
    <row r="15" spans="1:60" s="142" customFormat="1" ht="23.25" customHeight="1" thickBot="1" x14ac:dyDescent="0.45">
      <c r="B15" s="289"/>
      <c r="C15" s="136"/>
      <c r="D15" s="6"/>
      <c r="E15" s="1575" t="str">
        <f>IF(H15&gt;Rates!B27,"SUM COVERED - Above Retention","SUM COVERED"                                    )</f>
        <v>SUM COVERED</v>
      </c>
      <c r="F15" s="1575"/>
      <c r="G15" s="317" t="s">
        <v>399</v>
      </c>
      <c r="H15" s="1564">
        <f>TW!Q16</f>
        <v>1000000</v>
      </c>
      <c r="I15" s="1565"/>
      <c r="J15" s="667"/>
      <c r="K15" s="523" t="str">
        <f>IF(AND(Rates!D63="Yes",H11="Chinese"),"N.B.- Chinese Vehicle",IF(AND(H11="Chinese",H8&lt;&gt;Administration!C14),"Chinese Vehicles NOT covered",IF(Q15=0,"EXCEED AUTHORIZED LIMIT","")))</f>
        <v/>
      </c>
      <c r="L15" s="432"/>
      <c r="M15" s="703" t="str">
        <f>IF(TW!B13=1,TW!T13,"")</f>
        <v/>
      </c>
      <c r="N15" s="299"/>
      <c r="O15" s="300">
        <f>IF(T47=0,Rates!B25,Rates!B24)</f>
        <v>28000000</v>
      </c>
      <c r="P15" s="300"/>
      <c r="Q15" s="142">
        <f>IF(H15&gt;O15,0,1)</f>
        <v>1</v>
      </c>
      <c r="R15" s="142">
        <f>IF(AND(H15&gt;0,O11&gt;0,O8=1),1,0)</f>
        <v>1</v>
      </c>
      <c r="T15" s="392"/>
      <c r="X15" s="232">
        <f ca="1">YEAR(F69)</f>
        <v>2024</v>
      </c>
      <c r="Y15" s="142">
        <f ca="1">X15-H13</f>
        <v>3</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1568" t="str">
        <f ca="1">IF(Working!$C$69=0,"This Quotation system is not valid anymore",IF(C66-F69&lt;14,CONCATENATE("This quotation shall expire within ",C66-F69," days"),IF(AND(Rates!D79="No",O16=1,H14="No",(O57+Q57=1)),"Should Obtain 3 Tier Quotation","")))</f>
        <v/>
      </c>
      <c r="F16" s="1568"/>
      <c r="G16" s="1568"/>
      <c r="H16" s="1568"/>
      <c r="I16" s="1571" t="str">
        <f>IF(N16=0,"Please Get 3 Tier Quotation",IF(H8="","Enter Vehicle Type",IF(H9="","Enter Vehicle Usage",IF(H11="","Enter Vehicle Country of Make",IF(H12="","Enter Fuel Type",IF(H13="","Enter Year of Make",IF(H14="","Enter Lease Status",IF(L6="","Enter Proposer 2nd Name",""))))))))</f>
        <v/>
      </c>
      <c r="J16" s="1571"/>
      <c r="K16" s="1571"/>
      <c r="L16" s="1571"/>
      <c r="M16" s="1572"/>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1569"/>
      <c r="F17" s="1569"/>
      <c r="G17" s="1569"/>
      <c r="H17" s="1569"/>
      <c r="I17" s="1573"/>
      <c r="J17" s="1573"/>
      <c r="K17" s="1573"/>
      <c r="L17" s="1573"/>
      <c r="M17" s="1574"/>
      <c r="N17" s="1560"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557"/>
      <c r="P17" s="229"/>
      <c r="R17" s="231"/>
      <c r="S17" s="231"/>
      <c r="T17" s="392"/>
      <c r="Z17" s="230"/>
      <c r="AM17" s="142">
        <f>Administration!G19</f>
        <v>0</v>
      </c>
      <c r="AU17" s="142">
        <f t="shared" si="1"/>
        <v>1979</v>
      </c>
    </row>
    <row r="18" spans="2:50" s="142" customFormat="1" ht="15" customHeight="1" thickBot="1" x14ac:dyDescent="0.35">
      <c r="B18" s="289"/>
      <c r="C18" s="136"/>
      <c r="D18" s="6"/>
      <c r="E18" s="445" t="s">
        <v>267</v>
      </c>
      <c r="F18" s="9"/>
      <c r="G18" s="9"/>
      <c r="H18" s="495"/>
      <c r="I18" s="563">
        <f>IF(K14=F112,1000,0)</f>
        <v>0</v>
      </c>
      <c r="J18" s="495"/>
      <c r="K18" s="9"/>
      <c r="L18" s="9"/>
      <c r="M18" s="194"/>
      <c r="N18" s="1561"/>
      <c r="O18" s="1559"/>
      <c r="P18" s="229"/>
      <c r="R18" s="231"/>
      <c r="S18" s="231"/>
      <c r="T18" s="392"/>
      <c r="Z18" s="230"/>
      <c r="AU18" s="142">
        <f t="shared" si="1"/>
        <v>1980</v>
      </c>
    </row>
    <row r="19" spans="2:50" s="142" customFormat="1" ht="15.5" thickBot="1" x14ac:dyDescent="0.35">
      <c r="B19" s="289"/>
      <c r="C19" s="136"/>
      <c r="D19" s="6"/>
      <c r="E19" s="339" t="s">
        <v>378</v>
      </c>
      <c r="F19" s="178"/>
      <c r="G19" s="178"/>
      <c r="H19" s="304"/>
      <c r="I19" s="188"/>
      <c r="J19" s="188"/>
      <c r="K19" s="9"/>
      <c r="L19" s="498">
        <v>0</v>
      </c>
      <c r="M19" s="195">
        <f ca="1">IF(AND($C$2="Yes",L19=1),N19*C69,(H15*N7%*R15*C69))*N3</f>
        <v>17500</v>
      </c>
      <c r="N19" s="236">
        <v>0</v>
      </c>
      <c r="O19" s="229"/>
      <c r="P19" s="229"/>
      <c r="Q19" s="465">
        <v>0.01</v>
      </c>
      <c r="R19" s="231"/>
      <c r="S19" s="586"/>
      <c r="T19" s="619"/>
      <c r="U19" s="586"/>
      <c r="V19" s="586"/>
      <c r="W19" s="559"/>
      <c r="X19" s="559"/>
      <c r="Y19" s="559"/>
      <c r="Z19" s="620"/>
      <c r="AA19" s="559"/>
      <c r="AU19" s="142">
        <f t="shared" si="1"/>
        <v>1981</v>
      </c>
    </row>
    <row r="20" spans="2:50" s="142" customFormat="1" ht="16" customHeight="1" thickBot="1" x14ac:dyDescent="0.35">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6"/>
      <c r="T20" s="619"/>
      <c r="U20" s="586"/>
      <c r="V20" s="586"/>
      <c r="W20" s="559"/>
      <c r="X20" s="559"/>
      <c r="Y20" s="559"/>
      <c r="Z20" s="620"/>
      <c r="AA20" s="559"/>
      <c r="AM20" s="219"/>
      <c r="AU20" s="142">
        <f t="shared" si="1"/>
        <v>1982</v>
      </c>
    </row>
    <row r="21" spans="2:50" s="142" customFormat="1" ht="16" customHeight="1" thickBot="1" x14ac:dyDescent="0.45">
      <c r="B21" s="668" t="str">
        <f>IF(C21=0,"No",IF(C21=1,"Yes","Free"))</f>
        <v>Free</v>
      </c>
      <c r="C21" s="424">
        <f>IF(H14="Yes",2,0)</f>
        <v>2</v>
      </c>
      <c r="D21" s="321" t="s">
        <v>284</v>
      </c>
      <c r="E21" s="342" t="s">
        <v>9</v>
      </c>
      <c r="F21" s="267" t="s">
        <v>11</v>
      </c>
      <c r="G21" s="267"/>
      <c r="H21" s="200" t="str">
        <f>IF(B21="Free","Free",IF(B21="Yes","Charged",""))</f>
        <v>Free</v>
      </c>
      <c r="I21" s="188"/>
      <c r="J21" s="188"/>
      <c r="K21" s="9"/>
      <c r="L21" s="203"/>
      <c r="M21" s="189">
        <f ca="1">M19*Rates!K13%*Q21</f>
        <v>0</v>
      </c>
      <c r="N21" s="236"/>
      <c r="Q21" s="142">
        <f>IF(B21="Yes",1,0)</f>
        <v>0</v>
      </c>
      <c r="R21" s="393"/>
      <c r="S21" s="621"/>
      <c r="T21" s="586"/>
      <c r="U21" s="586"/>
      <c r="V21" s="586"/>
      <c r="W21" s="590"/>
      <c r="X21" s="590"/>
      <c r="Y21" s="590"/>
      <c r="Z21" s="590"/>
      <c r="AA21" s="590"/>
      <c r="AM21" s="219"/>
      <c r="AU21" s="142">
        <f t="shared" si="1"/>
        <v>1983</v>
      </c>
    </row>
    <row r="22" spans="2:50" s="142" customFormat="1" ht="16" customHeight="1" thickBot="1" x14ac:dyDescent="0.35">
      <c r="B22" s="5"/>
      <c r="C22" s="137"/>
      <c r="D22" s="321" t="s">
        <v>284</v>
      </c>
      <c r="E22" s="342" t="s">
        <v>9</v>
      </c>
      <c r="F22" s="267" t="s">
        <v>2</v>
      </c>
      <c r="G22" s="267"/>
      <c r="H22" s="603">
        <v>0</v>
      </c>
      <c r="I22" s="422">
        <f>IF(AND($C$2="Yes",L22=1),K22,H22)</f>
        <v>0</v>
      </c>
      <c r="J22" s="440"/>
      <c r="K22" s="669">
        <v>10000</v>
      </c>
      <c r="L22" s="498">
        <v>0</v>
      </c>
      <c r="M22" s="197">
        <f>IF(AND($C$2="Yes",L22=1),N22,-IF(I22=2000,MIN(Rates!K38/100*M19,Rates!J38),IF(I22=5000,MIN(Rates!J39,Rates!K39/100*M19),IF(I22=10000,MIN(Rates!K40/100*M19,Rates!J40)))))</f>
        <v>0</v>
      </c>
      <c r="N22" s="236">
        <v>0</v>
      </c>
      <c r="O22" s="233">
        <f>IF(I22&gt;0,1,0)</f>
        <v>0</v>
      </c>
      <c r="P22" s="233"/>
      <c r="Q22" s="466"/>
      <c r="R22" s="231"/>
      <c r="S22" s="586"/>
      <c r="T22" s="586"/>
      <c r="U22" s="586"/>
      <c r="V22" s="586"/>
      <c r="W22" s="622"/>
      <c r="X22" s="590"/>
      <c r="Y22" s="590"/>
      <c r="Z22" s="623">
        <f ca="1">M35+M36</f>
        <v>4000.1499999999996</v>
      </c>
      <c r="AA22" s="590"/>
      <c r="AM22" s="219"/>
      <c r="AU22" s="142">
        <f t="shared" si="1"/>
        <v>1984</v>
      </c>
    </row>
    <row r="23" spans="2:50" s="142" customFormat="1" ht="16" customHeight="1" thickBot="1" x14ac:dyDescent="0.35">
      <c r="B23" s="5"/>
      <c r="C23" s="137"/>
      <c r="D23" s="321" t="s">
        <v>284</v>
      </c>
      <c r="E23" s="342" t="s">
        <v>9</v>
      </c>
      <c r="F23" s="267" t="s">
        <v>3</v>
      </c>
      <c r="G23" s="267"/>
      <c r="H23" s="557">
        <v>77.141999999999996</v>
      </c>
      <c r="I23" s="1579" t="str">
        <f ca="1">IF(AND(U23=0,M23&lt;0),"   (Special Rebate Allowed)",IF(U23=0,"   (Rebate Not Allowed)",IF(AND(H12="Hybrid",M23&lt;0),"N.B:- Hybrid Vehicle",IF(AND(H11="Korean",M23&lt;0),"N.B:- Korean Vehicle",""))))</f>
        <v/>
      </c>
      <c r="J23" s="1580"/>
      <c r="K23" s="1580"/>
      <c r="L23" s="1580"/>
      <c r="M23" s="193">
        <f ca="1">IF(AND($C$2="Yes",O23=1),N23,IF(AND(U23=0,C24=1),-((M19+M21+M22)*I24%),-((M19+M21+M22)*H23%*U23)))</f>
        <v>-13499.85</v>
      </c>
      <c r="N23" s="236">
        <v>0</v>
      </c>
      <c r="O23" s="670">
        <v>0</v>
      </c>
      <c r="P23" s="491">
        <f ca="1">IF(M23&lt;0,1,0)</f>
        <v>1</v>
      </c>
      <c r="Q23" s="517">
        <f>Rates!C29</f>
        <v>75</v>
      </c>
      <c r="R23" s="518">
        <f>IF(AND(T47=0,Rates!C28="No"),1,0)</f>
        <v>0</v>
      </c>
      <c r="S23" s="624"/>
      <c r="T23" s="624">
        <f>IF(R23=1,0,IF(AND(H11="Chinese",Rates!D64="No"),0,IF(AND(H12="Hybrid",Rates!D76="No"),0,IF(AND(H11="Korean",Rates!D58="Yes"),1,IF(AND(H11="Korean",H14="No",Rates!D58="No"),0,IF(AND(H11="Korean",H14="Yes",Rates!D58="No",OR(J11="Reconditioned",J11="Registered")),0,Q23))))))</f>
        <v>75</v>
      </c>
      <c r="U23" s="624">
        <f>IF(T23=0,0,1)</f>
        <v>1</v>
      </c>
      <c r="V23" s="624"/>
      <c r="W23" s="602"/>
      <c r="X23" s="602"/>
      <c r="Y23" s="602">
        <v>0</v>
      </c>
      <c r="Z23" s="602">
        <f ca="1">Z22*-H37%</f>
        <v>-1000.0374999999999</v>
      </c>
      <c r="AA23" s="602"/>
      <c r="AB23" s="519"/>
      <c r="AC23" s="519"/>
      <c r="AD23" s="519"/>
      <c r="AE23" s="519"/>
      <c r="AM23" s="219"/>
      <c r="AU23" s="142">
        <f t="shared" si="1"/>
        <v>1985</v>
      </c>
    </row>
    <row r="24" spans="2:50" s="142" customFormat="1" ht="16" thickBot="1" x14ac:dyDescent="0.4">
      <c r="B24" s="5"/>
      <c r="C24" s="137">
        <f>IF(H24=D24,1,0)</f>
        <v>0</v>
      </c>
      <c r="D24" s="430" t="s">
        <v>404</v>
      </c>
      <c r="E24" s="179"/>
      <c r="F24" s="295"/>
      <c r="G24" s="429" t="str">
        <f>IF(U23=0,"Enter Password for Special Rebate =&gt;","")</f>
        <v/>
      </c>
      <c r="H24" s="522"/>
      <c r="I24" s="431">
        <v>15</v>
      </c>
      <c r="J24" s="431"/>
      <c r="K24" s="330"/>
      <c r="L24" s="330" t="s">
        <v>285</v>
      </c>
      <c r="M24" s="437">
        <f ca="1">SUM(M19:M23)</f>
        <v>4000.1499999999996</v>
      </c>
      <c r="N24" s="237"/>
      <c r="O24" s="233">
        <f ca="1">O23+M24</f>
        <v>4000.1499999999996</v>
      </c>
      <c r="P24" s="233"/>
      <c r="Q24" s="534"/>
      <c r="R24" s="534"/>
      <c r="S24" s="625"/>
      <c r="T24" s="625"/>
      <c r="U24" s="625"/>
      <c r="V24" s="625"/>
      <c r="W24" s="590"/>
      <c r="X24" s="590"/>
      <c r="Y24" s="590"/>
      <c r="Z24" s="626" t="s">
        <v>158</v>
      </c>
      <c r="AA24" s="590"/>
      <c r="AD24" s="379" t="s">
        <v>157</v>
      </c>
      <c r="AJ24" s="142">
        <v>0</v>
      </c>
      <c r="AM24" s="219"/>
      <c r="AU24" s="142">
        <f t="shared" si="1"/>
        <v>1986</v>
      </c>
    </row>
    <row r="25" spans="2:50" s="142" customFormat="1" ht="18" customHeight="1" thickBot="1" x14ac:dyDescent="0.4">
      <c r="B25" s="5"/>
      <c r="C25" s="137"/>
      <c r="D25" s="321" t="s">
        <v>284</v>
      </c>
      <c r="E25" s="342" t="s">
        <v>9</v>
      </c>
      <c r="F25" s="267" t="s">
        <v>326</v>
      </c>
      <c r="G25" s="76" t="s">
        <v>26</v>
      </c>
      <c r="H25" s="599">
        <f>TW!R34</f>
        <v>0</v>
      </c>
      <c r="I25" s="1538" t="s">
        <v>447</v>
      </c>
      <c r="J25" s="1539"/>
      <c r="K25" s="1540"/>
      <c r="L25" s="328">
        <f>IF(H15&gt;0,AD25,0)</f>
        <v>1</v>
      </c>
      <c r="M25" s="198">
        <f>(H25/25000)*110</f>
        <v>0</v>
      </c>
      <c r="N25" s="236">
        <v>0</v>
      </c>
      <c r="O25" s="234">
        <v>0</v>
      </c>
      <c r="P25" s="229">
        <f>IF(H25&gt;0,1,0)</f>
        <v>0</v>
      </c>
      <c r="Q25" s="229">
        <f>IF(L27&gt;0,1,0)</f>
        <v>1</v>
      </c>
      <c r="R25" s="234">
        <f>P25+Q25</f>
        <v>1</v>
      </c>
      <c r="S25" s="585"/>
      <c r="T25" s="585"/>
      <c r="U25" s="585">
        <f>IF(T47=0,Rates!K10,IF(U57=1,Rates!K8,Rates!K9))</f>
        <v>25</v>
      </c>
      <c r="V25" s="585"/>
      <c r="W25" s="590">
        <f>IF(OR(U62=1,Rates!D41="Yes"),MIN(H25/25000*MIN(L25,AC25)*U25,X25),0)</f>
        <v>0</v>
      </c>
      <c r="X25" s="590">
        <f>MIN(H25/25000*MIN(L25,AC25)*U25*Y25,Rates!C40/25000*MIN(L25,AC25)*U25*Y25)</f>
        <v>0</v>
      </c>
      <c r="Y25" s="590">
        <f>IF(Rates!D39="Yes",1,0)</f>
        <v>1</v>
      </c>
      <c r="Z25" s="671">
        <f>IF(AND(AA25=1,R25=2),MAX(H25,Rates!C40),IF(AND(AA25=1,R25&lt;2),Rates!C40,IF(AND(AA25=0,R25=2),H25,0)))</f>
        <v>0</v>
      </c>
      <c r="AA25" s="590">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
      </c>
      <c r="G26" s="497">
        <f>IF(OR(I25="Participant Only",I25="Participant &amp; Driver Only"),1,0)</f>
        <v>0</v>
      </c>
      <c r="H26" s="267" t="str">
        <f>IF(H25&gt;0,"for Participant","")</f>
        <v/>
      </c>
      <c r="I26" s="516">
        <f>IF(H15&gt;0,Z25,0)</f>
        <v>0</v>
      </c>
      <c r="J26" s="516"/>
      <c r="K26" s="310" t="str">
        <f>IF(H25&gt;0,"for Driver","")</f>
        <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5"/>
      <c r="T26" s="585"/>
      <c r="U26" s="585"/>
      <c r="V26" s="585"/>
      <c r="W26" s="590"/>
      <c r="X26" s="590"/>
      <c r="Y26" s="590"/>
      <c r="Z26" s="671"/>
      <c r="AA26" s="590"/>
      <c r="AJ26" s="142">
        <f>AJ25+25000</f>
        <v>50000</v>
      </c>
      <c r="AM26" s="219"/>
      <c r="AU26" s="142">
        <f t="shared" si="1"/>
        <v>1988</v>
      </c>
      <c r="AX26" s="672"/>
    </row>
    <row r="27" spans="2:50" s="142" customFormat="1" ht="26.25" hidden="1" customHeight="1" thickBot="1" x14ac:dyDescent="0.35">
      <c r="B27" s="5"/>
      <c r="C27" s="137"/>
      <c r="D27" s="315"/>
      <c r="E27" s="295"/>
      <c r="F27" s="1578" t="str">
        <f>IF(OR($R$25&gt;1,AA25=1),"If PAB for Terrorism is Required for paid Driver or workers, state their number","")</f>
        <v/>
      </c>
      <c r="G27" s="1578"/>
      <c r="H27" s="1578"/>
      <c r="I27" s="312">
        <v>0</v>
      </c>
      <c r="J27" s="367"/>
      <c r="K27" s="201"/>
      <c r="L27" s="312">
        <f>IF(E26=1,L13,IF(AND(G26=1,L26=1),2,IF(OR(G26=1,L26=1),1,0)))</f>
        <v>1</v>
      </c>
      <c r="M27" s="341"/>
      <c r="O27" s="229"/>
      <c r="P27" s="229"/>
      <c r="Q27" s="222"/>
      <c r="R27" s="380"/>
      <c r="S27" s="627"/>
      <c r="T27" s="627"/>
      <c r="U27" s="627"/>
      <c r="V27" s="627"/>
      <c r="W27" s="628"/>
      <c r="X27" s="628"/>
      <c r="Y27" s="590"/>
      <c r="Z27" s="671"/>
      <c r="AA27" s="590"/>
      <c r="AJ27" s="142">
        <f t="shared" ref="AJ27:AJ43" si="2">AJ26+25000</f>
        <v>75000</v>
      </c>
      <c r="AM27" s="219"/>
      <c r="AU27" s="142">
        <f t="shared" si="1"/>
        <v>1989</v>
      </c>
      <c r="AX27" s="672"/>
    </row>
    <row r="28" spans="2:50" s="142" customFormat="1" ht="20.25" hidden="1" customHeight="1" thickBot="1" x14ac:dyDescent="0.35">
      <c r="B28" s="5"/>
      <c r="C28" s="137"/>
      <c r="D28" s="315"/>
      <c r="E28" s="202"/>
      <c r="F28" s="1578"/>
      <c r="G28" s="1578"/>
      <c r="H28" s="1578"/>
      <c r="I28" s="1581" t="str">
        <f>IF(AND(H25=0,L25=0),"",IF(I27&gt;L25,"Invalid Entry",""))</f>
        <v/>
      </c>
      <c r="J28" s="1581"/>
      <c r="K28" s="1581"/>
      <c r="L28" s="295"/>
      <c r="M28" s="198"/>
      <c r="N28" s="239"/>
      <c r="O28" s="233"/>
      <c r="P28" s="233"/>
      <c r="Q28" s="380"/>
      <c r="R28" s="234"/>
      <c r="S28" s="585"/>
      <c r="T28" s="585"/>
      <c r="U28" s="585"/>
      <c r="V28" s="585"/>
      <c r="W28" s="590"/>
      <c r="X28" s="590"/>
      <c r="Y28" s="590"/>
      <c r="Z28" s="590">
        <f>IF(I27&gt;L25,L25,I27)</f>
        <v>0</v>
      </c>
      <c r="AA28" s="590"/>
      <c r="AJ28" s="142">
        <f t="shared" si="2"/>
        <v>100000</v>
      </c>
      <c r="AM28" s="219"/>
      <c r="AU28" s="142">
        <f t="shared" si="1"/>
        <v>1990</v>
      </c>
      <c r="AX28" s="672"/>
    </row>
    <row r="29" spans="2:50" s="142" customFormat="1" ht="20.25" customHeight="1" thickBot="1" x14ac:dyDescent="0.4">
      <c r="B29" s="5"/>
      <c r="C29" s="137"/>
      <c r="D29" s="321" t="s">
        <v>284</v>
      </c>
      <c r="E29" s="342" t="s">
        <v>9</v>
      </c>
      <c r="F29" s="77" t="s">
        <v>47</v>
      </c>
      <c r="G29" s="77"/>
      <c r="H29" s="601">
        <f>TW!R36</f>
        <v>0</v>
      </c>
      <c r="I29" s="316" t="str">
        <f>IF(L13&gt;Q12,CONCATENATE(Q12-1," Passengers"),CONCATENATE(L13-1," passengers"))</f>
        <v>3 passengers</v>
      </c>
      <c r="J29" s="318"/>
      <c r="K29" s="562">
        <f>IF(AND(H8="Three Wheeler",K14=F112,H29&lt;20000),20000,H29)</f>
        <v>0</v>
      </c>
      <c r="L29" s="561"/>
      <c r="M29" s="187">
        <f>IF(AND($C$2="Yes",O29=1),N29,IF(K29=2000,Rates!K27,IF(K29=10000,Rates!M27,IF(K29=20000,Rates!K28,IF(K29=50000,Rates!M28,IF(K29=100000,Rates!K29,IF(K29=200000,Rates!M29,IF(K29=500000,Rates!K30,))))))))*T29*U2*R15*Y2*Z49*Y49*Q65*N3</f>
        <v>0</v>
      </c>
      <c r="N29" s="236">
        <v>0</v>
      </c>
      <c r="O29" s="670">
        <v>0</v>
      </c>
      <c r="P29" s="229">
        <f>IF(K29&gt;0,1,0)</f>
        <v>0</v>
      </c>
      <c r="Q29" s="229">
        <f>IF(I29&gt;0,1,0)</f>
        <v>1</v>
      </c>
      <c r="R29" s="234">
        <f>P29+Q29</f>
        <v>1</v>
      </c>
      <c r="S29" s="585"/>
      <c r="T29" s="586">
        <f>IF(I29&gt;L13-1,L13-1,I29)</f>
        <v>3</v>
      </c>
      <c r="U29" s="586"/>
      <c r="V29" s="586">
        <f>IF(AND(H9=Administration!C21,OR(Working!M8=Administration!C7,M8=Administration!C8,M8=Administration!C9,M8=Administration!C10,M8=Administration!C12)),2000,0)</f>
        <v>2000</v>
      </c>
      <c r="W29" s="590"/>
      <c r="X29" s="590"/>
      <c r="Y29" s="590"/>
      <c r="Z29" s="590"/>
      <c r="AA29" s="590"/>
      <c r="AJ29" s="142">
        <f t="shared" si="2"/>
        <v>125000</v>
      </c>
      <c r="AM29" s="219"/>
      <c r="AU29" s="142">
        <f t="shared" si="1"/>
        <v>1991</v>
      </c>
      <c r="AX29" s="673"/>
    </row>
    <row r="30" spans="2:50" s="142" customFormat="1" ht="21" customHeight="1" thickBot="1" x14ac:dyDescent="0.35">
      <c r="B30" s="5"/>
      <c r="C30" s="345" t="s">
        <v>78</v>
      </c>
      <c r="D30" s="321" t="s">
        <v>284</v>
      </c>
      <c r="E30" s="342" t="s">
        <v>9</v>
      </c>
      <c r="F30" s="499" t="str">
        <f>IF(O31=0,"Goods Cover               (Not Provided)",IF(AND(C30="Yes",H30=0),"Goods Cover    - Enter Goods Value","Goods Cover              Goods Value-&gt;"))</f>
        <v>Goods Cover    - Enter Goods Value</v>
      </c>
      <c r="G30" s="295"/>
      <c r="H30" s="604">
        <v>0</v>
      </c>
      <c r="I30" s="1532" t="s">
        <v>39</v>
      </c>
      <c r="J30" s="1533"/>
      <c r="K30" s="674" t="s">
        <v>403</v>
      </c>
      <c r="L30" s="498">
        <v>0</v>
      </c>
      <c r="M30" s="189"/>
      <c r="N30" s="236">
        <v>0</v>
      </c>
      <c r="O30" s="229">
        <f>IF(AND(C30="Yes",H30&gt;0),1,0)</f>
        <v>0</v>
      </c>
      <c r="P30" s="229"/>
      <c r="Q30" s="219"/>
      <c r="S30" s="559"/>
      <c r="T30" s="559">
        <f>IF(C30="Yes",Rates!B33,0)</f>
        <v>5000</v>
      </c>
      <c r="U30" s="623">
        <f>IF(AND(O31=1,C30="Yes"),Rates!B31,0)</f>
        <v>1000000</v>
      </c>
      <c r="V30" s="623"/>
      <c r="W30" s="590"/>
      <c r="X30" s="590"/>
      <c r="Y30" s="590"/>
      <c r="Z30" s="590"/>
      <c r="AA30" s="590"/>
      <c r="AJ30" s="142">
        <f t="shared" si="2"/>
        <v>150000</v>
      </c>
      <c r="AM30" s="219"/>
      <c r="AU30" s="142">
        <f t="shared" si="1"/>
        <v>1992</v>
      </c>
    </row>
    <row r="31" spans="2:50" s="142" customFormat="1" ht="0.75" customHeight="1" thickBot="1" x14ac:dyDescent="0.35">
      <c r="B31" s="675">
        <v>1</v>
      </c>
      <c r="C31" s="475">
        <v>1</v>
      </c>
      <c r="D31" s="314"/>
      <c r="E31" s="344" t="str">
        <f>IF(AND(H30&gt;0,O31&gt;0),"Select Nature of Goods","")</f>
        <v/>
      </c>
      <c r="F31" s="295"/>
      <c r="G31" s="205" t="s">
        <v>9</v>
      </c>
      <c r="H31" s="329" t="str">
        <f>IF(AND(H30&gt;0,O31=1),"Non Hazardous","")</f>
        <v/>
      </c>
      <c r="I31" s="311">
        <f>H30*Rates!K53%*T31*O30*O31</f>
        <v>0</v>
      </c>
      <c r="J31" s="676"/>
      <c r="K31" s="676"/>
      <c r="L31" s="676"/>
      <c r="M31" s="192"/>
      <c r="N31" s="240"/>
      <c r="O31" s="142">
        <f>IF(OR(H8=Administration!C9,H8=Administration!C11,H8=Administration!C12,H8=Administration!CY1548),1,IF(Rates!D47="Yes",1,0))</f>
        <v>1</v>
      </c>
      <c r="Q31" s="142">
        <f>B31</f>
        <v>1</v>
      </c>
      <c r="R31" s="142">
        <f>IF(Q31+Q32=3,0,1)</f>
        <v>1</v>
      </c>
      <c r="S31" s="559"/>
      <c r="T31" s="559">
        <f>IF((E32+E33)=0,1,0)</f>
        <v>0</v>
      </c>
      <c r="U31" s="590">
        <f>IF(T31=1,1,0)</f>
        <v>0</v>
      </c>
      <c r="V31" s="590"/>
      <c r="W31" s="590"/>
      <c r="X31" s="590"/>
      <c r="Y31" s="590"/>
      <c r="Z31" s="590"/>
      <c r="AA31" s="590"/>
      <c r="AJ31" s="142">
        <f t="shared" si="2"/>
        <v>175000</v>
      </c>
      <c r="AM31" s="219"/>
      <c r="AU31" s="142">
        <f t="shared" si="1"/>
        <v>1993</v>
      </c>
      <c r="AX31" s="673" t="s">
        <v>392</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6"/>
      <c r="K32" s="676"/>
      <c r="L32" s="676"/>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3" t="s">
        <v>385</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6"/>
      <c r="K33" s="676"/>
      <c r="L33" s="676"/>
      <c r="M33" s="192"/>
      <c r="N33" s="1556"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557"/>
      <c r="Q33" s="142">
        <f>E33</f>
        <v>1</v>
      </c>
      <c r="S33" s="559"/>
      <c r="T33" s="559"/>
      <c r="U33" s="559"/>
      <c r="V33" s="559"/>
      <c r="W33" s="559"/>
      <c r="X33" s="559"/>
      <c r="Y33" s="559"/>
      <c r="Z33" s="559"/>
      <c r="AA33" s="559"/>
      <c r="AJ33" s="142">
        <f t="shared" si="2"/>
        <v>225000</v>
      </c>
      <c r="AM33" s="219"/>
      <c r="AU33" s="142">
        <f t="shared" si="1"/>
        <v>1995</v>
      </c>
      <c r="AX33" s="673" t="s">
        <v>393</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6"/>
      <c r="K34" s="676"/>
      <c r="L34" s="676"/>
      <c r="M34" s="192"/>
      <c r="N34" s="1558"/>
      <c r="O34" s="1559"/>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286</v>
      </c>
      <c r="M35" s="507">
        <f ca="1">M24+M25+M30+M29</f>
        <v>4000.1499999999996</v>
      </c>
      <c r="N35" s="237"/>
      <c r="O35" s="229"/>
      <c r="P35" s="229"/>
      <c r="Q35" s="241"/>
      <c r="AJ35" s="142">
        <f t="shared" si="2"/>
        <v>275000</v>
      </c>
      <c r="AM35" s="219"/>
      <c r="AU35" s="536">
        <f t="shared" si="1"/>
        <v>1997</v>
      </c>
    </row>
    <row r="36" spans="2:50" s="142" customFormat="1" ht="16" customHeight="1" thickBot="1" x14ac:dyDescent="0.4">
      <c r="B36" s="5"/>
      <c r="C36" s="137" t="str">
        <f>IF(H38="Upfront NCB","NCB (No Claim Bonus)","No Claim Bonus (NCB)")</f>
        <v>No Claim Bonus (NCB)</v>
      </c>
      <c r="D36" s="321" t="s">
        <v>284</v>
      </c>
      <c r="E36" s="342" t="s">
        <v>9</v>
      </c>
      <c r="F36" s="267" t="s">
        <v>320</v>
      </c>
      <c r="G36" s="374">
        <f>H36+H37</f>
        <v>25</v>
      </c>
      <c r="H36" s="677">
        <f>TW!T34</f>
        <v>0</v>
      </c>
      <c r="I36" s="1536" t="str">
        <f>IF(H36&gt;R36,CONCATENATE("NCB ALLOWED - ",R36),IF(H36&gt;0,"Earned NCB - NOT Upfront NCB",IF(AND(M8=Administration!C19,H9=Administration!C20),"NCB Not Allowed","")))</f>
        <v/>
      </c>
      <c r="J36" s="1537"/>
      <c r="K36" s="1537"/>
      <c r="L36" s="498">
        <v>0</v>
      </c>
      <c r="M36" s="193">
        <f ca="1">IF(AND($C$2="Yes",L36=1),N36,(-M35/1*MIN(H36%,R36%)*Y2))</f>
        <v>0</v>
      </c>
      <c r="N36" s="678">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9"/>
    </row>
    <row r="37" spans="2:50" s="142" customFormat="1" ht="16" customHeight="1" thickBot="1" x14ac:dyDescent="0.4">
      <c r="B37" s="5"/>
      <c r="C37" s="137"/>
      <c r="D37" s="321"/>
      <c r="E37" s="508" t="s">
        <v>9</v>
      </c>
      <c r="F37" s="267" t="s">
        <v>321</v>
      </c>
      <c r="G37" s="657">
        <f>IF(H36+H37&gt;35,35-H36,H37)</f>
        <v>25</v>
      </c>
      <c r="H37" s="556">
        <v>25</v>
      </c>
      <c r="I37" s="1534" t="str">
        <f>IF(G37&lt;&gt;H37,CONCATENATE(G37,"% NCB Allowed (Max - 35%)"),"")</f>
        <v/>
      </c>
      <c r="J37" s="1535"/>
      <c r="K37" s="1535"/>
      <c r="L37" s="498">
        <v>0</v>
      </c>
      <c r="M37" s="456">
        <f ca="1">IF(AND($C$2="Yes",L37=1),Q37,(-M35/1*G37%))</f>
        <v>-1000.0374999999999</v>
      </c>
      <c r="N37" s="678">
        <v>-121</v>
      </c>
      <c r="O37" s="229"/>
      <c r="P37" s="229"/>
      <c r="Q37" s="488"/>
      <c r="R37" s="242">
        <f>IF(H36+H37&gt;R36,0,1)</f>
        <v>1</v>
      </c>
      <c r="S37" s="242"/>
      <c r="T37" s="231"/>
      <c r="U37" s="231"/>
      <c r="V37" s="231"/>
      <c r="W37" s="141"/>
      <c r="X37" s="141"/>
      <c r="Y37" s="141"/>
      <c r="Z37" s="141"/>
      <c r="AU37" s="536">
        <f t="shared" ref="AU37:AU42" si="3">AU36+1</f>
        <v>1999</v>
      </c>
      <c r="AX37" s="679"/>
    </row>
    <row r="38" spans="2:50" s="142" customFormat="1" ht="15" customHeight="1" thickBot="1" x14ac:dyDescent="0.35">
      <c r="B38" s="5"/>
      <c r="C38" s="136"/>
      <c r="D38" s="509"/>
      <c r="E38" s="510"/>
      <c r="F38" s="502"/>
      <c r="G38" s="511"/>
      <c r="H38" s="512" t="s">
        <v>320</v>
      </c>
      <c r="I38" s="513" t="s">
        <v>398</v>
      </c>
      <c r="J38" s="514"/>
      <c r="K38" s="515"/>
      <c r="L38" s="506" t="s">
        <v>287</v>
      </c>
      <c r="M38" s="507">
        <f ca="1">(M35+M36+M37)*C69</f>
        <v>3000.1124999999997</v>
      </c>
      <c r="N38" s="237"/>
      <c r="O38" s="243">
        <f ca="1">M35+M36</f>
        <v>4000.1499999999996</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9"/>
    </row>
    <row r="39" spans="2:50" s="142" customFormat="1" ht="15" customHeight="1" thickBot="1" x14ac:dyDescent="0.45">
      <c r="B39" s="668" t="str">
        <f>IF(C39=1,"Yes","No")</f>
        <v>Yes</v>
      </c>
      <c r="C39" s="531">
        <v>1</v>
      </c>
      <c r="D39" s="321" t="s">
        <v>284</v>
      </c>
      <c r="E39" s="342" t="s">
        <v>9</v>
      </c>
      <c r="F39" s="267" t="s">
        <v>288</v>
      </c>
      <c r="G39" s="267"/>
      <c r="H39" s="221"/>
      <c r="I39" s="188"/>
      <c r="J39" s="188"/>
      <c r="K39" s="9"/>
      <c r="L39" s="498">
        <v>0</v>
      </c>
      <c r="M39" s="189">
        <f ca="1">IF(AND($C$2="Yes",L39=1),N39,IF(B39="Yes",M19*Rates!K11%,0))</f>
        <v>1750</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9"/>
    </row>
    <row r="40" spans="2:50" s="142" customFormat="1" ht="16" customHeight="1" thickBot="1" x14ac:dyDescent="0.35">
      <c r="B40" s="668" t="str">
        <f>IF(C40=1,"Yes","No")</f>
        <v>Yes</v>
      </c>
      <c r="C40" s="531">
        <v>1</v>
      </c>
      <c r="D40" s="321" t="s">
        <v>284</v>
      </c>
      <c r="E40" s="342" t="s">
        <v>9</v>
      </c>
      <c r="F40" s="267" t="s">
        <v>14</v>
      </c>
      <c r="G40" s="267"/>
      <c r="H40" s="188"/>
      <c r="I40" s="188"/>
      <c r="J40" s="188"/>
      <c r="K40" s="9"/>
      <c r="L40" s="498">
        <v>0</v>
      </c>
      <c r="M40" s="189">
        <f>IF(AND($C$2="Yes",L40=1),N40,(Q38*P38%*H15*U2*Z2*N4))</f>
        <v>2500</v>
      </c>
      <c r="N40" s="236">
        <v>0</v>
      </c>
      <c r="O40" s="1546"/>
      <c r="P40" s="1546"/>
      <c r="Q40" s="1546"/>
      <c r="R40" s="1546"/>
      <c r="S40" s="1546"/>
      <c r="T40" s="1546"/>
      <c r="U40" s="1546"/>
      <c r="V40" s="1546"/>
      <c r="AA40" s="559"/>
      <c r="AB40" s="559"/>
      <c r="AC40" s="559"/>
      <c r="AD40" s="559"/>
      <c r="AE40" s="559"/>
      <c r="AF40" s="559"/>
      <c r="AG40" s="559"/>
      <c r="AH40" s="559"/>
      <c r="AJ40" s="142">
        <f t="shared" si="2"/>
        <v>375000</v>
      </c>
      <c r="AU40" s="536">
        <f t="shared" si="3"/>
        <v>2002</v>
      </c>
      <c r="AX40" s="679"/>
    </row>
    <row r="41" spans="2:50" s="142" customFormat="1" ht="16" customHeight="1" thickBot="1" x14ac:dyDescent="0.35">
      <c r="B41" s="668" t="str">
        <f>IF(C42=1,"Yes","No")</f>
        <v>Yes</v>
      </c>
      <c r="C41" s="136"/>
      <c r="D41" s="441">
        <f>IF(OR($R$25&gt;1,AA25=1),1,0)</f>
        <v>0</v>
      </c>
      <c r="E41" s="498">
        <v>1</v>
      </c>
      <c r="F41" s="267" t="str">
        <f>IF(AND($C$40=1,D41=1),CONCATENATE("     PAB by SRCC (Rs.",Y42,")"),"")</f>
        <v/>
      </c>
      <c r="G41" s="498">
        <v>1</v>
      </c>
      <c r="H41" s="442" t="str">
        <f>IF(AND($C$40=1,M30&gt;0),"   Goods Cover by SRCC","")</f>
        <v/>
      </c>
      <c r="I41" s="204"/>
      <c r="J41" s="498">
        <v>1</v>
      </c>
      <c r="K41" s="443" t="str">
        <f>IF(AND($C$40=1,OR(H50&gt;0,H51&gt;0)),"WCT by SRCC","")</f>
        <v/>
      </c>
      <c r="L41" s="498">
        <v>1</v>
      </c>
      <c r="M41" s="189">
        <v>0</v>
      </c>
      <c r="N41" s="236">
        <v>0</v>
      </c>
      <c r="O41" s="1546"/>
      <c r="P41" s="1546"/>
      <c r="Q41" s="1546"/>
      <c r="R41" s="1546"/>
      <c r="S41" s="1546"/>
      <c r="T41" s="1546"/>
      <c r="U41" s="1546"/>
      <c r="V41" s="1546"/>
      <c r="X41" s="474" t="s">
        <v>19</v>
      </c>
      <c r="Y41" s="474" t="s">
        <v>17</v>
      </c>
      <c r="Z41" s="474" t="s">
        <v>18</v>
      </c>
      <c r="AA41" s="593"/>
      <c r="AB41" s="594" t="s">
        <v>147</v>
      </c>
      <c r="AC41" s="595" t="s">
        <v>150</v>
      </c>
      <c r="AD41" s="596" t="s">
        <v>151</v>
      </c>
      <c r="AE41" s="595" t="s">
        <v>150</v>
      </c>
      <c r="AF41" s="559"/>
      <c r="AG41" s="559" t="s">
        <v>153</v>
      </c>
      <c r="AH41" s="559" t="s">
        <v>152</v>
      </c>
      <c r="AJ41" s="142">
        <f t="shared" si="2"/>
        <v>400000</v>
      </c>
      <c r="AU41" s="536">
        <f t="shared" si="3"/>
        <v>2003</v>
      </c>
    </row>
    <row r="42" spans="2:50" s="142" customFormat="1" ht="18.75" customHeight="1" thickBot="1" x14ac:dyDescent="0.35">
      <c r="B42" s="118"/>
      <c r="C42" s="680">
        <f>IF(TW!T20="No",0,1)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625</v>
      </c>
      <c r="N42" s="681">
        <v>0</v>
      </c>
      <c r="O42" s="490"/>
      <c r="Q42" s="467" t="str">
        <f>IF(G41=1,"Yes","No")</f>
        <v>Yes</v>
      </c>
      <c r="R42" s="468"/>
      <c r="T42" s="244" t="str">
        <f>IF(E41=1,"Yes","No")</f>
        <v>Yes</v>
      </c>
      <c r="U42" s="460"/>
      <c r="W42" s="234" t="str">
        <f>IF(J41=1,"Yes","No")</f>
        <v>Yes</v>
      </c>
      <c r="X42" s="245">
        <f>IF(AND(B40="Yes",Q42="Yes",C30="Yes"),H30*Rates!Q8%,0)*Z49*O31</f>
        <v>0</v>
      </c>
      <c r="Y42" s="245">
        <f>IF(AND(B40="Yes",T42="Yes"),AE42,0)</f>
        <v>0</v>
      </c>
      <c r="Z42" s="245">
        <f>IF(AND(B40="Yes",W42="Yes"),(M50+M51)*Rates!Q9%,0)</f>
        <v>0</v>
      </c>
      <c r="AA42" s="597"/>
      <c r="AB42" s="598">
        <f>IF(Y48="Commercial Vehicle Policy",1,0)</f>
        <v>1</v>
      </c>
      <c r="AC42" s="598">
        <f>IF(OR(Y48="Private car policy",Y48="Motor Cycle Policy"),1,0)</f>
        <v>0</v>
      </c>
      <c r="AD42" s="559">
        <f>IF(AND(M8=Administration!C10,H9=Administration!C23),1,0)</f>
        <v>0</v>
      </c>
      <c r="AE42" s="559">
        <f>IF(AC42=1,I26*L25*Rates!Q6%,AF42)</f>
        <v>0</v>
      </c>
      <c r="AF42" s="559">
        <f>AG42+AH42</f>
        <v>0</v>
      </c>
      <c r="AG42" s="559">
        <f>Z28*I26*Rates!Q6%</f>
        <v>0</v>
      </c>
      <c r="AH42" s="559">
        <f>IF(AD42=1,(L25-Z28)*Z25*Rates!Q7%,(L25-Z28)*Z25*Rates!Q6%)</f>
        <v>0</v>
      </c>
      <c r="AJ42" s="142">
        <f>AJ41+25000</f>
        <v>425000</v>
      </c>
      <c r="AU42" s="536">
        <f t="shared" si="3"/>
        <v>2004</v>
      </c>
      <c r="AX42" s="679"/>
    </row>
    <row r="43" spans="2:50" s="142" customFormat="1" ht="16" customHeight="1" x14ac:dyDescent="0.3">
      <c r="B43" s="118"/>
      <c r="C43" s="136"/>
      <c r="D43" s="313"/>
      <c r="E43" s="498">
        <v>0</v>
      </c>
      <c r="F43" s="267" t="str">
        <f>IF(AND($C$40=1,C42=1,D41=1),CONCATENATE("     PAB by TC (Rs.",Y43,")"),"")</f>
        <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7"/>
      <c r="AB43" s="598"/>
      <c r="AC43" s="598"/>
      <c r="AD43" s="559"/>
      <c r="AE43" s="559">
        <f>IF(AC42=1,I26*L25*Rates!R6%,AF43)</f>
        <v>0</v>
      </c>
      <c r="AF43" s="559">
        <f>AG43+AH43</f>
        <v>0</v>
      </c>
      <c r="AG43" s="559">
        <f>Z28*I26*Rates!R4%</f>
        <v>0</v>
      </c>
      <c r="AH43" s="559">
        <f>IF(AD42=1,Rates!R7,(L25-Z28)*Z25*Rates!R5%)</f>
        <v>0</v>
      </c>
      <c r="AJ43" s="142">
        <f t="shared" si="2"/>
        <v>450000</v>
      </c>
      <c r="AU43" s="536">
        <f t="shared" ref="AU43:AU84" ca="1" si="4">IF(AU42&gt;=$AW$46,"",AU42+1)</f>
        <v>2005</v>
      </c>
      <c r="AX43" s="679"/>
    </row>
    <row r="44" spans="2:50" s="142" customFormat="1" ht="16" customHeight="1" x14ac:dyDescent="0.3">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5250</v>
      </c>
      <c r="N44" s="682">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9"/>
    </row>
    <row r="45" spans="2:50" s="142" customFormat="1" ht="15" customHeight="1" thickBot="1" x14ac:dyDescent="0.35">
      <c r="B45" s="118" t="str">
        <f>IF(C47=1,"Yes","No")</f>
        <v>No</v>
      </c>
      <c r="C45" s="583">
        <v>0</v>
      </c>
      <c r="D45" s="321" t="s">
        <v>284</v>
      </c>
      <c r="E45" s="342" t="s">
        <v>9</v>
      </c>
      <c r="F45" s="267" t="s">
        <v>450</v>
      </c>
      <c r="G45" s="267"/>
      <c r="H45" s="188"/>
      <c r="I45" s="188"/>
      <c r="J45" s="188"/>
      <c r="K45" s="9"/>
      <c r="L45" s="498">
        <v>0</v>
      </c>
      <c r="M45" s="189"/>
      <c r="N45" s="683">
        <v>0</v>
      </c>
      <c r="O45" s="584">
        <f>C45</f>
        <v>0</v>
      </c>
      <c r="P45" s="585"/>
      <c r="Q45" s="585"/>
      <c r="R45" s="586">
        <f>IF(Rates!M15="Free",0,1)</f>
        <v>1</v>
      </c>
      <c r="S45" s="586"/>
      <c r="T45" s="587"/>
      <c r="U45" s="587"/>
      <c r="V45" s="231"/>
      <c r="W45" s="141"/>
      <c r="X45" s="141"/>
      <c r="Y45" s="141"/>
      <c r="AA45" s="559"/>
      <c r="AB45" s="559"/>
      <c r="AC45" s="559"/>
      <c r="AD45" s="590"/>
      <c r="AE45" s="590"/>
      <c r="AF45" s="590"/>
      <c r="AG45" s="590"/>
      <c r="AH45" s="590"/>
      <c r="AI45" s="141"/>
      <c r="AJ45" s="142">
        <f>IF(AJ44=500000,"",AJ44+25000)</f>
        <v>500000</v>
      </c>
      <c r="AK45" s="141"/>
      <c r="AL45" s="141"/>
      <c r="AN45" s="141"/>
      <c r="AO45" s="141"/>
      <c r="AP45" s="141"/>
      <c r="AQ45" s="141"/>
      <c r="AR45" s="141"/>
      <c r="AS45" s="141"/>
      <c r="AU45" s="536">
        <f t="shared" ca="1" si="4"/>
        <v>2007</v>
      </c>
      <c r="AX45" s="679"/>
    </row>
    <row r="46" spans="2:50" s="142" customFormat="1" ht="15.75" customHeight="1" thickBot="1" x14ac:dyDescent="0.35">
      <c r="B46" s="668" t="str">
        <f>IF(C46=1,"Yes","No")</f>
        <v>No</v>
      </c>
      <c r="C46" s="600">
        <v>0</v>
      </c>
      <c r="D46" s="321" t="s">
        <v>284</v>
      </c>
      <c r="E46" s="342" t="s">
        <v>9</v>
      </c>
      <c r="F46" s="267" t="s">
        <v>279</v>
      </c>
      <c r="G46" s="267"/>
      <c r="H46" s="1537" t="str">
        <f>IF(U57=1,"Free Cover",IF(AND(B46="Yes",Q48=1,Q46=0,U46=0),"Only for Private Dual Purpose Vehicles",""))</f>
        <v/>
      </c>
      <c r="I46" s="1537"/>
      <c r="J46" s="1537"/>
      <c r="K46" s="1537"/>
      <c r="L46" s="498">
        <v>0</v>
      </c>
      <c r="M46" s="189">
        <f ca="1">IF(AND($C$2="Yes",L46=1),N46,(M19*Rates!K19%*T46))</f>
        <v>0</v>
      </c>
      <c r="N46" s="684">
        <v>0</v>
      </c>
      <c r="O46" s="559">
        <f>IF(B46="Yes",1,0)</f>
        <v>0</v>
      </c>
      <c r="P46" s="559"/>
      <c r="Q46" s="559">
        <f>IF(AND(M8=Administration!C9,H9=Administration!C20),1,U46)</f>
        <v>0</v>
      </c>
      <c r="R46" s="588">
        <f>O46+Q46</f>
        <v>0</v>
      </c>
      <c r="S46" s="588"/>
      <c r="T46" s="588">
        <f>IF(R46=2,1,0)</f>
        <v>0</v>
      </c>
      <c r="U46" s="588">
        <f>IF(AND(Rates!O19="Yes",Q48=1),1,0)</f>
        <v>0</v>
      </c>
      <c r="V46" s="241"/>
      <c r="W46" s="141"/>
      <c r="X46" s="141"/>
      <c r="Y46" s="141"/>
      <c r="Z46" s="141"/>
      <c r="AA46" s="559"/>
      <c r="AB46" s="559"/>
      <c r="AC46" s="559"/>
      <c r="AD46" s="590"/>
      <c r="AE46" s="590"/>
      <c r="AF46" s="590"/>
      <c r="AG46" s="590"/>
      <c r="AH46" s="590"/>
      <c r="AI46" s="141"/>
      <c r="AK46" s="141"/>
      <c r="AL46" s="141"/>
      <c r="AN46" s="141"/>
      <c r="AO46" s="141"/>
      <c r="AP46" s="141"/>
      <c r="AQ46" s="141"/>
      <c r="AR46" s="141"/>
      <c r="AS46" s="141"/>
      <c r="AU46" s="536">
        <f t="shared" ca="1" si="4"/>
        <v>2008</v>
      </c>
      <c r="AW46" s="142">
        <f ca="1">YEAR(F69)</f>
        <v>2024</v>
      </c>
      <c r="AX46" s="679"/>
    </row>
    <row r="47" spans="2:50" s="142" customFormat="1" ht="15.75" customHeight="1" thickBot="1" x14ac:dyDescent="0.35">
      <c r="B47" s="118"/>
      <c r="C47" s="136"/>
      <c r="D47" s="321" t="s">
        <v>284</v>
      </c>
      <c r="E47" s="342" t="s">
        <v>9</v>
      </c>
      <c r="F47" s="267" t="s">
        <v>448</v>
      </c>
      <c r="G47" s="267"/>
      <c r="H47" s="722">
        <v>300000</v>
      </c>
      <c r="I47" s="188" t="s">
        <v>110</v>
      </c>
      <c r="J47" s="188"/>
      <c r="K47" s="617">
        <f>IF(AND(H47&gt;0,T47=0),"Not Applicable",0)</f>
        <v>0</v>
      </c>
      <c r="L47" s="498">
        <v>1</v>
      </c>
      <c r="M47" s="187">
        <v>0</v>
      </c>
      <c r="N47" s="684">
        <v>0</v>
      </c>
      <c r="O47" s="589">
        <f>IF(H47&gt;0,1,0)</f>
        <v>1</v>
      </c>
      <c r="P47" s="589"/>
      <c r="Q47" s="585"/>
      <c r="R47" s="586"/>
      <c r="S47" s="586"/>
      <c r="T47" s="590">
        <f>IF(OR(M8=Administration!C13,M8=Administration!C14,),0,1)</f>
        <v>1</v>
      </c>
      <c r="U47" s="586"/>
      <c r="V47" s="231"/>
      <c r="W47" s="141"/>
      <c r="X47" s="141"/>
      <c r="Y47" s="141"/>
      <c r="Z47" s="141"/>
      <c r="AA47" s="590"/>
      <c r="AB47" s="590"/>
      <c r="AC47" s="590"/>
      <c r="AD47" s="590"/>
      <c r="AE47" s="590"/>
      <c r="AF47" s="590"/>
      <c r="AG47" s="590"/>
      <c r="AH47" s="590"/>
      <c r="AI47" s="141"/>
      <c r="AK47" s="141"/>
      <c r="AL47" s="141"/>
      <c r="AN47" s="141"/>
      <c r="AO47" s="141"/>
      <c r="AP47" s="141"/>
      <c r="AQ47" s="141"/>
      <c r="AR47" s="141"/>
      <c r="AS47" s="141"/>
      <c r="AU47" s="536">
        <f t="shared" ca="1" si="4"/>
        <v>2009</v>
      </c>
      <c r="AX47" s="679"/>
    </row>
    <row r="48" spans="2:50" s="142" customFormat="1" ht="16" customHeight="1" thickBot="1" x14ac:dyDescent="0.35">
      <c r="B48" s="118"/>
      <c r="C48" s="136"/>
      <c r="D48" s="321" t="s">
        <v>284</v>
      </c>
      <c r="E48" s="342" t="s">
        <v>9</v>
      </c>
      <c r="F48" s="267" t="s">
        <v>6</v>
      </c>
      <c r="G48" s="267"/>
      <c r="H48" s="698">
        <f>IF(TW!R33&lt;&gt;"",TW!R33,100000)</f>
        <v>300000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700</v>
      </c>
      <c r="N48" s="684">
        <v>0</v>
      </c>
      <c r="O48" s="589">
        <f>IF(H48&gt;1,1,0)</f>
        <v>1</v>
      </c>
      <c r="P48" s="589"/>
      <c r="Q48" s="591">
        <f>IF(O57+Q57=1,0,1)</f>
        <v>1</v>
      </c>
      <c r="R48" s="586">
        <f>IF(AND(H48&gt;=100000,Q48=1),1,0)</f>
        <v>1</v>
      </c>
      <c r="S48" s="586"/>
      <c r="T48" s="590">
        <f>IF(OR(Q48=0,H48&gt;0),1,0)</f>
        <v>1</v>
      </c>
      <c r="U48" s="586"/>
      <c r="V48" s="231"/>
      <c r="W48" s="141"/>
      <c r="X48" s="141">
        <f>IF(O57+Q57=1,0,1)</f>
        <v>1</v>
      </c>
      <c r="Y48" s="141" t="str">
        <f>IF(X48=0,"Private Car Policy",Z48)</f>
        <v>Commercial Vehicle Policy</v>
      </c>
      <c r="Z48" s="141" t="str">
        <f>IF(T47=0,"Motor Cycle Policy",AA48)</f>
        <v>Commercial Vehicle Policy</v>
      </c>
      <c r="AA48" s="590" t="str">
        <f>IF(M8=Administration!C19,"Trade Plate Policy","Commercial Vehicle Policy")</f>
        <v>Commercial Vehicle Policy</v>
      </c>
      <c r="AB48" s="590"/>
      <c r="AC48" s="590"/>
      <c r="AD48" s="590"/>
      <c r="AE48" s="590"/>
      <c r="AF48" s="590"/>
      <c r="AG48" s="590"/>
      <c r="AH48" s="590"/>
      <c r="AI48" s="141"/>
      <c r="AK48" s="141"/>
      <c r="AL48" s="141"/>
      <c r="AN48" s="141"/>
      <c r="AO48" s="141"/>
      <c r="AP48" s="141"/>
      <c r="AQ48" s="141"/>
      <c r="AR48" s="141"/>
      <c r="AS48" s="141"/>
      <c r="AU48" s="536">
        <f t="shared" ca="1" si="4"/>
        <v>2010</v>
      </c>
      <c r="AX48" s="679"/>
    </row>
    <row r="49" spans="2:52" s="142" customFormat="1" ht="15" customHeight="1" thickBot="1" x14ac:dyDescent="0.35">
      <c r="B49" s="118"/>
      <c r="C49" s="136"/>
      <c r="D49" s="321" t="s">
        <v>284</v>
      </c>
      <c r="E49" s="342" t="s">
        <v>9</v>
      </c>
      <c r="F49" s="267" t="s">
        <v>12</v>
      </c>
      <c r="G49" s="267"/>
      <c r="H49" s="698">
        <f>TW!R35</f>
        <v>0</v>
      </c>
      <c r="I49" s="1548" t="str">
        <f>IF(Q49&gt;0,CONCATENATE("Free Cover of Rs.",Q49,"/-"),"")</f>
        <v>Free Cover of Rs.1000/-</v>
      </c>
      <c r="J49" s="1549"/>
      <c r="K49" s="1549"/>
      <c r="L49" s="498">
        <v>0</v>
      </c>
      <c r="M49" s="187">
        <f>IF(AND($C$2="Yes",L49=1),N49,((H49*Rates!K32%-R49)*U2*R15*Y2*Z2))*N3</f>
        <v>0</v>
      </c>
      <c r="N49" s="684">
        <v>0</v>
      </c>
      <c r="O49" s="592">
        <f>IF(H49&gt;=Rates!B36,1,0)</f>
        <v>0</v>
      </c>
      <c r="P49" s="592"/>
      <c r="Q49" s="586">
        <f>IF(T47=0,Rates!C38,Rates!B36)</f>
        <v>1000</v>
      </c>
      <c r="R49" s="586">
        <f>IF(H49&lt;=Q49,H49*Rates!K32%,Q49*Rates!K32%)</f>
        <v>0</v>
      </c>
      <c r="S49" s="586"/>
      <c r="T49" s="586"/>
      <c r="U49" s="590"/>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9"/>
    </row>
    <row r="50" spans="2:52" s="142" customFormat="1" ht="15.75" customHeight="1" thickBot="1" x14ac:dyDescent="0.35">
      <c r="B50" s="118"/>
      <c r="C50" s="136"/>
      <c r="D50" s="321" t="s">
        <v>284</v>
      </c>
      <c r="E50" s="342" t="s">
        <v>9</v>
      </c>
      <c r="F50" s="302" t="s">
        <v>112</v>
      </c>
      <c r="G50" s="302"/>
      <c r="H50" s="610">
        <v>0</v>
      </c>
      <c r="I50" s="188" t="s">
        <v>21</v>
      </c>
      <c r="J50" s="188"/>
      <c r="K50" s="616"/>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9"/>
    </row>
    <row r="51" spans="2:52" s="142" customFormat="1" ht="1.5" customHeight="1" thickBot="1" x14ac:dyDescent="0.35">
      <c r="B51" s="118"/>
      <c r="C51" s="136"/>
      <c r="D51" s="321" t="s">
        <v>284</v>
      </c>
      <c r="E51" s="342" t="s">
        <v>9</v>
      </c>
      <c r="F51" s="267" t="s">
        <v>20</v>
      </c>
      <c r="G51" s="267"/>
      <c r="H51" s="611">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9"/>
    </row>
    <row r="52" spans="2:52" s="142" customFormat="1" ht="20.25" customHeight="1" thickBot="1" x14ac:dyDescent="0.35">
      <c r="B52" s="685" t="str">
        <f>Rates!M21</f>
        <v>Charge</v>
      </c>
      <c r="C52" s="136"/>
      <c r="D52" s="321" t="s">
        <v>284</v>
      </c>
      <c r="E52" s="342" t="s">
        <v>9</v>
      </c>
      <c r="F52" s="267" t="s">
        <v>449</v>
      </c>
      <c r="G52" s="612">
        <v>1</v>
      </c>
      <c r="H52" s="615">
        <v>7500</v>
      </c>
      <c r="I52" s="1550" t="str">
        <f>IF(AND(G52=0,K50&gt;0),"Enter Number of Air Bags",IF(AND(K50&gt;0,T47=0),"Not Applicable",IF(AND(Q52=0,T47=1,K50&gt;0),"Free Cover",IF(R52=0,"Free Cover - Front Seat Bags","Value of 2 Front Dashboard Airbgs"))))</f>
        <v>Value of 2 Front Dashboard Airbgs</v>
      </c>
      <c r="J52" s="1550"/>
      <c r="K52" s="1550"/>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9"/>
      <c r="AY52" s="141"/>
      <c r="AZ52" s="141"/>
    </row>
    <row r="53" spans="2:52" s="142" customFormat="1" ht="18" customHeight="1" thickBot="1" x14ac:dyDescent="0.35">
      <c r="B53" s="686"/>
      <c r="C53" s="136"/>
      <c r="D53" s="321"/>
      <c r="E53" s="375"/>
      <c r="F53" s="267"/>
      <c r="G53" s="687">
        <v>0</v>
      </c>
      <c r="H53" s="688">
        <v>0</v>
      </c>
      <c r="I53" s="654"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x14ac:dyDescent="0.35">
      <c r="B54" s="118"/>
      <c r="C54" s="136"/>
      <c r="D54" s="321" t="s">
        <v>284</v>
      </c>
      <c r="E54" s="342" t="s">
        <v>9</v>
      </c>
      <c r="F54" s="267" t="s">
        <v>8</v>
      </c>
      <c r="G54" s="267"/>
      <c r="H54" s="689">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9"/>
      <c r="AY54" s="141"/>
      <c r="AZ54" s="141"/>
    </row>
    <row r="55" spans="2:52" s="142" customFormat="1" ht="15" customHeight="1" thickBot="1" x14ac:dyDescent="0.35">
      <c r="B55" s="668" t="str">
        <f>IF(C55=1,"Yes","No")</f>
        <v>No</v>
      </c>
      <c r="C55" s="600">
        <v>0</v>
      </c>
      <c r="D55" s="321" t="s">
        <v>284</v>
      </c>
      <c r="E55" s="342" t="s">
        <v>9</v>
      </c>
      <c r="F55" s="727" t="s">
        <v>534</v>
      </c>
      <c r="G55" s="267"/>
      <c r="H55" s="188"/>
      <c r="I55" s="188"/>
      <c r="J55" s="188"/>
      <c r="K55" s="9"/>
      <c r="L55" s="498">
        <v>0</v>
      </c>
      <c r="M55" s="187">
        <v>1090</v>
      </c>
      <c r="N55" s="690">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9"/>
      <c r="AY55" s="141"/>
      <c r="AZ55" s="141"/>
    </row>
    <row r="56" spans="2:52" s="142" customFormat="1" ht="21.75" customHeight="1" thickBot="1" x14ac:dyDescent="0.35">
      <c r="B56" s="668" t="str">
        <f>IF(C56=1,"Yes","No")</f>
        <v>No</v>
      </c>
      <c r="C56" s="600">
        <v>0</v>
      </c>
      <c r="D56" s="321" t="s">
        <v>284</v>
      </c>
      <c r="E56" s="342" t="s">
        <v>9</v>
      </c>
      <c r="F56" s="267" t="s">
        <v>133</v>
      </c>
      <c r="G56" s="267"/>
      <c r="H56" s="188"/>
      <c r="I56" s="303" t="str">
        <f>IF(AND(Rates!D43="No",B56="Yes"),"Provided only for Private Cars","")</f>
        <v/>
      </c>
      <c r="J56" s="303"/>
      <c r="K56" s="9"/>
      <c r="L56" s="498">
        <v>0</v>
      </c>
      <c r="M56" s="189">
        <f ca="1">IF(AND($C$2="Yes",L56=1),N56,(M19*O56*R56%*Q61))</f>
        <v>0</v>
      </c>
      <c r="N56" s="690">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9"/>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90">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9"/>
      <c r="AY57" s="141"/>
      <c r="AZ57" s="141"/>
    </row>
    <row r="58" spans="2:52" s="142" customFormat="1" ht="20.25" hidden="1" customHeight="1" thickBot="1" x14ac:dyDescent="0.35">
      <c r="B58" s="118"/>
      <c r="C58" s="531">
        <v>0</v>
      </c>
      <c r="D58" s="6"/>
      <c r="E58" s="343" t="s">
        <v>9</v>
      </c>
      <c r="F58" s="1555"/>
      <c r="G58" s="1555"/>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9"/>
      <c r="AY58" s="141"/>
      <c r="AZ58" s="141"/>
    </row>
    <row r="59" spans="2:52" s="142" customFormat="1" ht="17.25" hidden="1" customHeight="1" thickBot="1" x14ac:dyDescent="0.35">
      <c r="B59" s="118"/>
      <c r="C59" s="531">
        <v>0</v>
      </c>
      <c r="D59" s="6"/>
      <c r="E59" s="343" t="s">
        <v>9</v>
      </c>
      <c r="F59" s="1555"/>
      <c r="G59" s="1555"/>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9"/>
      <c r="AY59" s="141"/>
      <c r="AZ59" s="141"/>
    </row>
    <row r="60" spans="2:52" s="142" customFormat="1" ht="18" hidden="1" customHeight="1" thickBot="1" x14ac:dyDescent="0.35">
      <c r="B60" s="118"/>
      <c r="C60" s="531">
        <v>0</v>
      </c>
      <c r="D60" s="446"/>
      <c r="E60" s="447" t="s">
        <v>9</v>
      </c>
      <c r="F60" s="448" t="s">
        <v>169</v>
      </c>
      <c r="G60" s="448"/>
      <c r="H60" s="449"/>
      <c r="I60" s="450"/>
      <c r="J60" s="450"/>
      <c r="K60" s="451"/>
      <c r="L60" s="452"/>
      <c r="M60" s="191">
        <f>IF(AND(Working!H8="Three Wheeler",Working!B12="Above 5 yrs",Rates!D81="Yes",C60=1,N60&gt;Rates!F81,H13&lt;2009),N60,IF(AND(Working!H8="Three Wheeler",Working!B12="Above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9"/>
      <c r="AY60" s="141"/>
      <c r="AZ60" s="141"/>
    </row>
    <row r="61" spans="2:52" s="142" customFormat="1" ht="19.5" customHeight="1" x14ac:dyDescent="0.3">
      <c r="B61" s="118"/>
      <c r="C61" s="136"/>
      <c r="D61" s="6"/>
      <c r="E61" s="1541"/>
      <c r="F61" s="1542"/>
      <c r="G61" s="9"/>
      <c r="H61" s="73" t="s">
        <v>10</v>
      </c>
      <c r="I61" s="295"/>
      <c r="J61" s="73"/>
      <c r="K61" s="184"/>
      <c r="L61" s="185"/>
      <c r="M61" s="438">
        <f ca="1">SUM(M38:M60)*C69*U2</f>
        <v>14915.112499999999</v>
      </c>
      <c r="N61" s="207"/>
      <c r="O61" s="306">
        <f ca="1">M61-M40-M42-M41-M43</f>
        <v>11790.112499999999</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9"/>
      <c r="AY61" s="141"/>
      <c r="AZ61" s="141"/>
    </row>
    <row r="62" spans="2:52" s="142" customFormat="1" ht="15.75" customHeight="1" x14ac:dyDescent="0.3">
      <c r="B62" s="118"/>
      <c r="C62" s="136"/>
      <c r="D62" s="6"/>
      <c r="E62" s="1541"/>
      <c r="F62" s="1542"/>
      <c r="G62" s="9"/>
      <c r="H62" s="74" t="s">
        <v>134</v>
      </c>
      <c r="I62" s="295"/>
      <c r="J62" s="74"/>
      <c r="K62" s="78">
        <f>Rates!D19</f>
        <v>2.5</v>
      </c>
      <c r="L62" s="186" t="s">
        <v>56</v>
      </c>
      <c r="M62" s="257">
        <f ca="1">M61*Rates!D19%</f>
        <v>372.8778125</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9"/>
      <c r="AY62" s="141"/>
      <c r="AZ62" s="141"/>
    </row>
    <row r="63" spans="2:52" s="142" customFormat="1" ht="15.75" hidden="1" customHeight="1" x14ac:dyDescent="0.35">
      <c r="B63" s="118"/>
      <c r="C63" s="136"/>
      <c r="D63" s="6"/>
      <c r="E63" s="1541"/>
      <c r="F63" s="1542"/>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9"/>
      <c r="AY63" s="141"/>
      <c r="AZ63" s="141"/>
    </row>
    <row r="64" spans="2:52" s="142" customFormat="1" ht="15.75" customHeight="1" x14ac:dyDescent="0.3">
      <c r="B64" s="118"/>
      <c r="C64" s="136"/>
      <c r="D64" s="6"/>
      <c r="E64" s="1541"/>
      <c r="F64" s="1542"/>
      <c r="G64" s="9"/>
      <c r="H64" s="74" t="s">
        <v>173</v>
      </c>
      <c r="I64" s="295"/>
      <c r="J64" s="74"/>
      <c r="K64" s="78">
        <f>Rates!G20</f>
        <v>0</v>
      </c>
      <c r="L64" s="186" t="s">
        <v>56</v>
      </c>
      <c r="M64" s="187">
        <f ca="1">M61*Rates!G20%</f>
        <v>0</v>
      </c>
      <c r="N64" s="208"/>
      <c r="O64" s="229"/>
      <c r="P64" s="229"/>
      <c r="Q64" s="234"/>
      <c r="R64" s="618">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9"/>
      <c r="AY64" s="141"/>
      <c r="AZ64" s="141"/>
    </row>
    <row r="65" spans="1:52" s="142" customFormat="1" ht="15.5" thickBot="1" x14ac:dyDescent="0.35">
      <c r="B65" s="118"/>
      <c r="C65" s="136"/>
      <c r="D65" s="6"/>
      <c r="E65" s="1541"/>
      <c r="F65" s="1542"/>
      <c r="G65" s="9"/>
      <c r="H65" s="74" t="s">
        <v>1</v>
      </c>
      <c r="I65" s="295"/>
      <c r="J65" s="74"/>
      <c r="K65" s="78">
        <f>Rates!D21</f>
        <v>15</v>
      </c>
      <c r="L65" s="186" t="s">
        <v>56</v>
      </c>
      <c r="M65" s="187">
        <f ca="1">SUM(M61:M64)*Rates!D21%</f>
        <v>2293.1985468749999</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9"/>
      <c r="AY65" s="141"/>
      <c r="AZ65" s="141"/>
    </row>
    <row r="66" spans="1:52" s="142" customFormat="1" ht="25.5" customHeight="1" thickTop="1" thickBot="1" x14ac:dyDescent="0.35">
      <c r="B66" s="118"/>
      <c r="C66" s="308">
        <f>Administration!I3</f>
        <v>45413</v>
      </c>
      <c r="D66" s="6"/>
      <c r="E66" s="1543"/>
      <c r="F66" s="1544"/>
      <c r="G66" s="9"/>
      <c r="H66" s="73" t="s">
        <v>381</v>
      </c>
      <c r="I66" s="295"/>
      <c r="J66" s="73"/>
      <c r="K66" s="9"/>
      <c r="L66" s="185"/>
      <c r="M66" s="114">
        <f ca="1">SUM(M61:M65)*C69*U2</f>
        <v>17581.188859375001</v>
      </c>
      <c r="N66" s="1551"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552"/>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9"/>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9"/>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9"/>
      <c r="AY68" s="141"/>
      <c r="AZ68" s="141"/>
    </row>
    <row r="69" spans="1:52" s="142" customFormat="1" ht="15.75" customHeight="1" thickTop="1" x14ac:dyDescent="0.45">
      <c r="B69" s="118"/>
      <c r="C69" s="137">
        <f ca="1">IF(C66&gt;F69,1,0)</f>
        <v>1</v>
      </c>
      <c r="D69" s="6"/>
      <c r="E69" s="12"/>
      <c r="F69" s="180">
        <f ca="1">TODAY()</f>
        <v>45346</v>
      </c>
      <c r="G69" s="180"/>
      <c r="H69" s="12"/>
      <c r="I69" s="12"/>
      <c r="J69" s="12"/>
      <c r="K69" s="12"/>
      <c r="L69" s="12"/>
      <c r="M69" s="1547"/>
      <c r="N69" s="691"/>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9"/>
      <c r="AY69" s="141"/>
      <c r="AZ69" s="141"/>
    </row>
    <row r="70" spans="1:52" s="142" customFormat="1" ht="6.75" customHeight="1" x14ac:dyDescent="0.45">
      <c r="B70" s="118"/>
      <c r="C70" s="136"/>
      <c r="D70" s="6"/>
      <c r="E70" s="14"/>
      <c r="F70" s="1553" t="str">
        <f>IF(O70=1,"Hiring",IF(O70=3,"Rent A Vehicle",IF(O70=0,"Private")))</f>
        <v>Private</v>
      </c>
      <c r="G70" s="1553"/>
      <c r="H70" s="1553"/>
      <c r="I70" s="14"/>
      <c r="J70" s="14"/>
      <c r="K70" s="14"/>
      <c r="L70" s="14"/>
      <c r="M70" s="1547"/>
      <c r="N70" s="691"/>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9"/>
      <c r="AY70" s="141"/>
      <c r="AZ70" s="141"/>
    </row>
    <row r="71" spans="1:52" s="142" customFormat="1" ht="13.5" customHeight="1" thickBot="1" x14ac:dyDescent="0.35">
      <c r="B71" s="118"/>
      <c r="C71" s="136"/>
      <c r="D71" s="181"/>
      <c r="E71" s="182"/>
      <c r="F71" s="1554"/>
      <c r="G71" s="1554"/>
      <c r="H71" s="1554"/>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9"/>
      <c r="AY71" s="141"/>
      <c r="AZ71" s="141"/>
    </row>
    <row r="72" spans="1:52" s="138" customFormat="1" ht="14.5" hidden="1" thickTop="1" x14ac:dyDescent="0.3">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9"/>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114</v>
      </c>
      <c r="E78" s="142" t="s">
        <v>114</v>
      </c>
      <c r="F78" s="142"/>
      <c r="G78" s="142"/>
      <c r="H78" s="142"/>
      <c r="I78" s="142"/>
      <c r="J78" s="142"/>
      <c r="K78" s="142"/>
      <c r="L78" s="142"/>
      <c r="M78" s="536"/>
      <c r="N78" s="519"/>
      <c r="O78" s="519" t="s">
        <v>41</v>
      </c>
      <c r="P78" s="519"/>
      <c r="Q78" s="519"/>
      <c r="R78" s="519">
        <f>IF(OR(H9=Administration!C21,Working!H9=Administration!C22),Rates!K61,0)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60</v>
      </c>
      <c r="P82" s="519"/>
      <c r="Q82" s="519"/>
      <c r="R82" s="519">
        <f>IF(M8=Administration!C13,Rates!K66,IF(Working!M8=Administration!C14,Rates!K67,0))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2"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2" t="str">
        <f>Administration!J6</f>
        <v>Abans Finance PLC</v>
      </c>
      <c r="G94" s="142"/>
      <c r="H94" s="142"/>
      <c r="I94" s="142"/>
      <c r="J94" s="142"/>
      <c r="K94" s="142"/>
      <c r="L94" s="219"/>
      <c r="M94" s="537" t="s">
        <v>234</v>
      </c>
      <c r="N94" s="519" t="s">
        <v>269</v>
      </c>
      <c r="O94" s="519"/>
      <c r="P94" s="519"/>
      <c r="Q94" s="519"/>
      <c r="R94" s="1545" t="str">
        <f>IF(X43&gt;0,MAX(H30*Rates!K68%,Rates!L68),"")</f>
        <v/>
      </c>
      <c r="S94" s="1545"/>
      <c r="T94" s="1545"/>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2"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2"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2"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2"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2"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2"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2"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2"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2"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2"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2"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2"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2"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2"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2"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2"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2"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2"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2"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2"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2"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2"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2" t="str">
        <f>Administration!J29</f>
        <v>Softlogic Finance PLC</v>
      </c>
      <c r="O117" s="139"/>
      <c r="Q117" s="219"/>
      <c r="AJ117" s="142"/>
      <c r="AM117" s="219"/>
      <c r="AU117" s="142" t="e">
        <f t="shared" ca="1" si="6"/>
        <v>#VALUE!</v>
      </c>
      <c r="AX117" s="487"/>
    </row>
    <row r="118" spans="1:50" s="138" customFormat="1" hidden="1" x14ac:dyDescent="0.3">
      <c r="A118" s="142"/>
      <c r="B118" s="4"/>
      <c r="F118" s="692" t="str">
        <f>Administration!J30</f>
        <v>Thamalu Enterprises</v>
      </c>
      <c r="O118" s="139"/>
      <c r="Q118" s="219"/>
      <c r="AJ118" s="142"/>
      <c r="AM118" s="219"/>
      <c r="AU118" s="142" t="e">
        <f t="shared" ca="1" si="6"/>
        <v>#VALUE!</v>
      </c>
      <c r="AX118" s="487"/>
    </row>
    <row r="119" spans="1:50" s="138" customFormat="1" hidden="1" x14ac:dyDescent="0.3">
      <c r="A119" s="142"/>
      <c r="B119" s="4"/>
      <c r="F119" s="692" t="str">
        <f>Administration!J31</f>
        <v>Trade Finance</v>
      </c>
      <c r="O119" s="139"/>
      <c r="Q119" s="219"/>
      <c r="AJ119" s="142"/>
      <c r="AM119" s="219"/>
      <c r="AU119" s="142" t="e">
        <f t="shared" ca="1" si="6"/>
        <v>#VALUE!</v>
      </c>
      <c r="AX119" s="487"/>
    </row>
    <row r="120" spans="1:50" s="138" customFormat="1" hidden="1" x14ac:dyDescent="0.3">
      <c r="A120" s="142"/>
      <c r="B120" s="4"/>
      <c r="F120" s="692" t="str">
        <f>Administration!J32</f>
        <v>UB Finance</v>
      </c>
      <c r="O120" s="139"/>
      <c r="Q120" s="219"/>
      <c r="AJ120" s="142"/>
      <c r="AM120" s="219"/>
      <c r="AU120" s="142" t="e">
        <f t="shared" ca="1" si="6"/>
        <v>#VALUE!</v>
      </c>
      <c r="AX120" s="487"/>
    </row>
    <row r="121" spans="1:50" s="138" customFormat="1" hidden="1" x14ac:dyDescent="0.3">
      <c r="A121" s="142"/>
      <c r="B121" s="4"/>
      <c r="F121" s="692" t="str">
        <f>Administration!J33</f>
        <v>Vallibel Finance PLC</v>
      </c>
      <c r="O121" s="139"/>
      <c r="Q121" s="219"/>
      <c r="AJ121" s="142"/>
      <c r="AM121" s="219"/>
      <c r="AU121" s="142" t="e">
        <f t="shared" ca="1" si="6"/>
        <v>#VALUE!</v>
      </c>
      <c r="AX121" s="487"/>
    </row>
    <row r="122" spans="1:50" s="138" customFormat="1" hidden="1" x14ac:dyDescent="0.3">
      <c r="A122" s="142"/>
      <c r="B122" s="4"/>
      <c r="F122" s="692">
        <f>Administration!J34</f>
        <v>0</v>
      </c>
      <c r="O122" s="139"/>
      <c r="Q122" s="219"/>
      <c r="AJ122" s="142"/>
      <c r="AM122" s="219"/>
      <c r="AU122" s="142" t="e">
        <f t="shared" ca="1" si="6"/>
        <v>#VALUE!</v>
      </c>
      <c r="AX122" s="487"/>
    </row>
    <row r="123" spans="1:50" s="138" customFormat="1" hidden="1" x14ac:dyDescent="0.3">
      <c r="A123" s="142"/>
      <c r="B123" s="4"/>
      <c r="F123" s="692">
        <f>Administration!J35</f>
        <v>0</v>
      </c>
      <c r="O123" s="139"/>
      <c r="Q123" s="219"/>
      <c r="AJ123" s="142"/>
      <c r="AM123" s="219"/>
      <c r="AU123" s="142" t="e">
        <f t="shared" ca="1" si="6"/>
        <v>#VALUE!</v>
      </c>
      <c r="AX123" s="487"/>
    </row>
    <row r="124" spans="1:50" s="138" customFormat="1" hidden="1" x14ac:dyDescent="0.3">
      <c r="A124" s="142"/>
      <c r="B124" s="4"/>
      <c r="F124" s="692">
        <f>Administration!J36</f>
        <v>0</v>
      </c>
      <c r="O124" s="139"/>
      <c r="Q124" s="219"/>
      <c r="AJ124" s="142"/>
      <c r="AM124" s="219"/>
      <c r="AU124" s="142" t="e">
        <f t="shared" ca="1" si="6"/>
        <v>#VALUE!</v>
      </c>
      <c r="AX124" s="487"/>
    </row>
    <row r="125" spans="1:50" s="138" customFormat="1" hidden="1" x14ac:dyDescent="0.3">
      <c r="A125" s="142"/>
      <c r="B125" s="4"/>
      <c r="F125" s="692">
        <f>Administration!J37</f>
        <v>0</v>
      </c>
      <c r="O125" s="139"/>
      <c r="Q125" s="219"/>
      <c r="AJ125" s="142"/>
      <c r="AM125" s="219"/>
      <c r="AU125" s="142" t="e">
        <f t="shared" ca="1" si="6"/>
        <v>#VALUE!</v>
      </c>
      <c r="AX125" s="487"/>
    </row>
    <row r="126" spans="1:50" s="138" customFormat="1" hidden="1" x14ac:dyDescent="0.3">
      <c r="A126" s="142"/>
      <c r="B126" s="4"/>
      <c r="F126" s="692">
        <f>Administration!J38</f>
        <v>0</v>
      </c>
      <c r="O126" s="139"/>
      <c r="Q126" s="219"/>
      <c r="AJ126" s="142"/>
      <c r="AM126" s="219"/>
      <c r="AU126" s="142" t="e">
        <f t="shared" ca="1" si="6"/>
        <v>#VALUE!</v>
      </c>
      <c r="AX126" s="487"/>
    </row>
    <row r="127" spans="1:50" s="138" customFormat="1" hidden="1" x14ac:dyDescent="0.3">
      <c r="A127" s="142"/>
      <c r="B127" s="4"/>
      <c r="F127" s="692">
        <f>Administration!J39</f>
        <v>0</v>
      </c>
      <c r="O127" s="139"/>
      <c r="Q127" s="219"/>
      <c r="AJ127" s="142"/>
      <c r="AM127" s="219"/>
      <c r="AU127" s="142" t="e">
        <f t="shared" ca="1" si="6"/>
        <v>#VALUE!</v>
      </c>
      <c r="AX127" s="487"/>
    </row>
    <row r="128" spans="1:50" s="138" customFormat="1" hidden="1" x14ac:dyDescent="0.3">
      <c r="A128" s="142"/>
      <c r="B128" s="4"/>
      <c r="F128" s="692">
        <f>Administration!J40</f>
        <v>0</v>
      </c>
      <c r="O128" s="139"/>
      <c r="Q128" s="219"/>
      <c r="AJ128" s="142"/>
      <c r="AM128" s="219"/>
      <c r="AU128" s="142" t="e">
        <f t="shared" ca="1" si="6"/>
        <v>#VALUE!</v>
      </c>
      <c r="AX128" s="487"/>
    </row>
    <row r="129" spans="1:50" s="138" customFormat="1" hidden="1" x14ac:dyDescent="0.3">
      <c r="A129" s="142"/>
      <c r="B129" s="4"/>
      <c r="F129" s="692">
        <f>Administration!J41</f>
        <v>0</v>
      </c>
      <c r="O129" s="139"/>
      <c r="Q129" s="219"/>
      <c r="AJ129" s="142"/>
      <c r="AM129" s="219"/>
      <c r="AU129" s="142" t="e">
        <f t="shared" ca="1" si="6"/>
        <v>#VALUE!</v>
      </c>
      <c r="AX129" s="487"/>
    </row>
    <row r="130" spans="1:50" s="138" customFormat="1" hidden="1" x14ac:dyDescent="0.3">
      <c r="A130" s="142"/>
      <c r="B130" s="4"/>
      <c r="F130" s="692">
        <f>Administration!J42</f>
        <v>0</v>
      </c>
      <c r="O130" s="139"/>
      <c r="Q130" s="219"/>
      <c r="AJ130" s="142"/>
      <c r="AM130" s="219"/>
      <c r="AU130" s="142" t="e">
        <f t="shared" ca="1" si="6"/>
        <v>#VALUE!</v>
      </c>
      <c r="AX130" s="487"/>
    </row>
    <row r="131" spans="1:50" s="138" customFormat="1" hidden="1" x14ac:dyDescent="0.3">
      <c r="A131" s="142"/>
      <c r="B131" s="4"/>
      <c r="F131" s="692">
        <f>Administration!J43</f>
        <v>0</v>
      </c>
      <c r="O131" s="139"/>
      <c r="Q131" s="219"/>
      <c r="AJ131" s="142"/>
      <c r="AM131" s="219"/>
      <c r="AU131" s="142" t="e">
        <f t="shared" ca="1" si="6"/>
        <v>#VALUE!</v>
      </c>
      <c r="AX131" s="487"/>
    </row>
    <row r="132" spans="1:50" s="138" customFormat="1" hidden="1" x14ac:dyDescent="0.3">
      <c r="A132" s="142"/>
      <c r="B132" s="4"/>
      <c r="F132" s="692">
        <f>Administration!J44</f>
        <v>0</v>
      </c>
      <c r="O132" s="139"/>
      <c r="Q132" s="219"/>
      <c r="AJ132" s="142"/>
      <c r="AM132" s="219"/>
      <c r="AU132" s="142" t="e">
        <f t="shared" ca="1" si="6"/>
        <v>#VALUE!</v>
      </c>
      <c r="AX132" s="487"/>
    </row>
    <row r="133" spans="1:50" s="138" customFormat="1" hidden="1" x14ac:dyDescent="0.3">
      <c r="A133" s="142"/>
      <c r="B133" s="4"/>
      <c r="F133" s="692">
        <f>Administration!J45</f>
        <v>0</v>
      </c>
      <c r="O133" s="139"/>
      <c r="Q133" s="219"/>
      <c r="AJ133" s="142"/>
      <c r="AM133" s="219"/>
      <c r="AU133" s="142" t="e">
        <f t="shared" ca="1" si="6"/>
        <v>#VALUE!</v>
      </c>
      <c r="AX133" s="487"/>
    </row>
    <row r="134" spans="1:50" s="138" customFormat="1" hidden="1" x14ac:dyDescent="0.3">
      <c r="A134" s="142"/>
      <c r="B134" s="4"/>
      <c r="F134" s="692">
        <f>Administration!J46</f>
        <v>0</v>
      </c>
      <c r="O134" s="139"/>
      <c r="Q134" s="219"/>
      <c r="AJ134" s="142"/>
      <c r="AM134" s="219"/>
      <c r="AU134" s="142" t="e">
        <f t="shared" ca="1" si="6"/>
        <v>#VALUE!</v>
      </c>
      <c r="AX134" s="487"/>
    </row>
    <row r="135" spans="1:50" s="138" customFormat="1" hidden="1" x14ac:dyDescent="0.3">
      <c r="A135" s="142"/>
      <c r="B135" s="4"/>
      <c r="F135" s="692">
        <f>Administration!J47</f>
        <v>0</v>
      </c>
      <c r="O135" s="139"/>
      <c r="Q135" s="219"/>
      <c r="AJ135" s="142"/>
      <c r="AM135" s="219"/>
      <c r="AU135" s="142" t="e">
        <f t="shared" ca="1" si="6"/>
        <v>#VALUE!</v>
      </c>
      <c r="AX135" s="487"/>
    </row>
    <row r="136" spans="1:50" s="138" customFormat="1" hidden="1" x14ac:dyDescent="0.3">
      <c r="A136" s="142"/>
      <c r="B136" s="4"/>
      <c r="F136" s="692">
        <f>Administration!J48</f>
        <v>0</v>
      </c>
      <c r="O136" s="139"/>
      <c r="Q136" s="219"/>
      <c r="AJ136" s="142"/>
      <c r="AM136" s="219"/>
      <c r="AU136" s="142" t="e">
        <f t="shared" ca="1" si="6"/>
        <v>#VALUE!</v>
      </c>
      <c r="AX136" s="487"/>
    </row>
    <row r="137" spans="1:50" s="138" customFormat="1" hidden="1" x14ac:dyDescent="0.3">
      <c r="A137" s="142"/>
      <c r="B137" s="4"/>
      <c r="F137" s="692">
        <f>Administration!J49</f>
        <v>0</v>
      </c>
      <c r="O137" s="139"/>
      <c r="Q137" s="219"/>
      <c r="AJ137" s="142"/>
      <c r="AM137" s="219"/>
      <c r="AU137" s="142" t="e">
        <f t="shared" ca="1" si="6"/>
        <v>#VALUE!</v>
      </c>
      <c r="AX137" s="487"/>
    </row>
    <row r="138" spans="1:50" s="138" customFormat="1" hidden="1" x14ac:dyDescent="0.3">
      <c r="A138" s="142"/>
      <c r="B138" s="4"/>
      <c r="F138" s="692">
        <f>Administration!J50</f>
        <v>0</v>
      </c>
      <c r="O138" s="139"/>
      <c r="Q138" s="219"/>
      <c r="AJ138" s="142"/>
      <c r="AM138" s="219"/>
      <c r="AU138" s="142" t="e">
        <f t="shared" ca="1" si="6"/>
        <v>#VALUE!</v>
      </c>
      <c r="AX138" s="487"/>
    </row>
    <row r="139" spans="1:50" s="138" customFormat="1" hidden="1" x14ac:dyDescent="0.3">
      <c r="A139" s="142"/>
      <c r="B139" s="4"/>
      <c r="F139" s="692">
        <f>Administration!J51</f>
        <v>0</v>
      </c>
      <c r="O139" s="139"/>
      <c r="Q139" s="219"/>
      <c r="AJ139" s="142"/>
      <c r="AM139" s="219"/>
      <c r="AU139" s="142" t="e">
        <f t="shared" ca="1" si="6"/>
        <v>#VALUE!</v>
      </c>
      <c r="AX139" s="487"/>
    </row>
    <row r="140" spans="1:50" s="138" customFormat="1" hidden="1" x14ac:dyDescent="0.3">
      <c r="A140" s="142"/>
      <c r="B140" s="4"/>
      <c r="F140" s="692">
        <f>Administration!J52</f>
        <v>0</v>
      </c>
      <c r="O140" s="139"/>
      <c r="Q140" s="219"/>
      <c r="AJ140" s="142"/>
      <c r="AM140" s="219"/>
      <c r="AU140" s="142" t="e">
        <f t="shared" ca="1" si="6"/>
        <v>#VALUE!</v>
      </c>
      <c r="AX140" s="487"/>
    </row>
    <row r="141" spans="1:50" s="138" customFormat="1" hidden="1" x14ac:dyDescent="0.3">
      <c r="A141" s="142"/>
      <c r="B141" s="4"/>
      <c r="F141" s="692">
        <f>Administration!J53</f>
        <v>0</v>
      </c>
      <c r="O141" s="139"/>
      <c r="Q141" s="219"/>
      <c r="AJ141" s="142"/>
      <c r="AM141" s="219"/>
      <c r="AU141" s="142" t="e">
        <f t="shared" ca="1" si="6"/>
        <v>#VALUE!</v>
      </c>
      <c r="AX141" s="487"/>
    </row>
    <row r="142" spans="1:50" s="138" customFormat="1" hidden="1" x14ac:dyDescent="0.3">
      <c r="A142" s="142"/>
      <c r="B142" s="4"/>
      <c r="F142" s="692">
        <f>Administration!J54</f>
        <v>0</v>
      </c>
      <c r="O142" s="139"/>
      <c r="Q142" s="219"/>
      <c r="AJ142" s="142"/>
      <c r="AM142" s="219"/>
      <c r="AU142" s="142" t="e">
        <f t="shared" ca="1" si="6"/>
        <v>#VALUE!</v>
      </c>
      <c r="AX142" s="487"/>
    </row>
    <row r="143" spans="1:50" s="138" customFormat="1" hidden="1" x14ac:dyDescent="0.3">
      <c r="A143" s="142"/>
      <c r="B143" s="4"/>
      <c r="F143" s="692">
        <f>Administration!J55</f>
        <v>0</v>
      </c>
      <c r="O143" s="139"/>
      <c r="Q143" s="219"/>
      <c r="AJ143" s="142"/>
      <c r="AM143" s="219"/>
      <c r="AU143" s="142" t="e">
        <f t="shared" ca="1" si="6"/>
        <v>#VALUE!</v>
      </c>
      <c r="AX143" s="487"/>
    </row>
    <row r="144" spans="1:50" s="138" customFormat="1" hidden="1" x14ac:dyDescent="0.3">
      <c r="A144" s="142"/>
      <c r="B144" s="4"/>
      <c r="F144" s="692">
        <f>Administration!J56</f>
        <v>0</v>
      </c>
      <c r="O144" s="139"/>
      <c r="Q144" s="219"/>
      <c r="AJ144" s="142"/>
      <c r="AM144" s="219"/>
      <c r="AU144" s="142" t="e">
        <f t="shared" ca="1" si="6"/>
        <v>#VALUE!</v>
      </c>
      <c r="AX144" s="487"/>
    </row>
    <row r="145" spans="1:50" s="138" customFormat="1" hidden="1" x14ac:dyDescent="0.3">
      <c r="A145" s="142"/>
      <c r="B145" s="4"/>
      <c r="F145" s="692">
        <f>Administration!J57</f>
        <v>0</v>
      </c>
      <c r="O145" s="139"/>
      <c r="Q145" s="219"/>
      <c r="AJ145" s="142"/>
      <c r="AM145" s="219"/>
      <c r="AU145" s="142" t="e">
        <f t="shared" ca="1" si="6"/>
        <v>#VALUE!</v>
      </c>
      <c r="AX145" s="487"/>
    </row>
    <row r="146" spans="1:50" s="138" customFormat="1" hidden="1" x14ac:dyDescent="0.3">
      <c r="A146" s="142"/>
      <c r="B146" s="4"/>
      <c r="F146" s="692">
        <f>Administration!J58</f>
        <v>0</v>
      </c>
      <c r="O146" s="139"/>
      <c r="Q146" s="219"/>
      <c r="AJ146" s="142"/>
      <c r="AM146" s="219"/>
      <c r="AU146" s="142" t="e">
        <f t="shared" ca="1" si="6"/>
        <v>#VALUE!</v>
      </c>
      <c r="AX146" s="487"/>
    </row>
    <row r="147" spans="1:50" s="138" customFormat="1" hidden="1" x14ac:dyDescent="0.3">
      <c r="A147" s="142"/>
      <c r="B147" s="4"/>
      <c r="F147" s="692">
        <f>Administration!J59</f>
        <v>0</v>
      </c>
      <c r="O147" s="139"/>
      <c r="Q147" s="219"/>
      <c r="AJ147" s="142"/>
      <c r="AM147" s="219"/>
      <c r="AU147" s="142" t="e">
        <f t="shared" ca="1" si="6"/>
        <v>#VALUE!</v>
      </c>
      <c r="AX147" s="487"/>
    </row>
    <row r="148" spans="1:50" s="138" customFormat="1" hidden="1" x14ac:dyDescent="0.3">
      <c r="A148" s="142"/>
      <c r="B148" s="4"/>
      <c r="F148" s="692">
        <f>Administration!J60</f>
        <v>0</v>
      </c>
      <c r="O148" s="139"/>
      <c r="Q148" s="219"/>
      <c r="AJ148" s="142"/>
      <c r="AM148" s="219"/>
      <c r="AU148" s="142" t="e">
        <f t="shared" ca="1" si="6"/>
        <v>#VALUE!</v>
      </c>
      <c r="AX148" s="487"/>
    </row>
    <row r="149" spans="1:50" s="138" customFormat="1" hidden="1" x14ac:dyDescent="0.3">
      <c r="A149" s="142"/>
      <c r="B149" s="4"/>
      <c r="F149" s="692">
        <f>Administration!J61</f>
        <v>0</v>
      </c>
      <c r="O149" s="139"/>
      <c r="Q149" s="219"/>
      <c r="AJ149" s="142"/>
      <c r="AM149" s="219"/>
      <c r="AU149" s="142" t="e">
        <f t="shared" ca="1" si="6"/>
        <v>#VALUE!</v>
      </c>
      <c r="AX149" s="487"/>
    </row>
    <row r="150" spans="1:50" s="138" customFormat="1" hidden="1" x14ac:dyDescent="0.3">
      <c r="A150" s="142"/>
      <c r="B150" s="4"/>
      <c r="F150" s="692">
        <f>Administration!J62</f>
        <v>0</v>
      </c>
      <c r="O150" s="139"/>
      <c r="Q150" s="219"/>
      <c r="AJ150" s="142"/>
      <c r="AM150" s="219"/>
      <c r="AU150" s="142" t="e">
        <f t="shared" ca="1" si="6"/>
        <v>#VALUE!</v>
      </c>
      <c r="AX150" s="487"/>
    </row>
    <row r="151" spans="1:50" s="138" customFormat="1" hidden="1" x14ac:dyDescent="0.3">
      <c r="A151" s="142"/>
      <c r="B151" s="4"/>
      <c r="F151" s="692">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password="F6CE" sheet="1" selectLockedCells="1" selectUnlockedCells="1"/>
  <dataConsolidate/>
  <mergeCells count="45">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 ref="N33:O34"/>
    <mergeCell ref="N17:O18"/>
    <mergeCell ref="H9:I9"/>
    <mergeCell ref="H15:I15"/>
    <mergeCell ref="H10:I10"/>
    <mergeCell ref="E16:H17"/>
    <mergeCell ref="E10:F10"/>
    <mergeCell ref="I16:M17"/>
    <mergeCell ref="E15:F15"/>
    <mergeCell ref="I13:K13"/>
    <mergeCell ref="J12:L12"/>
    <mergeCell ref="F27:H28"/>
    <mergeCell ref="I23:L23"/>
    <mergeCell ref="I28:K28"/>
    <mergeCell ref="R94:T94"/>
    <mergeCell ref="O40:V41"/>
    <mergeCell ref="H46:K46"/>
    <mergeCell ref="M69:M70"/>
    <mergeCell ref="I49:K49"/>
    <mergeCell ref="I52:K52"/>
    <mergeCell ref="N66:O66"/>
    <mergeCell ref="F70:H71"/>
    <mergeCell ref="F58:G58"/>
    <mergeCell ref="F59:G59"/>
    <mergeCell ref="I30:J30"/>
    <mergeCell ref="I37:K37"/>
    <mergeCell ref="I36:K36"/>
    <mergeCell ref="I25:K25"/>
    <mergeCell ref="E61:F66"/>
  </mergeCells>
  <phoneticPr fontId="0" type="noConversion"/>
  <conditionalFormatting sqref="E54 E50">
    <cfRule type="expression" dxfId="336" priority="13" stopIfTrue="1">
      <formula>H50&gt;0</formula>
    </cfRule>
  </conditionalFormatting>
  <conditionalFormatting sqref="E56 E45">
    <cfRule type="expression" dxfId="335" priority="14" stopIfTrue="1">
      <formula>O45=1</formula>
    </cfRule>
  </conditionalFormatting>
  <conditionalFormatting sqref="E55">
    <cfRule type="expression" dxfId="334" priority="16" stopIfTrue="1">
      <formula>Q55=1</formula>
    </cfRule>
  </conditionalFormatting>
  <conditionalFormatting sqref="F56:G56">
    <cfRule type="expression" dxfId="333" priority="17" stopIfTrue="1">
      <formula>O56=1</formula>
    </cfRule>
  </conditionalFormatting>
  <conditionalFormatting sqref="F55:G55 G40">
    <cfRule type="expression" dxfId="332" priority="18" stopIfTrue="1">
      <formula>Q40=1</formula>
    </cfRule>
  </conditionalFormatting>
  <conditionalFormatting sqref="E44">
    <cfRule type="expression" dxfId="331" priority="19" stopIfTrue="1">
      <formula>M44&gt;1</formula>
    </cfRule>
  </conditionalFormatting>
  <conditionalFormatting sqref="E46">
    <cfRule type="expression" dxfId="330" priority="20" stopIfTrue="1">
      <formula>OR(T46=1,Q48=0)</formula>
    </cfRule>
  </conditionalFormatting>
  <conditionalFormatting sqref="F46:G46">
    <cfRule type="expression" dxfId="329" priority="21" stopIfTrue="1">
      <formula>OR(T46=1,Q48=0)</formula>
    </cfRule>
  </conditionalFormatting>
  <conditionalFormatting sqref="F39:G39">
    <cfRule type="expression" dxfId="328" priority="24" stopIfTrue="1">
      <formula>B39="Yes"</formula>
    </cfRule>
  </conditionalFormatting>
  <conditionalFormatting sqref="E39">
    <cfRule type="expression" dxfId="327" priority="25" stopIfTrue="1">
      <formula>B39="Yes"</formula>
    </cfRule>
  </conditionalFormatting>
  <conditionalFormatting sqref="F23">
    <cfRule type="expression" dxfId="326" priority="26" stopIfTrue="1">
      <formula>M23&lt;0</formula>
    </cfRule>
  </conditionalFormatting>
  <conditionalFormatting sqref="E23">
    <cfRule type="expression" dxfId="325" priority="27" stopIfTrue="1">
      <formula>M23&lt;0</formula>
    </cfRule>
  </conditionalFormatting>
  <conditionalFormatting sqref="F48:G48">
    <cfRule type="expression" dxfId="324" priority="28" stopIfTrue="1">
      <formula>T48=1</formula>
    </cfRule>
  </conditionalFormatting>
  <conditionalFormatting sqref="E48">
    <cfRule type="expression" dxfId="323" priority="29" stopIfTrue="1">
      <formula>T48=1</formula>
    </cfRule>
  </conditionalFormatting>
  <conditionalFormatting sqref="F44:G44">
    <cfRule type="expression" dxfId="322" priority="31" stopIfTrue="1">
      <formula>AND(O45=1,R45=1)</formula>
    </cfRule>
  </conditionalFormatting>
  <conditionalFormatting sqref="F45:G45">
    <cfRule type="expression" dxfId="321" priority="32" stopIfTrue="1">
      <formula>AND(O45=1,R45=1)</formula>
    </cfRule>
  </conditionalFormatting>
  <conditionalFormatting sqref="E20">
    <cfRule type="expression" dxfId="320" priority="33" stopIfTrue="1">
      <formula>H20&gt;0</formula>
    </cfRule>
  </conditionalFormatting>
  <conditionalFormatting sqref="F20:G20">
    <cfRule type="expression" dxfId="319" priority="34" stopIfTrue="1">
      <formula>H20&gt;0</formula>
    </cfRule>
  </conditionalFormatting>
  <conditionalFormatting sqref="F36:F37">
    <cfRule type="expression" dxfId="318" priority="35" stopIfTrue="1">
      <formula>AND(H36&gt;0%,M36&lt;0)</formula>
    </cfRule>
  </conditionalFormatting>
  <conditionalFormatting sqref="E36:E37">
    <cfRule type="expression" dxfId="317" priority="36" stopIfTrue="1">
      <formula>AND(H36&gt;0%,M36&lt;0)</formula>
    </cfRule>
  </conditionalFormatting>
  <conditionalFormatting sqref="E47">
    <cfRule type="expression" dxfId="316" priority="37" stopIfTrue="1">
      <formula>R64=1</formula>
    </cfRule>
  </conditionalFormatting>
  <conditionalFormatting sqref="F51:G51">
    <cfRule type="expression" dxfId="315" priority="39" stopIfTrue="1">
      <formula>AND($H$51&gt;0,Z49=1,Y49=1)</formula>
    </cfRule>
  </conditionalFormatting>
  <conditionalFormatting sqref="E51">
    <cfRule type="expression" dxfId="314" priority="40" stopIfTrue="1">
      <formula>AND($H$51&gt;0,Z49=1,Y49=1)</formula>
    </cfRule>
  </conditionalFormatting>
  <conditionalFormatting sqref="E60">
    <cfRule type="expression" dxfId="313" priority="41" stopIfTrue="1">
      <formula>C60=1</formula>
    </cfRule>
  </conditionalFormatting>
  <conditionalFormatting sqref="M19:M20 M22 M30 M36:M37 M39:M57">
    <cfRule type="expression" dxfId="312" priority="42" stopIfTrue="1">
      <formula>L19=1</formula>
    </cfRule>
  </conditionalFormatting>
  <conditionalFormatting sqref="M29 M23 M25">
    <cfRule type="expression" dxfId="311" priority="43" stopIfTrue="1">
      <formula>O23=1</formula>
    </cfRule>
  </conditionalFormatting>
  <conditionalFormatting sqref="E58:E59">
    <cfRule type="expression" dxfId="310" priority="45" stopIfTrue="1">
      <formula>O58=1</formula>
    </cfRule>
  </conditionalFormatting>
  <conditionalFormatting sqref="E21">
    <cfRule type="expression" dxfId="309" priority="48" stopIfTrue="1">
      <formula>OR(B21="Free",Q21=1)</formula>
    </cfRule>
  </conditionalFormatting>
  <conditionalFormatting sqref="E25">
    <cfRule type="expression" dxfId="308" priority="50" stopIfTrue="1">
      <formula>OR($R$25&gt;1,AA25=1)</formula>
    </cfRule>
  </conditionalFormatting>
  <conditionalFormatting sqref="I36">
    <cfRule type="expression" dxfId="307" priority="51" stopIfTrue="1">
      <formula>OR(H36&gt;R36,I36="NCB Not Allowed")</formula>
    </cfRule>
  </conditionalFormatting>
  <conditionalFormatting sqref="E57">
    <cfRule type="expression" dxfId="306" priority="54" stopIfTrue="1">
      <formula>M57&gt;1</formula>
    </cfRule>
  </conditionalFormatting>
  <conditionalFormatting sqref="H53">
    <cfRule type="expression" dxfId="305" priority="55" stopIfTrue="1">
      <formula>T48=0</formula>
    </cfRule>
  </conditionalFormatting>
  <conditionalFormatting sqref="F25">
    <cfRule type="expression" dxfId="304" priority="56" stopIfTrue="1">
      <formula>OR($R$25&gt;1,AA25=1)</formula>
    </cfRule>
  </conditionalFormatting>
  <conditionalFormatting sqref="F26">
    <cfRule type="expression" dxfId="303" priority="57" stopIfTrue="1">
      <formula>H25&gt;0</formula>
    </cfRule>
  </conditionalFormatting>
  <conditionalFormatting sqref="H26">
    <cfRule type="expression" dxfId="302" priority="58" stopIfTrue="1">
      <formula>H25&gt;0</formula>
    </cfRule>
  </conditionalFormatting>
  <conditionalFormatting sqref="K26">
    <cfRule type="expression" dxfId="301" priority="59" stopIfTrue="1">
      <formula>H25&gt;0</formula>
    </cfRule>
  </conditionalFormatting>
  <conditionalFormatting sqref="I29:J29">
    <cfRule type="expression" dxfId="300" priority="60" stopIfTrue="1">
      <formula>M29=0</formula>
    </cfRule>
  </conditionalFormatting>
  <conditionalFormatting sqref="I27">
    <cfRule type="expression" dxfId="299" priority="62" stopIfTrue="1">
      <formula>OR($R$25&gt;1,AA25=1)</formula>
    </cfRule>
  </conditionalFormatting>
  <conditionalFormatting sqref="L25">
    <cfRule type="expression" dxfId="298" priority="63" stopIfTrue="1">
      <formula>OR($R$25&gt;1,AA25=1)</formula>
    </cfRule>
  </conditionalFormatting>
  <conditionalFormatting sqref="G42">
    <cfRule type="expression" dxfId="297" priority="64" stopIfTrue="1">
      <formula>AND(R41=1,R40=1)</formula>
    </cfRule>
  </conditionalFormatting>
  <conditionalFormatting sqref="E40">
    <cfRule type="expression" dxfId="296" priority="65" stopIfTrue="1">
      <formula>Q38=1</formula>
    </cfRule>
  </conditionalFormatting>
  <conditionalFormatting sqref="F40">
    <cfRule type="expression" dxfId="295" priority="66" stopIfTrue="1">
      <formula>Q38=1</formula>
    </cfRule>
  </conditionalFormatting>
  <conditionalFormatting sqref="E42">
    <cfRule type="expression" dxfId="294" priority="67" stopIfTrue="1">
      <formula>AND(Q39=1,Q38=1)</formula>
    </cfRule>
  </conditionalFormatting>
  <conditionalFormatting sqref="F42">
    <cfRule type="expression" dxfId="293" priority="68" stopIfTrue="1">
      <formula>AND(Q39=1,Q38=1)</formula>
    </cfRule>
  </conditionalFormatting>
  <conditionalFormatting sqref="E53">
    <cfRule type="expression" dxfId="292" priority="79" stopIfTrue="1">
      <formula>AND(H53&gt;1000,T48=1,Z50=1,O53=1)</formula>
    </cfRule>
  </conditionalFormatting>
  <conditionalFormatting sqref="G4">
    <cfRule type="expression" dxfId="291" priority="86" stopIfTrue="1">
      <formula>D3=1</formula>
    </cfRule>
  </conditionalFormatting>
  <conditionalFormatting sqref="H4">
    <cfRule type="expression" dxfId="290" priority="87" stopIfTrue="1">
      <formula>D3=1</formula>
    </cfRule>
  </conditionalFormatting>
  <conditionalFormatting sqref="I4:J4">
    <cfRule type="expression" dxfId="289" priority="88" stopIfTrue="1">
      <formula>D3=1</formula>
    </cfRule>
  </conditionalFormatting>
  <conditionalFormatting sqref="G5">
    <cfRule type="expression" dxfId="288" priority="89" stopIfTrue="1">
      <formula>D3=1</formula>
    </cfRule>
  </conditionalFormatting>
  <conditionalFormatting sqref="I5:J5">
    <cfRule type="expression" dxfId="287" priority="90" stopIfTrue="1">
      <formula>D3=1</formula>
    </cfRule>
  </conditionalFormatting>
  <conditionalFormatting sqref="H5">
    <cfRule type="expression" dxfId="286" priority="91" stopIfTrue="1">
      <formula>D3=1</formula>
    </cfRule>
  </conditionalFormatting>
  <conditionalFormatting sqref="M5">
    <cfRule type="expression" dxfId="285" priority="92" stopIfTrue="1">
      <formula>D3=1</formula>
    </cfRule>
  </conditionalFormatting>
  <conditionalFormatting sqref="I3:J3">
    <cfRule type="expression" dxfId="284" priority="93" stopIfTrue="1">
      <formula>D3=1</formula>
    </cfRule>
  </conditionalFormatting>
  <conditionalFormatting sqref="E22">
    <cfRule type="expression" dxfId="283" priority="94" stopIfTrue="1">
      <formula>I22&gt;1000</formula>
    </cfRule>
  </conditionalFormatting>
  <conditionalFormatting sqref="F22">
    <cfRule type="expression" dxfId="282" priority="96" stopIfTrue="1">
      <formula>I22&gt;1</formula>
    </cfRule>
  </conditionalFormatting>
  <conditionalFormatting sqref="K8">
    <cfRule type="expression" dxfId="281" priority="85" stopIfTrue="1">
      <formula>M8=L8</formula>
    </cfRule>
  </conditionalFormatting>
  <conditionalFormatting sqref="I24:J24">
    <cfRule type="expression" dxfId="280" priority="178" stopIfTrue="1">
      <formula>AND(C24=1,U23=0)</formula>
    </cfRule>
  </conditionalFormatting>
  <conditionalFormatting sqref="F49:G49">
    <cfRule type="expression" dxfId="279" priority="22" stopIfTrue="1">
      <formula>OR(Q49&gt;0,H49&gt;0)</formula>
    </cfRule>
  </conditionalFormatting>
  <conditionalFormatting sqref="F47:G47">
    <cfRule type="expression" dxfId="278" priority="38" stopIfTrue="1">
      <formula>AND(H47&gt;1,T47=1,Z49=1)</formula>
    </cfRule>
  </conditionalFormatting>
  <conditionalFormatting sqref="F21:G21">
    <cfRule type="expression" dxfId="277" priority="49" stopIfTrue="1">
      <formula>OR(B21="Free",Q21=1)</formula>
    </cfRule>
  </conditionalFormatting>
  <conditionalFormatting sqref="E29">
    <cfRule type="expression" dxfId="276" priority="52" stopIfTrue="1">
      <formula>AND(R29&gt;1,Z49=1,Y49=1)</formula>
    </cfRule>
  </conditionalFormatting>
  <conditionalFormatting sqref="F29:G29">
    <cfRule type="expression" dxfId="275" priority="53" stopIfTrue="1">
      <formula>AND(R29&gt;1,Z49=1,Y49=1)</formula>
    </cfRule>
  </conditionalFormatting>
  <conditionalFormatting sqref="E41">
    <cfRule type="expression" dxfId="274" priority="184" stopIfTrue="1">
      <formula>AND($C$40=1,D41=1)</formula>
    </cfRule>
  </conditionalFormatting>
  <conditionalFormatting sqref="G41">
    <cfRule type="expression" dxfId="273" priority="185" stopIfTrue="1">
      <formula>AND($C$40=1,M30&gt;0)</formula>
    </cfRule>
  </conditionalFormatting>
  <conditionalFormatting sqref="F41">
    <cfRule type="expression" dxfId="272" priority="186" stopIfTrue="1">
      <formula>E41=1</formula>
    </cfRule>
  </conditionalFormatting>
  <conditionalFormatting sqref="K41">
    <cfRule type="expression" dxfId="271" priority="187" stopIfTrue="1">
      <formula>AND(Z42&gt;0,J41=1)</formula>
    </cfRule>
  </conditionalFormatting>
  <conditionalFormatting sqref="J41">
    <cfRule type="expression" dxfId="270" priority="188" stopIfTrue="1">
      <formula>AND($C$40=1,OR(H50&gt;0,H51&gt;0))</formula>
    </cfRule>
  </conditionalFormatting>
  <conditionalFormatting sqref="F43 K43">
    <cfRule type="expression" dxfId="269" priority="189" stopIfTrue="1">
      <formula>AND(E43=1,E41=1)</formula>
    </cfRule>
  </conditionalFormatting>
  <conditionalFormatting sqref="G43">
    <cfRule type="expression" dxfId="268" priority="190" stopIfTrue="1">
      <formula>AND($C$40=1,$C$42=1,M30&gt;0)</formula>
    </cfRule>
  </conditionalFormatting>
  <conditionalFormatting sqref="E43">
    <cfRule type="expression" dxfId="267" priority="191" stopIfTrue="1">
      <formula>AND($C$40=1,$C$42=1,D41=1)</formula>
    </cfRule>
  </conditionalFormatting>
  <conditionalFormatting sqref="J43">
    <cfRule type="expression" dxfId="266" priority="192" stopIfTrue="1">
      <formula>AND($C$40=1,$C$42=1,OR(H50&gt;0,H51&gt;0))</formula>
    </cfRule>
  </conditionalFormatting>
  <conditionalFormatting sqref="H58:H59">
    <cfRule type="expression" dxfId="265" priority="195" stopIfTrue="1">
      <formula>AND(C58=1,F58="")</formula>
    </cfRule>
  </conditionalFormatting>
  <conditionalFormatting sqref="H24">
    <cfRule type="expression" dxfId="264" priority="196" stopIfTrue="1">
      <formula>U23=0</formula>
    </cfRule>
  </conditionalFormatting>
  <conditionalFormatting sqref="I16:M17">
    <cfRule type="expression" dxfId="263" priority="200" stopIfTrue="1">
      <formula>R15=0</formula>
    </cfRule>
  </conditionalFormatting>
  <conditionalFormatting sqref="H41">
    <cfRule type="expression" dxfId="262" priority="209" stopIfTrue="1">
      <formula>AND($C$40=1,M30&gt;0,G41=1)</formula>
    </cfRule>
  </conditionalFormatting>
  <conditionalFormatting sqref="H43">
    <cfRule type="expression" dxfId="261" priority="210" stopIfTrue="1">
      <formula>AND($C$40=1,M30&gt;0,G43=1,G41=1)</formula>
    </cfRule>
  </conditionalFormatting>
  <conditionalFormatting sqref="O25 L22 L36:L37 L30 O23 L19:L20 O29 L39:L59">
    <cfRule type="expression" dxfId="260" priority="101" stopIfTrue="1">
      <formula>$C$2="Yes"</formula>
    </cfRule>
  </conditionalFormatting>
  <conditionalFormatting sqref="I41">
    <cfRule type="expression" dxfId="259" priority="82" stopIfTrue="1">
      <formula>AND(B40="Yes",T42="Yes",H25&gt;0,L27&gt;0)</formula>
    </cfRule>
  </conditionalFormatting>
  <conditionalFormatting sqref="I43">
    <cfRule type="expression" dxfId="258" priority="83" stopIfTrue="1">
      <formula>AND(B40="Yes",T42="Yes",H25&gt;0,L27&gt;0,B41="Yes",T43="Yes")</formula>
    </cfRule>
  </conditionalFormatting>
  <conditionalFormatting sqref="E30">
    <cfRule type="expression" dxfId="257" priority="98" stopIfTrue="1">
      <formula>AND(H30&gt;1,C30="Yes",AA2=1,Z49=1,Y49=1)</formula>
    </cfRule>
  </conditionalFormatting>
  <conditionalFormatting sqref="H42 I49:J49 H44 K42 K44">
    <cfRule type="cellIs" dxfId="256" priority="105" stopIfTrue="1" operator="equal">
      <formula>0</formula>
    </cfRule>
  </conditionalFormatting>
  <conditionalFormatting sqref="K47">
    <cfRule type="cellIs" dxfId="255" priority="100" stopIfTrue="1" operator="equal">
      <formula>0</formula>
    </cfRule>
  </conditionalFormatting>
  <conditionalFormatting sqref="F54:G54">
    <cfRule type="expression" dxfId="254" priority="103" stopIfTrue="1">
      <formula>$H$54&gt;0</formula>
    </cfRule>
  </conditionalFormatting>
  <conditionalFormatting sqref="F50:G50">
    <cfRule type="expression" dxfId="253" priority="104" stopIfTrue="1">
      <formula>$H$50&gt;0</formula>
    </cfRule>
  </conditionalFormatting>
  <conditionalFormatting sqref="F57:G60">
    <cfRule type="cellIs" dxfId="252" priority="106" stopIfTrue="1" operator="equal">
      <formula>"."</formula>
    </cfRule>
  </conditionalFormatting>
  <conditionalFormatting sqref="K48">
    <cfRule type="cellIs" dxfId="251" priority="107" stopIfTrue="1" operator="equal">
      <formula>0</formula>
    </cfRule>
  </conditionalFormatting>
  <conditionalFormatting sqref="I52:K53">
    <cfRule type="cellIs" dxfId="250" priority="116" stopIfTrue="1" operator="equal">
      <formula>"Enter Number of Air Bags"</formula>
    </cfRule>
  </conditionalFormatting>
  <conditionalFormatting sqref="K15">
    <cfRule type="cellIs" dxfId="249" priority="222" stopIfTrue="1" operator="equal">
      <formula>"Chinese Vehicles Covered"</formula>
    </cfRule>
  </conditionalFormatting>
  <conditionalFormatting sqref="K9:M9">
    <cfRule type="expression" dxfId="248" priority="114" stopIfTrue="1">
      <formula>OR($T$2=3,$W$2=0)</formula>
    </cfRule>
  </conditionalFormatting>
  <conditionalFormatting sqref="G22:G23">
    <cfRule type="expression" dxfId="247" priority="95" stopIfTrue="1">
      <formula>#REF!&gt;1</formula>
    </cfRule>
  </conditionalFormatting>
  <conditionalFormatting sqref="N25 N19:N20 N22:N23 N29:N30 N36:N37 N39:N57">
    <cfRule type="expression" dxfId="246" priority="102" stopIfTrue="1">
      <formula>$C$2="Yes"</formula>
    </cfRule>
  </conditionalFormatting>
  <conditionalFormatting sqref="H19">
    <cfRule type="cellIs" dxfId="245" priority="108" stopIfTrue="1" operator="equal">
      <formula>"This Quotation system is not valid anymore"</formula>
    </cfRule>
  </conditionalFormatting>
  <conditionalFormatting sqref="E26 G26 L26">
    <cfRule type="expression" dxfId="244" priority="109" stopIfTrue="1">
      <formula>$H$25&gt;0</formula>
    </cfRule>
  </conditionalFormatting>
  <conditionalFormatting sqref="I31:I34">
    <cfRule type="expression" dxfId="243" priority="112" stopIfTrue="1">
      <formula>$H$30=0</formula>
    </cfRule>
  </conditionalFormatting>
  <conditionalFormatting sqref="E32:E34">
    <cfRule type="expression" dxfId="242" priority="113" stopIfTrue="1">
      <formula>AND($H$30&gt;0,$O$31=1)</formula>
    </cfRule>
  </conditionalFormatting>
  <conditionalFormatting sqref="K22">
    <cfRule type="expression" dxfId="241" priority="117" stopIfTrue="1">
      <formula>$C$2="Yes"</formula>
    </cfRule>
  </conditionalFormatting>
  <conditionalFormatting sqref="K14:M14">
    <cfRule type="expression" dxfId="240" priority="233" stopIfTrue="1">
      <formula>$H$14="Yes"</formula>
    </cfRule>
  </conditionalFormatting>
  <conditionalFormatting sqref="K30">
    <cfRule type="expression" dxfId="239" priority="234" stopIfTrue="1">
      <formula>AND($H$30&gt;0,$O$31&gt;0)</formula>
    </cfRule>
  </conditionalFormatting>
  <conditionalFormatting sqref="F30">
    <cfRule type="expression" dxfId="238" priority="235" stopIfTrue="1">
      <formula>AND(H30&gt;1,C30="Yes",AA2=1,Z49=1,Y49=1)</formula>
    </cfRule>
  </conditionalFormatting>
  <conditionalFormatting sqref="I30:J30">
    <cfRule type="expression" dxfId="237" priority="236" stopIfTrue="1">
      <formula>AND($H$30&gt;0,$O$31&gt;0)</formula>
    </cfRule>
  </conditionalFormatting>
  <conditionalFormatting sqref="I25:K25">
    <cfRule type="expression" dxfId="236" priority="12" stopIfTrue="1">
      <formula>$H$25=0</formula>
    </cfRule>
  </conditionalFormatting>
  <conditionalFormatting sqref="E16:H17">
    <cfRule type="notContainsBlanks" dxfId="235" priority="238" stopIfTrue="1">
      <formula>LEN(TRIM(E16))&gt;0</formula>
    </cfRule>
  </conditionalFormatting>
  <conditionalFormatting sqref="E15:F15">
    <cfRule type="cellIs" dxfId="234" priority="10" stopIfTrue="1" operator="equal">
      <formula>"SUM COVERED - Above Retention"</formula>
    </cfRule>
  </conditionalFormatting>
  <conditionalFormatting sqref="M13">
    <cfRule type="expression" dxfId="233" priority="239" stopIfTrue="1">
      <formula>OR(L13="",L13=0)</formula>
    </cfRule>
  </conditionalFormatting>
  <conditionalFormatting sqref="AA1">
    <cfRule type="expression" dxfId="232" priority="7" stopIfTrue="1">
      <formula>AND($H$12="HYBRID",$H$14="No")</formula>
    </cfRule>
  </conditionalFormatting>
  <conditionalFormatting sqref="M12">
    <cfRule type="expression" dxfId="231" priority="3" stopIfTrue="1">
      <formula>AND(H12="Hybrid",H14="No")</formula>
    </cfRule>
  </conditionalFormatting>
  <conditionalFormatting sqref="M12">
    <cfRule type="expression" dxfId="230" priority="2" stopIfTrue="1">
      <formula>AND(H12="Hybrid",H14="No")</formula>
    </cfRule>
  </conditionalFormatting>
  <conditionalFormatting sqref="M12">
    <cfRule type="expression" dxfId="229" priority="1" stopIfTrue="1">
      <formula>H8="Motor Cycle"</formula>
    </cfRule>
  </conditionalFormatting>
  <conditionalFormatting sqref="K50">
    <cfRule type="expression" dxfId="228" priority="250" stopIfTrue="1">
      <formula>T47=0</formula>
    </cfRule>
  </conditionalFormatting>
  <conditionalFormatting sqref="F52:F53">
    <cfRule type="expression" dxfId="227" priority="251" stopIfTrue="1">
      <formula>AND($K$50&gt;0,T47=1,Z49=1,O52=1)</formula>
    </cfRule>
  </conditionalFormatting>
  <conditionalFormatting sqref="E52">
    <cfRule type="expression" dxfId="226"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300-000000000000}">
      <formula1>Q49</formula1>
    </dataValidation>
    <dataValidation type="whole" operator="lessThanOrEqual" allowBlank="1" showInputMessage="1" showErrorMessage="1" error="Limit Exceeded._x000a_M/R Not Allowed" sqref="H20" xr:uid="{00000000-0002-0000-0300-000001000000}">
      <formula1>T20</formula1>
    </dataValidation>
    <dataValidation type="whole" showInputMessage="1" showErrorMessage="1" sqref="H30" xr:uid="{00000000-0002-0000-0300-000002000000}">
      <formula1>0</formula1>
      <formula2>U30</formula2>
    </dataValidation>
    <dataValidation type="decimal" operator="lessThanOrEqual" showErrorMessage="1" promptTitle="MAXIMUM NCB ALLOWED" prompt="for Private Cars  - 75%_x000a_for Commercial    - 65%_x000a_for Motor Cycles - 35%" sqref="H36" xr:uid="{00000000-0002-0000-0300-000003000000}">
      <formula1>R36</formula1>
    </dataValidation>
    <dataValidation type="whole" operator="lessThan" showInputMessage="1" showErrorMessage="1" sqref="H18" xr:uid="{00000000-0002-0000-0300-000004000000}">
      <formula1>O16+1</formula1>
    </dataValidation>
    <dataValidation type="decimal" allowBlank="1" showInputMessage="1" showErrorMessage="1" error="MAXIMUM  60%" sqref="I24:J24" xr:uid="{00000000-0002-0000-0300-000005000000}">
      <formula1>0</formula1>
      <formula2>Q23</formula2>
    </dataValidation>
    <dataValidation type="whole" operator="lessThan" showInputMessage="1" showErrorMessage="1" sqref="I18:J18" xr:uid="{00000000-0002-0000-0300-000006000000}">
      <formula1>H15/2</formula1>
    </dataValidation>
    <dataValidation type="whole" operator="lessThan" showInputMessage="1" showErrorMessage="1" sqref="H15" xr:uid="{00000000-0002-0000-0300-000007000000}">
      <formula1>O15+1</formula1>
    </dataValidation>
    <dataValidation type="whole" allowBlank="1" showInputMessage="1" showErrorMessage="1" sqref="K50" xr:uid="{00000000-0002-0000-0300-000008000000}">
      <formula1>-1</formula1>
      <formula2>H15/4</formula2>
    </dataValidation>
    <dataValidation type="whole" errorStyle="warning" allowBlank="1" showInputMessage="1" showErrorMessage="1" error="Enter Value between Rs.2000/- and 50% of vehicle value" sqref="K22" xr:uid="{00000000-0002-0000-0300-000009000000}">
      <formula1>10000</formula1>
      <formula2>H15/2</formula2>
    </dataValidation>
    <dataValidation type="list" operator="lessThan" showInputMessage="1" showErrorMessage="1" sqref="H13" xr:uid="{00000000-0002-0000-0300-00000A000000}">
      <formula1>AU45:AU54</formula1>
    </dataValidation>
    <dataValidation type="decimal" showErrorMessage="1" promptTitle="MAXIMUM NCB ALLOWED" prompt="for Private Cars  - 75%_x000a_for Commercial    - 65%_x000a_for Motor Cycles - 35%" sqref="H37" xr:uid="{00000000-0002-0000-0300-00000B000000}">
      <formula1>0</formula1>
      <formula2>R36</formula2>
    </dataValidation>
    <dataValidation type="whole" allowBlank="1" showInputMessage="1" showErrorMessage="1" sqref="H53" xr:uid="{00000000-0002-0000-0300-00000C000000}">
      <formula1>-1</formula1>
      <formula2>H15/4</formula2>
    </dataValidation>
    <dataValidation type="whole" operator="lessThanOrEqual" allowBlank="1" showInputMessage="1" showErrorMessage="1" error="Should Net Exceed Number of Persons PAB cover required._x000a_" sqref="I27" xr:uid="{00000000-0002-0000-0300-00000D000000}">
      <formula1>L25</formula1>
    </dataValidation>
    <dataValidation type="list" showInputMessage="1" showErrorMessage="1" sqref="H29" xr:uid="{00000000-0002-0000-0300-00000E000000}">
      <formula1>"0,2000,10000,20000,50000,100000,200000,500000"</formula1>
    </dataValidation>
    <dataValidation type="list" showInputMessage="1" showErrorMessage="1" sqref="L13" xr:uid="{00000000-0002-0000-0300-00000F000000}">
      <formula1>"1,2,3,4,5"</formula1>
    </dataValidation>
    <dataValidation type="list" allowBlank="1" showInputMessage="1" showErrorMessage="1" sqref="AA1" xr:uid="{00000000-0002-0000-0300-000010000000}">
      <formula1>"Born Hybrid,non-born Hybrid"</formula1>
    </dataValidation>
    <dataValidation type="list" allowBlank="1" showInputMessage="1" showErrorMessage="1" sqref="O25 C58:C60 C55:C56 G43 E43 J43 E41 C39:C40 G41 L30 L22 O23 L36:L37 O29 E32:E34 L19:L20 L39:L59 J41 C45:C46 C42" xr:uid="{00000000-0002-0000-0300-000011000000}">
      <formula1>"0,1"</formula1>
    </dataValidation>
    <dataValidation type="whole" showInputMessage="1" showErrorMessage="1" error="Should Not Exceed Number of Seats" sqref="G53" xr:uid="{00000000-0002-0000-0300-000012000000}">
      <formula1>0</formula1>
      <formula2>25</formula2>
    </dataValidation>
    <dataValidation type="whole" showInputMessage="1" showErrorMessage="1" error="Should Not Exceed Number of Seats" sqref="G52" xr:uid="{00000000-0002-0000-0300-000013000000}">
      <formula1>0</formula1>
      <formula2>2</formula2>
    </dataValidation>
    <dataValidation type="list" allowBlank="1" showInputMessage="1" showErrorMessage="1" sqref="J11" xr:uid="{00000000-0002-0000-0300-000014000000}">
      <formula1>"BRAND NEW,RECONDITIONED,REGISTERED"</formula1>
    </dataValidation>
    <dataValidation type="whole" allowBlank="1" showInputMessage="1" showErrorMessage="1" sqref="E42 E44:E60 I43 E20:E23 E25 E39:E40 I41 E29:E30 E36:E37 T28:V28 G31:G34" xr:uid="{00000000-0002-0000-0300-000015000000}">
      <formula1>0</formula1>
      <formula2>1</formula2>
    </dataValidation>
    <dataValidation type="list" allowBlank="1" showInputMessage="1" showErrorMessage="1" sqref="B55:B56 Q42:Q43 B46 T42:T43 W42:W43 M5 C30 B39:B41 C2:C5 H14" xr:uid="{00000000-0002-0000-0300-000016000000}">
      <formula1>"Yes,No"</formula1>
    </dataValidation>
    <dataValidation type="decimal" allowBlank="1" showInputMessage="1" showErrorMessage="1" sqref="N58:N60" xr:uid="{00000000-0002-0000-0300-000017000000}">
      <formula1>-100000</formula1>
      <formula2>100000</formula2>
    </dataValidation>
    <dataValidation type="decimal" operator="greaterThanOrEqual" allowBlank="1" showInputMessage="1" showErrorMessage="1" sqref="M49" xr:uid="{00000000-0002-0000-0300-000018000000}">
      <formula1>0</formula1>
    </dataValidation>
    <dataValidation type="whole" showInputMessage="1" showErrorMessage="1" sqref="H54" xr:uid="{00000000-0002-0000-0300-000019000000}">
      <formula1>-1</formula1>
      <formula2>10</formula2>
    </dataValidation>
    <dataValidation type="whole" operator="greaterThan" allowBlank="1" showInputMessage="1" showErrorMessage="1" sqref="H47 H51" xr:uid="{00000000-0002-0000-0300-00001A000000}">
      <formula1>-1</formula1>
    </dataValidation>
    <dataValidation type="list" operator="notBetween" allowBlank="1" showInputMessage="1" showErrorMessage="1" sqref="H48" xr:uid="{00000000-0002-0000-0300-00001B000000}">
      <formula1>"15000,100000,300000,500000,1000000"</formula1>
    </dataValidation>
    <dataValidation type="whole" allowBlank="1" showInputMessage="1" showErrorMessage="1" sqref="H50" xr:uid="{00000000-0002-0000-0300-00001C000000}">
      <formula1>-1</formula1>
      <formula2>10</formula2>
    </dataValidation>
    <dataValidation type="textLength" allowBlank="1" showInputMessage="1" showErrorMessage="1" sqref="F59:G59" xr:uid="{00000000-0002-0000-0300-00001D000000}">
      <formula1>0</formula1>
      <formula2>21</formula2>
    </dataValidation>
    <dataValidation type="textLength" allowBlank="1" showInputMessage="1" showErrorMessage="1" error="Should Enter Between _x000a_2 to 14 Digits only_x000a__x000a_" sqref="L10:M10" xr:uid="{00000000-0002-0000-0300-00001E000000}">
      <formula1>2</formula1>
      <formula2>14</formula2>
    </dataValidation>
    <dataValidation type="textLength" showInputMessage="1" showErrorMessage="1" sqref="L6 E12" xr:uid="{00000000-0002-0000-0300-00001F000000}">
      <formula1>0</formula1>
      <formula2>25</formula2>
    </dataValidation>
    <dataValidation type="list" allowBlank="1" showInputMessage="1" showErrorMessage="1" sqref="H6" xr:uid="{00000000-0002-0000-0300-000020000000}">
      <formula1>"Mr.,Mrs.,Miss,Madam,Sir,Sir/Madam"</formula1>
    </dataValidation>
    <dataValidation type="list" allowBlank="1" showInputMessage="1" showErrorMessage="1" sqref="K8" xr:uid="{00000000-0002-0000-0300-000021000000}">
      <formula1>"1.25%,2%"</formula1>
    </dataValidation>
    <dataValidation type="list" showInputMessage="1" showErrorMessage="1" sqref="H9:I9" xr:uid="{00000000-0002-0000-0300-000022000000}">
      <formula1>$AP$6:$AP$7</formula1>
    </dataValidation>
    <dataValidation type="list" showInputMessage="1" showErrorMessage="1" sqref="H12" xr:uid="{00000000-0002-0000-0300-000023000000}">
      <formula1>"PETROL (non hybrid),DIESEL (non hybrid),HYBRID,ELECTRIC"</formula1>
    </dataValidation>
    <dataValidation type="list" operator="equal" showInputMessage="1" showErrorMessage="1" sqref="H22" xr:uid="{00000000-0002-0000-0300-000024000000}">
      <formula1>"0,2000,5000,10000"</formula1>
    </dataValidation>
    <dataValidation type="list" allowBlank="1" showInputMessage="1" showErrorMessage="1" sqref="I38:J38" xr:uid="{00000000-0002-0000-0300-000025000000}">
      <formula1>"Conceal,Reveal"</formula1>
    </dataValidation>
    <dataValidation type="decimal" allowBlank="1" showInputMessage="1" showErrorMessage="1" sqref="N25 N46:N57 N39:N43 N19:N20 N29:N30" xr:uid="{00000000-0002-0000-0300-000026000000}">
      <formula1>0</formula1>
      <formula2>1000000</formula2>
    </dataValidation>
    <dataValidation allowBlank="1" showInputMessage="1" showErrorMessage="1" error="Should not exceed number of seats _x000a_(excluding driver's seat)_x000a_" sqref="I29:J29" xr:uid="{00000000-0002-0000-0300-000027000000}"/>
    <dataValidation type="list" allowBlank="1" showInputMessage="1" showErrorMessage="1" sqref="B31:C31" xr:uid="{00000000-0002-0000-0300-000028000000}">
      <formula1>"1"</formula1>
    </dataValidation>
    <dataValidation type="list" showInputMessage="1" showErrorMessage="1" sqref="H25" xr:uid="{00000000-0002-0000-0300-000029000000}">
      <formula1>"25000,50000,75000,100000,125000,150000,175000,200000,225000,250000,275000,300000,350000,400000,450000,500000,1000000"</formula1>
    </dataValidation>
    <dataValidation type="list" allowBlank="1" showInputMessage="1" showErrorMessage="1" sqref="B21" xr:uid="{00000000-0002-0000-0300-00002A000000}">
      <formula1>"Yes,No,Free"</formula1>
    </dataValidation>
    <dataValidation type="list" allowBlank="1" showInputMessage="1" showErrorMessage="1" sqref="C21" xr:uid="{00000000-0002-0000-0300-00002B000000}">
      <formula1>"0,1,2"</formula1>
    </dataValidation>
    <dataValidation type="decimal" allowBlank="1" showInputMessage="1" showErrorMessage="1" sqref="N22:N23 N36:N37" xr:uid="{00000000-0002-0000-0300-00002C000000}">
      <formula1>-10000000</formula1>
      <formula2>0</formula2>
    </dataValidation>
    <dataValidation type="list" allowBlank="1" showInputMessage="1" showErrorMessage="1" sqref="E26 L26 G26" xr:uid="{00000000-0002-0000-0300-00002D000000}">
      <formula1>"1,0"</formula1>
    </dataValidation>
    <dataValidation type="list" allowBlank="1" showInputMessage="1" showErrorMessage="1" sqref="H38" xr:uid="{00000000-0002-0000-0300-00002E000000}">
      <formula1>"Earned NCB,Upfront NCB"</formula1>
    </dataValidation>
    <dataValidation type="list" allowBlank="1" showInputMessage="1" showErrorMessage="1" sqref="I4:I5" xr:uid="{00000000-0002-0000-0300-00002F000000}">
      <formula1>"2010,2011,2012,2013,2014,2015"</formula1>
    </dataValidation>
    <dataValidation type="list" allowBlank="1" showInputMessage="1" showErrorMessage="1" sqref="H4:H5" xr:uid="{00000000-0002-0000-0300-000030000000}">
      <formula1>"January,February,March,April,May,June,July,August,September,October,November,December"</formula1>
    </dataValidation>
    <dataValidation type="list" allowBlank="1" showInputMessage="1" showErrorMessage="1" sqref="G4:G5" xr:uid="{00000000-0002-0000-0300-000031000000}">
      <formula1>"1,2,3,4,5,6,7,8,9,10,11,12,13,14,15,16,17,18,19,20,21,22,23,24,25,26,27,28,29,30,31"</formula1>
    </dataValidation>
    <dataValidation type="list" allowBlank="1" showInputMessage="1" showErrorMessage="1" sqref="H3" xr:uid="{00000000-0002-0000-0300-000032000000}">
      <formula1>"One Year,Pro Rata, Short Period"</formula1>
    </dataValidation>
    <dataValidation type="textLength" allowBlank="1" showInputMessage="1" showErrorMessage="1" error="Enter Above 5 letters_x000a_" sqref="F58:G58" xr:uid="{00000000-0002-0000-0300-000033000000}">
      <formula1>5</formula1>
      <formula2>21</formula2>
    </dataValidation>
    <dataValidation type="list" allowBlank="1" showInputMessage="1" showErrorMessage="1" sqref="H11:I11" xr:uid="{00000000-0002-0000-0300-000034000000}">
      <formula1>"NON chinese/korean,CHINESE,KOREAN,JAPAN,INDIA,MALAYSIAN,GERMAN,SRI LANKAN"</formula1>
    </dataValidation>
    <dataValidation type="decimal" allowBlank="1" showInputMessage="1" showErrorMessage="1" sqref="N44:N45" xr:uid="{00000000-0002-0000-0300-000035000000}">
      <formula1>0</formula1>
      <formula2>100</formula2>
    </dataValidation>
    <dataValidation type="list" showInputMessage="1" showErrorMessage="1" sqref="I25" xr:uid="{00000000-0002-0000-0300-000036000000}">
      <formula1>"Full Seating Capacity,Participant Only,Driver Only,Participant &amp; Driver Only"</formula1>
    </dataValidation>
    <dataValidation type="list" showInputMessage="1" showErrorMessage="1" sqref="I30" xr:uid="{00000000-0002-0000-0300-000037000000}">
      <formula1>"Non-Hazardous,Hazardous,Extra Hazardous"</formula1>
    </dataValidation>
    <dataValidation type="list" allowBlank="1" showInputMessage="1" showErrorMessage="1" sqref="K30" xr:uid="{00000000-0002-0000-0300-000038000000}">
      <formula1>"With Fire,Without Fire"</formula1>
    </dataValidation>
    <dataValidation type="list" allowBlank="1" showInputMessage="1" showErrorMessage="1" sqref="H8:I8" xr:uid="{00000000-0002-0000-0300-000039000000}">
      <formula1>"Motor Cycle,Three Wheeler"</formula1>
    </dataValidation>
    <dataValidation type="list" allowBlank="1" showInputMessage="1" showErrorMessage="1" sqref="M12" xr:uid="{00000000-0002-0000-0300-00003A000000}">
      <formula1>"Above 250cc,Below 250cc"</formula1>
    </dataValidation>
    <dataValidation type="list" allowBlank="1" showInputMessage="1" showErrorMessage="1" sqref="K14:M14" xr:uid="{00000000-0002-0000-0300-00003B000000}">
      <formula1>$F$94:$F$121</formula1>
    </dataValidation>
  </dataValidations>
  <hyperlinks>
    <hyperlink ref="AZ78" r:id="rId1" display="mailto:info@amanabank.lk" xr:uid="{00000000-0004-0000-0300-000000000000}"/>
    <hyperlink ref="AZ81" r:id="rId2" display="mailto:boc@boc.lk" xr:uid="{00000000-0004-0000-0300-000001000000}"/>
    <hyperlink ref="AZ84" r:id="rId3" display="mailto:email@combank.net" xr:uid="{00000000-0004-0000-0300-000002000000}"/>
    <hyperlink ref="AZ88" r:id="rId4" display="mailto:info@dfccvardhanabank.com" xr:uid="{00000000-0004-0000-0300-000003000000}"/>
    <hyperlink ref="AZ89" r:id="rId5" display="http://www.dfccvardhanabank.com/" xr:uid="{00000000-0004-0000-0300-000004000000}"/>
    <hyperlink ref="AZ91" r:id="rId6" display="mailto:moreinfo@hnb.net" xr:uid="{00000000-0004-0000-0300-000005000000}"/>
    <hyperlink ref="AZ92" r:id="rId7" display="http://www.hnb.net/" xr:uid="{00000000-0004-0000-0300-000006000000}"/>
    <hyperlink ref="AZ94" r:id="rId8" display="mailto:azfar.nomani@mcb.com.lk" xr:uid="{00000000-0004-0000-0300-000007000000}"/>
    <hyperlink ref="AZ97" r:id="rId9" display="mailto:contact@ndbbank.com" xr:uid="{00000000-0004-0000-0300-000008000000}"/>
    <hyperlink ref="AZ98" r:id="rId10" display="http://www.ndbbank.com/" xr:uid="{00000000-0004-0000-0300-000009000000}"/>
    <hyperlink ref="AZ100" r:id="rId11" display="mailto:info@nationstrust.com" xr:uid="{00000000-0004-0000-0300-00000A000000}"/>
    <hyperlink ref="AZ103" r:id="rId12" display="mailto:pabc@pabcbank.com" xr:uid="{00000000-0004-0000-0300-00000B000000}"/>
    <hyperlink ref="AZ104" r:id="rId13" display="http://www.pabcbank.com/" xr:uid="{00000000-0004-0000-0300-00000C000000}"/>
    <hyperlink ref="AZ106" r:id="rId14" display="mailto:info@peoplesbank.lk" xr:uid="{00000000-0004-0000-0300-00000D000000}"/>
    <hyperlink ref="AZ109" r:id="rId15" display="mailto:oper.mgr@sampath.lk" xr:uid="{00000000-0004-0000-0300-00000E000000}"/>
    <hyperlink ref="AZ112" r:id="rId16" display="mailto:info@seylan.lk" xr:uid="{00000000-0004-0000-0300-00000F000000}"/>
    <hyperlink ref="AZ113" r:id="rId17" display="http://www.eseylan.com/" xr:uid="{00000000-0004-0000-0300-000010000000}"/>
    <hyperlink ref="AZ115" r:id="rId18" display="mailto:ubc@unionb.com" xr:uid="{00000000-0004-0000-0300-000011000000}"/>
    <hyperlink ref="AZ118" r:id="rId19" display="mailto:info@dfccbank.com" xr:uid="{00000000-0004-0000-0300-000012000000}"/>
    <hyperlink ref="AZ121" r:id="rId20" display="mailto:info@lankaputhra.lk" xr:uid="{00000000-0004-0000-0300-000013000000}"/>
    <hyperlink ref="AZ122" r:id="rId21" display="http://www.lankaputhra.lk/" xr:uid="{00000000-0004-0000-0300-000014000000}"/>
    <hyperlink ref="AZ124" r:id="rId22" display="mailto:savingsbank@mbslsavingsbank.com" xr:uid="{00000000-0004-0000-0300-000015000000}"/>
    <hyperlink ref="AZ125" r:id="rId23" display="http://www.mbslsavingsbank.com/" xr:uid="{00000000-0004-0000-0300-000016000000}"/>
    <hyperlink ref="AZ127" r:id="rId24" display="mailto:siriwardener@rdb.lk" xr:uid="{00000000-0004-0000-0300-000017000000}"/>
    <hyperlink ref="AZ128" r:id="rId25" display="http://www.rdb.lk/" xr:uid="{00000000-0004-0000-0300-000018000000}"/>
    <hyperlink ref="AZ130" r:id="rId26" display="mailto:info@sdb.lk" xr:uid="{00000000-0004-0000-0300-000019000000}"/>
    <hyperlink ref="AZ131" r:id="rId27" display="http://www.sdb.lk/" xr:uid="{00000000-0004-0000-0300-00001A000000}"/>
    <hyperlink ref="AZ133" r:id="rId28" display="mailto:slsbl@sltnet.lk" xr:uid="{00000000-0004-0000-0300-00001B000000}"/>
    <hyperlink ref="AZ134" r:id="rId29" display="http://www.sdb.lk/" xr:uid="{00000000-0004-0000-0300-00001C000000}"/>
    <hyperlink ref="AZ136" r:id="rId30" display="mailto:aban@abansgroup.com" xr:uid="{00000000-0004-0000-0300-00001D000000}"/>
    <hyperlink ref="AZ137" r:id="rId31" display="http://www.abansgroup.com/" xr:uid="{00000000-0004-0000-0300-00001E000000}"/>
    <hyperlink ref="AZ139" r:id="rId32" display="mailto:info@alliancefinance.lk" xr:uid="{00000000-0004-0000-0300-00001F000000}"/>
    <hyperlink ref="AZ140" r:id="rId33" display="http://www.alliancefinance.lk/" xr:uid="{00000000-0004-0000-0300-000020000000}"/>
    <hyperlink ref="AZ143" r:id="rId34" display="http://www.amwltd.lk/" xr:uid="{00000000-0004-0000-0300-000021000000}"/>
    <hyperlink ref="AZ145" r:id="rId35" display="mailto:bedej@arpicofinance.com" xr:uid="{00000000-0004-0000-0300-000022000000}"/>
    <hyperlink ref="AZ146" r:id="rId36" display="http://www.arpicofinance.lk/" xr:uid="{00000000-0004-0000-0300-000023000000}"/>
    <hyperlink ref="AZ148" r:id="rId37" display="mailto:info@asiaassetfinance.lk" xr:uid="{00000000-0004-0000-0300-000024000000}"/>
    <hyperlink ref="AZ151" r:id="rId38" display="mailto:afl@asianfinance.lk" xr:uid="{00000000-0004-0000-0300-000025000000}"/>
    <hyperlink ref="AZ154" r:id="rId39" display="mailto:amfcoltd@sltnet.lk" xr:uid="{00000000-0004-0000-0300-000026000000}"/>
    <hyperlink ref="AZ157" r:id="rId40" display="mailto:bartfsl@bartleet.com" xr:uid="{00000000-0004-0000-0300-000027000000}"/>
    <hyperlink ref="AZ158" r:id="rId41" display="http://www.batrleetgroup.com/" xr:uid="{00000000-0004-0000-0300-000028000000}"/>
    <hyperlink ref="AZ160" r:id="rId42" display="mailto:bimputhlanka@daya-group.com" xr:uid="{00000000-0004-0000-0300-000029000000}"/>
    <hyperlink ref="AZ161" r:id="rId43" display="http://www.dayagroupofcompanies.com/" xr:uid="{00000000-0004-0000-0300-00002A000000}"/>
    <hyperlink ref="AZ163" r:id="rId44" display="mailto:silvereenkandy@sltnet.lk" xr:uid="{00000000-0004-0000-0300-00002B000000}"/>
    <hyperlink ref="AZ164" r:id="rId45" display="http://www.cbsl.gov.lk/htm/english/05_fss/popup/" xr:uid="{00000000-0004-0000-0300-00002C000000}"/>
    <hyperlink ref="AZ166" r:id="rId46" display="mailto:cenfin@cf.lk" xr:uid="{00000000-0004-0000-0300-00002D000000}"/>
    <hyperlink ref="AZ167" r:id="rId47" display="http://www.cf.lk/" xr:uid="{00000000-0004-0000-0300-00002E000000}"/>
    <hyperlink ref="AZ169" r:id="rId48" display="mailto:cifl@cifl.lk" xr:uid="{00000000-0004-0000-0300-00002F000000}"/>
    <hyperlink ref="AZ170" r:id="rId49" display="http://www.cifl.lk/" xr:uid="{00000000-0004-0000-0300-000030000000}"/>
    <hyperlink ref="AZ172" r:id="rId50" display="mailto:chifinco@gmail.com" xr:uid="{00000000-0004-0000-0300-000031000000}"/>
    <hyperlink ref="AZ175" r:id="rId51" display="mailto:cdb@cdb.lk" xr:uid="{00000000-0004-0000-0300-000032000000}"/>
    <hyperlink ref="AZ176" r:id="rId52" display="http://www.cdb.lk/" xr:uid="{00000000-0004-0000-0300-000033000000}"/>
    <hyperlink ref="AZ178" r:id="rId53" display="mailto:infoifl@infinltd.lk" xr:uid="{00000000-0004-0000-0300-000034000000}"/>
    <hyperlink ref="AZ179" r:id="rId54" display="http://www.ifl.lk/" xr:uid="{00000000-0004-0000-0300-000035000000}"/>
    <hyperlink ref="AZ181" r:id="rId55" display="mailto:ccl@cclk.lk" xr:uid="{00000000-0004-0000-0300-000036000000}"/>
    <hyperlink ref="AZ182" r:id="rId56" display="http://www.cclk.lk/" xr:uid="{00000000-0004-0000-0300-000037000000}"/>
    <hyperlink ref="AZ184" r:id="rId57" display="mailto:clc@.lk" xr:uid="{00000000-0004-0000-0300-000038000000}"/>
    <hyperlink ref="AZ185" r:id="rId58" display="http://www.clc.lk/" xr:uid="{00000000-0004-0000-0300-000039000000}"/>
    <hyperlink ref="AZ187" r:id="rId59" display="mailto:info@divasafinance.lk" xr:uid="{00000000-0004-0000-0300-00003A000000}"/>
    <hyperlink ref="AZ188" r:id="rId60" display="http://www.divasafinance.lk/" xr:uid="{00000000-0004-0000-0300-00003B000000}"/>
    <hyperlink ref="AZ190" r:id="rId61" display="mailto:info@eti.lk" xr:uid="{00000000-0004-0000-0300-00003C000000}"/>
    <hyperlink ref="AZ191" r:id="rId62" display="http://www.eti.lk/" xr:uid="{00000000-0004-0000-0300-00003D000000}"/>
    <hyperlink ref="AZ193" r:id="rId63" display="mailto:chandrin@kanrich.lk" xr:uid="{00000000-0004-0000-0300-00003E000000}"/>
    <hyperlink ref="AZ194" r:id="rId64" display="http://www.kanrich.lk/" xr:uid="{00000000-0004-0000-0300-00003F000000}"/>
    <hyperlink ref="AZ196" r:id="rId65" display="mailto:mail@lbfinance.lk" xr:uid="{00000000-0004-0000-0300-000040000000}"/>
    <hyperlink ref="AZ197" r:id="rId66" display="http://www.lbfinance.com/" xr:uid="{00000000-0004-0000-0300-000041000000}"/>
    <hyperlink ref="AZ199" r:id="rId67" display="mailto:lofin@lankaorix.com" xr:uid="{00000000-0004-0000-0300-000042000000}"/>
    <hyperlink ref="AZ200" r:id="rId68" display="http://www.lankaorix.com/" xr:uid="{00000000-0004-0000-0300-000043000000}"/>
    <hyperlink ref="AZ202" r:id="rId69" display="mailto:mercantile@mi.com.lk" xr:uid="{00000000-0004-0000-0300-000044000000}"/>
    <hyperlink ref="AZ203" r:id="rId70" display="http://www.mi.com.lk/" xr:uid="{00000000-0004-0000-0300-000045000000}"/>
    <hyperlink ref="AZ205" r:id="rId71" display="mailto:mcsl@mbslbank.com" xr:uid="{00000000-0004-0000-0300-000046000000}"/>
    <hyperlink ref="AZ206" r:id="rId72" display="http://www.mcsl.lk/" xr:uid="{00000000-0004-0000-0300-000047000000}"/>
    <hyperlink ref="AZ208" r:id="rId73" display="mailto:info@themultifinance.com" xr:uid="{00000000-0004-0000-0300-000048000000}"/>
    <hyperlink ref="AZ209" r:id="rId74" display="http://www.mcsl.lk/" xr:uid="{00000000-0004-0000-0300-000049000000}"/>
    <hyperlink ref="AZ211" r:id="rId75" display="mailto:info@nifl.lk" xr:uid="{00000000-0004-0000-0300-00004A000000}"/>
    <hyperlink ref="AZ214" r:id="rId76" display="mailto:bede@nflplc.com" xr:uid="{00000000-0004-0000-0300-00004B000000}"/>
    <hyperlink ref="AZ215" r:id="rId77" display="http://www.cbsl.gov.lk/htm/english/05_fss/popup/www.nflplc.lk/" xr:uid="{00000000-0004-0000-0300-00004C000000}"/>
    <hyperlink ref="AZ217" r:id="rId78" display="mailto:dinindus@plc.lk" xr:uid="{00000000-0004-0000-0300-00004D000000}"/>
    <hyperlink ref="AZ220" r:id="rId79" display="mailto:senk@senfin.com" xr:uid="{00000000-0004-0000-0300-00004E000000}"/>
    <hyperlink ref="AZ221" r:id="rId80" display="http://www.senfin.com/" xr:uid="{00000000-0004-0000-0300-00004F000000}"/>
    <hyperlink ref="AZ223" r:id="rId81" display="mailto:financecompany@singersl.com" xr:uid="{00000000-0004-0000-0300-000050000000}"/>
    <hyperlink ref="AZ224" r:id="rId82" display="http://www.singersl.com/" xr:uid="{00000000-0004-0000-0300-000051000000}"/>
    <hyperlink ref="AZ226" r:id="rId83" display="mailto:info@sinhaputhra.lk" xr:uid="{00000000-0004-0000-0300-000052000000}"/>
    <hyperlink ref="AZ227" r:id="rId84" display="http://www.sinhaputhra.lk/" xr:uid="{00000000-0004-0000-0300-000053000000}"/>
    <hyperlink ref="AZ229" r:id="rId85" display="mailto:info@softlogicfinance.lk" xr:uid="{00000000-0004-0000-0300-000054000000}"/>
    <hyperlink ref="AZ230" r:id="rId86" display="http://www.softlogicfinance.lk/" xr:uid="{00000000-0004-0000-0300-000055000000}"/>
    <hyperlink ref="AZ232" r:id="rId87" display="mailto:info@sfs.lk" xr:uid="{00000000-0004-0000-0300-000056000000}"/>
    <hyperlink ref="AZ233" r:id="rId88" display="http://www.sfs.lk/" xr:uid="{00000000-0004-0000-0300-000057000000}"/>
    <hyperlink ref="AZ235" r:id="rId89" display="mailto:info@fglk.com" xr:uid="{00000000-0004-0000-0300-000058000000}"/>
    <hyperlink ref="AZ236" r:id="rId90" display="http://www.fglk.com/" xr:uid="{00000000-0004-0000-0300-000059000000}"/>
    <hyperlink ref="AZ238" r:id="rId91" display="mailto:smi@thefinance.lk" xr:uid="{00000000-0004-0000-0300-00005A000000}"/>
    <hyperlink ref="AZ239" r:id="rId92" display="http://www.thefinance.lk/" xr:uid="{00000000-0004-0000-0300-00005B000000}"/>
    <hyperlink ref="AZ242" r:id="rId93" display="mailto:infomail@cir.lk" xr:uid="{00000000-0004-0000-0300-00005C000000}"/>
    <hyperlink ref="AZ245" r:id="rId94" display="mailto:tradefi@lankabiz.net" xr:uid="{00000000-0004-0000-0300-00005D000000}"/>
    <hyperlink ref="AZ248" r:id="rId95" display="mailto:info@vallibelfinance.com" xr:uid="{00000000-0004-0000-0300-00005E000000}"/>
    <hyperlink ref="AZ251" r:id="rId96" display="mailto:kushantha@dpmco.com" xr:uid="{00000000-0004-0000-0300-00005F000000}"/>
    <hyperlink ref="AZ252" r:id="rId97" display="http://www.assetline.lk/" xr:uid="{00000000-0004-0000-0300-000060000000}"/>
    <hyperlink ref="AZ254" r:id="rId98" display="mailto:%20ceylease@ceylease.lk" xr:uid="{00000000-0004-0000-0300-000061000000}"/>
    <hyperlink ref="AZ257" r:id="rId99" display="mailto:info@cooplease.com" xr:uid="{00000000-0004-0000-0300-000062000000}"/>
    <hyperlink ref="AZ258" r:id="rId100" display="http://www.cooplease.com./" xr:uid="{00000000-0004-0000-0300-000063000000}"/>
    <hyperlink ref="AZ260" r:id="rId101" display="mailto:indrafinance@sltnet.lk" xr:uid="{00000000-0004-0000-0300-000064000000}"/>
    <hyperlink ref="AZ263" r:id="rId102" display="mailto:lmewijesuriya@gmail.lk" xr:uid="{00000000-0004-0000-0300-000065000000}"/>
    <hyperlink ref="AZ266" r:id="rId103" display="mailto:koshilea@sltnet.lk" xr:uid="{00000000-0004-0000-0300-000066000000}"/>
    <hyperlink ref="AZ269" r:id="rId104" display="mailto:lisvin@lisvin.com" xr:uid="{00000000-0004-0000-0300-000067000000}"/>
    <hyperlink ref="AZ272" r:id="rId105" display="mailto:chrishathi@lankaorix.com" xr:uid="{00000000-0004-0000-0300-000068000000}"/>
    <hyperlink ref="AZ275" r:id="rId106" display="mailto:mbslbank@mbslbank.com" xr:uid="{00000000-0004-0000-0300-000069000000}"/>
    <hyperlink ref="AZ278" r:id="rId107" display="mailto:orientleasing@sltnet.lk" xr:uid="{00000000-0004-0000-0300-00006A000000}"/>
    <hyperlink ref="AZ281" r:id="rId108" display="mailto:dpkumarage@plc.lk" xr:uid="{00000000-0004-0000-0300-00006B000000}"/>
    <hyperlink ref="AZ284" r:id="rId109" display="mailto:info@pmb.lk" xr:uid="{00000000-0004-0000-0300-00006C000000}"/>
    <hyperlink ref="AZ285" r:id="rId110" display="http://www.peoplesmerchantbank.lk/" xr:uid="{00000000-0004-0000-0300-00006D000000}"/>
    <hyperlink ref="AZ287" r:id="rId111" display="mailto:roshan@sampath-slfl.lk" xr:uid="{00000000-0004-0000-0300-00006E000000}"/>
    <hyperlink ref="AZ290" r:id="rId112" display="mailto:smbhed@sltnet.lk" xr:uid="{00000000-0004-0000-0300-00006F000000}"/>
    <hyperlink ref="AZ291" r:id="rId113" display="http://www.smblk.com/" xr:uid="{00000000-0004-0000-0300-000070000000}"/>
    <hyperlink ref="AZ293" r:id="rId114" display="mailto:credit@softlogicfinance.lk" xr:uid="{00000000-0004-0000-03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3"/>
  <sheetViews>
    <sheetView showGridLines="0" workbookViewId="0">
      <selection activeCell="E7" sqref="E7"/>
    </sheetView>
  </sheetViews>
  <sheetFormatPr defaultColWidth="0" defaultRowHeight="12.5" zeroHeight="1" x14ac:dyDescent="0.25"/>
  <cols>
    <col min="1" max="1" width="9.1796875" customWidth="1"/>
    <col min="2" max="2" width="15.453125" customWidth="1"/>
    <col min="3" max="3" width="14.54296875" bestFit="1" customWidth="1"/>
    <col min="4" max="6" width="9.1796875" customWidth="1"/>
    <col min="7" max="7" width="23.1796875" customWidth="1"/>
    <col min="8" max="8" width="10.81640625" bestFit="1" customWidth="1"/>
    <col min="9" max="9" width="32.81640625" customWidth="1"/>
    <col min="10" max="10" width="15.54296875" customWidth="1"/>
    <col min="11" max="17" width="9.1796875" customWidth="1"/>
    <col min="18" max="18" width="13.54296875" customWidth="1"/>
    <col min="19" max="19" width="13.1796875" customWidth="1"/>
    <col min="20" max="16384" width="9.1796875" hidden="1"/>
  </cols>
  <sheetData>
    <row r="1" spans="1:31" x14ac:dyDescent="0.25">
      <c r="A1" s="741"/>
      <c r="B1" s="741"/>
      <c r="C1" s="741"/>
      <c r="D1" s="741"/>
      <c r="E1" s="741"/>
      <c r="F1" s="741"/>
      <c r="G1" s="741"/>
      <c r="H1" s="741"/>
      <c r="I1" s="741"/>
      <c r="J1" s="741"/>
      <c r="K1" s="741"/>
      <c r="L1" s="741"/>
      <c r="M1" s="741"/>
      <c r="N1" s="741"/>
      <c r="O1" s="741"/>
      <c r="P1" s="741"/>
      <c r="Q1" s="741"/>
      <c r="R1" s="741"/>
      <c r="S1" s="741"/>
      <c r="T1" s="741"/>
      <c r="U1" s="741"/>
      <c r="V1" s="741"/>
      <c r="W1" s="741"/>
      <c r="X1" s="741"/>
      <c r="Y1" s="741"/>
      <c r="Z1" s="741"/>
      <c r="AA1" s="741"/>
      <c r="AB1" s="741"/>
      <c r="AC1" s="741"/>
      <c r="AD1" s="741"/>
      <c r="AE1" s="741"/>
    </row>
    <row r="2" spans="1:31" x14ac:dyDescent="0.25">
      <c r="A2" s="741"/>
      <c r="B2" s="741"/>
      <c r="C2" s="741"/>
      <c r="D2" s="741"/>
      <c r="E2" s="741"/>
      <c r="F2" s="741"/>
      <c r="G2" s="742" t="s">
        <v>539</v>
      </c>
      <c r="H2" s="743">
        <f>C4*1.75%</f>
        <v>17500</v>
      </c>
      <c r="I2" s="741"/>
      <c r="J2" s="741"/>
      <c r="K2" s="741"/>
      <c r="L2" s="741"/>
      <c r="M2" s="741"/>
      <c r="N2" s="741"/>
      <c r="O2" s="741"/>
      <c r="P2" s="741"/>
      <c r="Q2" s="741"/>
      <c r="R2" s="741"/>
      <c r="S2" s="741"/>
      <c r="T2" s="741"/>
      <c r="U2" s="741"/>
      <c r="V2" s="741"/>
      <c r="W2" s="741"/>
      <c r="X2" s="741"/>
      <c r="Y2" s="741"/>
      <c r="Z2" s="741"/>
      <c r="AA2" s="741"/>
      <c r="AB2" s="741"/>
      <c r="AC2" s="741"/>
      <c r="AD2" s="741"/>
      <c r="AE2" s="741"/>
    </row>
    <row r="3" spans="1:31" ht="14" x14ac:dyDescent="0.25">
      <c r="A3" s="741"/>
      <c r="B3" s="741"/>
      <c r="C3" s="741"/>
      <c r="D3" s="741"/>
      <c r="E3" s="741"/>
      <c r="F3" s="744">
        <f>H3/H2</f>
        <v>-6.2040816326530641E-2</v>
      </c>
      <c r="G3" s="742" t="s">
        <v>30</v>
      </c>
      <c r="H3" s="743">
        <f>H4-H2</f>
        <v>-1085.7142857142862</v>
      </c>
      <c r="I3" s="741"/>
      <c r="J3" s="741"/>
      <c r="K3" s="741"/>
      <c r="L3" s="741"/>
      <c r="M3" s="741"/>
      <c r="N3" s="741"/>
      <c r="O3" s="741"/>
      <c r="P3" s="741"/>
      <c r="Q3" s="741"/>
      <c r="R3" s="1617" t="s">
        <v>549</v>
      </c>
      <c r="S3" s="1617"/>
      <c r="T3" s="741"/>
      <c r="U3" s="741"/>
      <c r="V3" s="741"/>
      <c r="W3" s="741"/>
      <c r="X3" s="741"/>
      <c r="Y3" s="741"/>
      <c r="Z3" s="741"/>
      <c r="AA3" s="741"/>
      <c r="AB3" s="741"/>
      <c r="AC3" s="741"/>
      <c r="AD3" s="741"/>
      <c r="AE3" s="741"/>
    </row>
    <row r="4" spans="1:31" ht="16" thickBot="1" x14ac:dyDescent="0.3">
      <c r="A4" s="741"/>
      <c r="B4" s="745" t="s">
        <v>540</v>
      </c>
      <c r="C4" s="763">
        <f>TW!Q16</f>
        <v>1000000</v>
      </c>
      <c r="D4" s="741"/>
      <c r="E4" s="741"/>
      <c r="F4" s="741"/>
      <c r="G4" s="742"/>
      <c r="H4" s="746">
        <f>H8-H7-H5-H6</f>
        <v>16414.285714285714</v>
      </c>
      <c r="I4" s="741"/>
      <c r="J4" s="741"/>
      <c r="K4" s="741">
        <v>100</v>
      </c>
      <c r="L4" s="741"/>
      <c r="M4" s="741"/>
      <c r="N4" s="741"/>
      <c r="O4" s="741"/>
      <c r="P4" s="741"/>
      <c r="Q4" s="741"/>
      <c r="R4" s="764">
        <v>400000</v>
      </c>
      <c r="S4" s="758">
        <v>1.4E-2</v>
      </c>
      <c r="T4" s="741"/>
      <c r="U4" s="741"/>
      <c r="V4" s="741"/>
      <c r="W4" s="741"/>
      <c r="X4" s="741"/>
      <c r="Y4" s="741"/>
      <c r="Z4" s="741"/>
      <c r="AA4" s="741"/>
      <c r="AB4" s="741"/>
      <c r="AC4" s="741"/>
      <c r="AD4" s="741"/>
      <c r="AE4" s="741"/>
    </row>
    <row r="5" spans="1:31" ht="16" thickBot="1" x14ac:dyDescent="0.3">
      <c r="A5" s="741"/>
      <c r="B5" s="745"/>
      <c r="C5" s="745"/>
      <c r="D5" s="741"/>
      <c r="E5" s="741"/>
      <c r="G5" s="742" t="s">
        <v>38</v>
      </c>
      <c r="H5" s="757">
        <f>Working!M29</f>
        <v>0</v>
      </c>
      <c r="I5" s="747"/>
      <c r="J5" s="741"/>
      <c r="K5" s="741">
        <v>25</v>
      </c>
      <c r="L5" s="741"/>
      <c r="M5" s="741"/>
      <c r="N5" s="741"/>
      <c r="O5" s="741"/>
      <c r="P5" s="741"/>
      <c r="Q5" s="741"/>
      <c r="R5" s="764">
        <f>R4+50000</f>
        <v>450000</v>
      </c>
      <c r="S5" s="758">
        <v>1.2999999999999999E-2</v>
      </c>
      <c r="T5" s="741"/>
      <c r="U5" s="741"/>
      <c r="V5" s="741"/>
      <c r="W5" s="741"/>
      <c r="X5" s="741"/>
      <c r="Y5" s="741"/>
      <c r="Z5" s="741"/>
      <c r="AA5" s="741"/>
      <c r="AB5" s="741"/>
      <c r="AC5" s="741"/>
      <c r="AD5" s="741"/>
      <c r="AE5" s="741"/>
    </row>
    <row r="6" spans="1:31" ht="16" thickBot="1" x14ac:dyDescent="0.3">
      <c r="A6" s="741"/>
      <c r="B6" s="745" t="s">
        <v>541</v>
      </c>
      <c r="C6" s="748">
        <f ca="1">H18*Administration!IR9</f>
        <v>11320</v>
      </c>
      <c r="D6" s="741"/>
      <c r="E6" s="741"/>
      <c r="G6" s="742" t="s">
        <v>17</v>
      </c>
      <c r="H6" s="757">
        <f>Working!M25</f>
        <v>0</v>
      </c>
      <c r="J6" s="741"/>
      <c r="K6" s="741">
        <v>75</v>
      </c>
      <c r="L6" s="741"/>
      <c r="M6" s="741"/>
      <c r="N6" s="741"/>
      <c r="O6" s="741"/>
      <c r="P6" s="741"/>
      <c r="Q6" s="741"/>
      <c r="R6" s="764">
        <f>R5+50000</f>
        <v>500000</v>
      </c>
      <c r="S6" s="758">
        <v>1.2120000000000001E-2</v>
      </c>
      <c r="T6" s="741"/>
      <c r="U6" s="741"/>
      <c r="V6" s="741"/>
      <c r="W6" s="741"/>
      <c r="X6" s="741"/>
      <c r="Y6" s="741"/>
      <c r="Z6" s="741"/>
      <c r="AA6" s="741"/>
      <c r="AB6" s="741"/>
      <c r="AC6" s="741"/>
      <c r="AD6" s="741"/>
      <c r="AE6" s="741"/>
    </row>
    <row r="7" spans="1:31" x14ac:dyDescent="0.25">
      <c r="A7" s="741"/>
      <c r="B7" s="745" t="s">
        <v>542</v>
      </c>
      <c r="C7" s="749">
        <f ca="1">(MAX(750,C6*2.5%)+250)</f>
        <v>1000</v>
      </c>
      <c r="D7" s="741"/>
      <c r="E7" s="741"/>
      <c r="F7" s="744">
        <f>H7/(H4+H5+H6)</f>
        <v>-0.65</v>
      </c>
      <c r="G7" s="742" t="s">
        <v>0</v>
      </c>
      <c r="H7" s="743">
        <f>-H8/35*65</f>
        <v>-10669.285714285714</v>
      </c>
      <c r="I7" s="741"/>
      <c r="J7" s="741"/>
      <c r="K7" s="741"/>
      <c r="L7" s="741"/>
      <c r="M7" s="741"/>
      <c r="N7" s="741"/>
      <c r="O7" s="741"/>
      <c r="P7" s="741"/>
      <c r="Q7" s="741"/>
      <c r="R7" s="741"/>
      <c r="S7" s="741"/>
      <c r="T7" s="741"/>
      <c r="U7" s="741"/>
      <c r="V7" s="741"/>
      <c r="W7" s="741"/>
      <c r="X7" s="741"/>
      <c r="Y7" s="741"/>
      <c r="Z7" s="741"/>
      <c r="AA7" s="741"/>
      <c r="AB7" s="741"/>
      <c r="AC7" s="741"/>
      <c r="AD7" s="741"/>
      <c r="AE7" s="741"/>
    </row>
    <row r="8" spans="1:31" x14ac:dyDescent="0.25">
      <c r="A8" s="1463">
        <f ca="1">C8/C6</f>
        <v>0.17667844522968199</v>
      </c>
      <c r="B8" s="745" t="s">
        <v>571</v>
      </c>
      <c r="C8" s="748">
        <f ca="1">MIN(2000,D8)</f>
        <v>2000</v>
      </c>
      <c r="D8" s="1460">
        <f ca="1">ROUNDDOWN((C6*33%)/50,0)*50</f>
        <v>3700</v>
      </c>
      <c r="E8" s="741"/>
      <c r="F8" s="741"/>
      <c r="G8" s="742"/>
      <c r="H8" s="746">
        <f>H18-SUM(H10:H16)</f>
        <v>5745</v>
      </c>
      <c r="I8" s="741"/>
      <c r="J8" s="741"/>
      <c r="K8" s="741"/>
      <c r="L8" s="741"/>
      <c r="M8" s="741"/>
      <c r="N8" s="741"/>
      <c r="O8" s="741"/>
      <c r="P8" s="741"/>
      <c r="Q8" s="741"/>
      <c r="R8" s="741"/>
      <c r="S8" s="741"/>
      <c r="T8" s="741"/>
      <c r="U8" s="741"/>
      <c r="V8" s="741"/>
      <c r="W8" s="741"/>
      <c r="X8" s="741"/>
      <c r="Y8" s="741"/>
      <c r="Z8" s="741"/>
      <c r="AA8" s="741"/>
      <c r="AB8" s="741"/>
      <c r="AC8" s="741"/>
      <c r="AD8" s="741"/>
      <c r="AE8" s="741"/>
    </row>
    <row r="9" spans="1:31" x14ac:dyDescent="0.25">
      <c r="A9" s="741"/>
      <c r="B9" s="745" t="s">
        <v>573</v>
      </c>
      <c r="C9" s="748">
        <f ca="1">SUM(C6:C8)*2.5%</f>
        <v>358</v>
      </c>
      <c r="D9" s="1460"/>
      <c r="E9" s="741"/>
      <c r="F9" s="741"/>
      <c r="G9" s="742"/>
      <c r="H9" s="746"/>
      <c r="I9" s="741"/>
      <c r="J9" s="741"/>
      <c r="K9" s="741"/>
      <c r="L9" s="741"/>
      <c r="M9" s="741"/>
      <c r="N9" s="741"/>
      <c r="O9" s="741"/>
      <c r="P9" s="741"/>
      <c r="Q9" s="741"/>
      <c r="R9" s="741"/>
      <c r="S9" s="741"/>
      <c r="T9" s="741"/>
      <c r="U9" s="741"/>
      <c r="V9" s="741"/>
      <c r="W9" s="741"/>
      <c r="X9" s="741"/>
      <c r="Y9" s="741"/>
      <c r="Z9" s="741"/>
      <c r="AA9" s="741"/>
      <c r="AB9" s="741"/>
      <c r="AC9" s="741"/>
      <c r="AD9" s="741"/>
      <c r="AE9" s="741"/>
    </row>
    <row r="10" spans="1:31" x14ac:dyDescent="0.25">
      <c r="A10" s="1469">
        <v>0.18</v>
      </c>
      <c r="B10" s="745" t="s">
        <v>1</v>
      </c>
      <c r="C10" s="748">
        <f ca="1">(C6+C7+C9+C8)*18%</f>
        <v>2642.04</v>
      </c>
      <c r="D10" s="741"/>
      <c r="E10" s="741"/>
      <c r="F10" s="741"/>
      <c r="G10" s="742" t="s">
        <v>543</v>
      </c>
      <c r="H10" s="743">
        <f>C4*0.25%</f>
        <v>2500</v>
      </c>
      <c r="I10" s="741"/>
      <c r="J10" s="741"/>
      <c r="K10" s="741"/>
      <c r="L10" s="741"/>
      <c r="M10" s="741"/>
      <c r="N10" s="741"/>
      <c r="O10" s="741"/>
      <c r="P10" s="741"/>
      <c r="Q10" s="741"/>
      <c r="R10" s="741"/>
      <c r="S10" s="741"/>
      <c r="T10" s="741"/>
      <c r="U10" s="741"/>
      <c r="V10" s="741"/>
      <c r="W10" s="741"/>
      <c r="X10" s="741"/>
      <c r="Y10" s="741"/>
      <c r="Z10" s="741"/>
      <c r="AA10" s="741"/>
      <c r="AB10" s="741"/>
      <c r="AC10" s="741"/>
      <c r="AD10" s="741"/>
      <c r="AE10" s="741"/>
    </row>
    <row r="11" spans="1:31" ht="14" x14ac:dyDescent="0.25">
      <c r="A11" s="741"/>
      <c r="B11" s="745" t="s">
        <v>545</v>
      </c>
      <c r="C11" s="750">
        <f ca="1">SUM(C6:C10)*Administration!IR9</f>
        <v>17320.04</v>
      </c>
      <c r="D11" s="741"/>
      <c r="E11" s="741"/>
      <c r="F11" s="741"/>
      <c r="G11" s="742" t="s">
        <v>544</v>
      </c>
      <c r="H11" s="743">
        <f>C4*0.0625%</f>
        <v>625</v>
      </c>
      <c r="I11" s="741"/>
      <c r="J11" s="741"/>
      <c r="K11" s="741"/>
      <c r="L11" s="741"/>
      <c r="M11" s="741"/>
      <c r="N11" s="741"/>
      <c r="O11" s="741"/>
      <c r="P11" s="741"/>
      <c r="Q11" s="741"/>
      <c r="R11" s="741"/>
      <c r="S11" s="741"/>
      <c r="T11" s="741"/>
      <c r="U11" s="741"/>
      <c r="V11" s="741"/>
      <c r="W11" s="741"/>
      <c r="X11" s="741"/>
      <c r="Y11" s="741"/>
      <c r="Z11" s="741"/>
      <c r="AA11" s="741"/>
      <c r="AB11" s="741"/>
      <c r="AC11" s="741"/>
      <c r="AD11" s="741"/>
      <c r="AE11" s="741"/>
    </row>
    <row r="12" spans="1:31" x14ac:dyDescent="0.25">
      <c r="A12" s="741"/>
      <c r="B12" s="745"/>
      <c r="C12" s="745"/>
      <c r="D12" s="741"/>
      <c r="E12" s="741"/>
      <c r="F12" s="741"/>
      <c r="G12" s="742" t="s">
        <v>552</v>
      </c>
      <c r="H12" s="743">
        <f>IF(TW!L35="Yes",600,0)</f>
        <v>0</v>
      </c>
      <c r="J12" s="741"/>
      <c r="K12" s="741"/>
      <c r="L12" s="741">
        <v>300000</v>
      </c>
      <c r="M12" s="741">
        <v>700</v>
      </c>
      <c r="N12" s="741"/>
      <c r="O12" s="741"/>
      <c r="P12" s="741"/>
      <c r="Q12" s="741"/>
      <c r="R12" s="759">
        <f>VLOOKUP(C4,R4:S6,2,1)</f>
        <v>1.2120000000000001E-2</v>
      </c>
      <c r="S12" s="741"/>
      <c r="T12" s="741"/>
      <c r="U12" s="741"/>
      <c r="V12" s="741"/>
      <c r="W12" s="741"/>
      <c r="X12" s="741"/>
      <c r="Y12" s="741"/>
      <c r="Z12" s="741"/>
      <c r="AA12" s="741"/>
      <c r="AB12" s="741"/>
      <c r="AC12" s="741"/>
      <c r="AD12" s="741"/>
      <c r="AE12" s="741"/>
    </row>
    <row r="13" spans="1:31" x14ac:dyDescent="0.25">
      <c r="A13" s="741"/>
      <c r="B13" s="752"/>
      <c r="C13" s="752"/>
      <c r="D13" s="741"/>
      <c r="E13" s="741"/>
      <c r="F13" s="741"/>
      <c r="G13" s="742" t="s">
        <v>546</v>
      </c>
      <c r="H13" s="743">
        <f>H2*10%</f>
        <v>1750</v>
      </c>
      <c r="I13" s="741"/>
      <c r="J13" s="755" t="s">
        <v>551</v>
      </c>
      <c r="K13" s="741"/>
      <c r="L13" s="741">
        <v>500000</v>
      </c>
      <c r="M13" s="741">
        <v>1100</v>
      </c>
      <c r="N13" s="741"/>
      <c r="O13" s="741"/>
      <c r="P13" s="741"/>
      <c r="Q13" s="741"/>
      <c r="R13" s="744"/>
      <c r="S13" s="741"/>
      <c r="T13" s="741"/>
      <c r="U13" s="741"/>
      <c r="V13" s="741"/>
      <c r="W13" s="741"/>
      <c r="X13" s="741"/>
      <c r="Y13" s="741"/>
      <c r="Z13" s="741"/>
      <c r="AA13" s="741"/>
      <c r="AB13" s="741"/>
      <c r="AC13" s="741"/>
      <c r="AD13" s="741"/>
      <c r="AE13" s="741"/>
    </row>
    <row r="14" spans="1:31" ht="13" x14ac:dyDescent="0.25">
      <c r="A14" s="741"/>
      <c r="B14" s="741"/>
      <c r="C14" s="741"/>
      <c r="D14" s="741"/>
      <c r="E14" s="741"/>
      <c r="G14" s="742" t="s">
        <v>547</v>
      </c>
      <c r="H14" s="743"/>
      <c r="I14" s="760" t="s">
        <v>550</v>
      </c>
      <c r="J14" s="748">
        <f>(C4*R12)-800</f>
        <v>11320</v>
      </c>
      <c r="K14" s="741"/>
      <c r="L14" s="741">
        <v>1000000</v>
      </c>
      <c r="M14" s="741">
        <v>2200</v>
      </c>
      <c r="N14" s="741"/>
      <c r="O14" s="741"/>
      <c r="P14" s="741"/>
      <c r="Q14" s="741"/>
      <c r="R14" s="741"/>
      <c r="S14" s="741"/>
      <c r="T14" s="741"/>
      <c r="U14" s="741"/>
      <c r="V14" s="741"/>
      <c r="W14" s="741"/>
      <c r="X14" s="741"/>
      <c r="Y14" s="741"/>
      <c r="Z14" s="741"/>
      <c r="AA14" s="741"/>
      <c r="AB14" s="741"/>
      <c r="AC14" s="741"/>
      <c r="AD14" s="741"/>
      <c r="AE14" s="741"/>
    </row>
    <row r="15" spans="1:31" x14ac:dyDescent="0.25">
      <c r="A15" s="741"/>
      <c r="B15" s="741"/>
      <c r="C15" s="741">
        <v>7594.02</v>
      </c>
      <c r="D15" s="741"/>
      <c r="E15" s="741"/>
      <c r="F15" s="741"/>
      <c r="G15" s="742" t="s">
        <v>37</v>
      </c>
      <c r="H15" s="751">
        <f>VLOOKUP(TW!R33,'TW Working'!L12:M14,2,FALSE)</f>
        <v>700</v>
      </c>
      <c r="I15" s="741"/>
      <c r="J15" s="741" t="s">
        <v>572</v>
      </c>
      <c r="K15" s="741"/>
      <c r="L15" s="741"/>
      <c r="M15" s="741"/>
      <c r="N15" s="741"/>
      <c r="O15" s="741"/>
      <c r="P15" s="741"/>
      <c r="Q15" s="741"/>
      <c r="R15" s="741"/>
      <c r="S15" s="741"/>
      <c r="T15" s="741"/>
      <c r="U15" s="741"/>
      <c r="V15" s="741"/>
      <c r="W15" s="741"/>
      <c r="X15" s="741"/>
      <c r="Y15" s="741"/>
      <c r="Z15" s="741"/>
      <c r="AA15" s="741"/>
      <c r="AB15" s="741"/>
      <c r="AC15" s="741"/>
      <c r="AD15" s="741"/>
      <c r="AE15" s="741"/>
    </row>
    <row r="16" spans="1:31" ht="13" thickBot="1" x14ac:dyDescent="0.3">
      <c r="A16" s="741"/>
      <c r="B16" s="741"/>
      <c r="C16" s="741"/>
      <c r="D16" s="741"/>
      <c r="E16" s="741"/>
      <c r="F16" s="741"/>
      <c r="G16" s="742" t="s">
        <v>548</v>
      </c>
      <c r="H16" s="751"/>
      <c r="I16" s="741"/>
      <c r="J16" s="747"/>
      <c r="K16" s="741"/>
      <c r="L16" s="741"/>
      <c r="M16" s="741"/>
      <c r="N16" s="741"/>
      <c r="O16" s="741"/>
      <c r="P16" s="741"/>
      <c r="Q16" s="741"/>
      <c r="R16" s="741"/>
      <c r="S16" s="741"/>
      <c r="T16" s="741"/>
      <c r="U16" s="741"/>
      <c r="V16" s="741"/>
      <c r="W16" s="741"/>
      <c r="X16" s="741"/>
      <c r="Y16" s="741"/>
      <c r="Z16" s="741"/>
      <c r="AA16" s="741"/>
      <c r="AB16" s="741"/>
      <c r="AC16" s="741"/>
      <c r="AD16" s="741"/>
      <c r="AE16" s="741"/>
    </row>
    <row r="17" spans="1:31" ht="14.5" thickBot="1" x14ac:dyDescent="0.35">
      <c r="A17" s="741"/>
      <c r="B17" s="741"/>
      <c r="C17" s="741"/>
      <c r="D17" s="741"/>
      <c r="E17" s="741"/>
      <c r="F17" s="1464">
        <f ca="1">TODAY()</f>
        <v>45346</v>
      </c>
      <c r="G17" s="1465" t="s">
        <v>577</v>
      </c>
      <c r="H17" s="1466"/>
      <c r="I17" s="741"/>
      <c r="J17" s="741"/>
      <c r="K17" s="741"/>
      <c r="L17" s="741"/>
      <c r="M17" s="741"/>
      <c r="N17" s="741"/>
      <c r="O17" s="741"/>
      <c r="P17" s="741"/>
      <c r="Q17" s="741"/>
      <c r="R17" s="741"/>
      <c r="S17" s="741"/>
      <c r="T17" s="741"/>
      <c r="U17" s="741"/>
      <c r="V17" s="741"/>
      <c r="W17" s="741"/>
      <c r="X17" s="741"/>
      <c r="Y17" s="741"/>
      <c r="Z17" s="741"/>
      <c r="AA17" s="741"/>
      <c r="AB17" s="741"/>
      <c r="AC17" s="741"/>
      <c r="AD17" s="741"/>
      <c r="AE17" s="741"/>
    </row>
    <row r="18" spans="1:31" x14ac:dyDescent="0.25">
      <c r="A18" s="741"/>
      <c r="B18" s="741"/>
      <c r="C18" s="741"/>
      <c r="D18" s="741"/>
      <c r="E18" s="741"/>
      <c r="F18" s="741"/>
      <c r="G18" s="742"/>
      <c r="H18" s="753">
        <f>J14+(H15-700)+H6+H5+H12+H17</f>
        <v>11320</v>
      </c>
      <c r="I18" s="741"/>
      <c r="J18" s="741"/>
      <c r="K18" s="741"/>
      <c r="L18" s="741"/>
      <c r="M18" s="741"/>
      <c r="N18" s="741"/>
      <c r="O18" s="741"/>
      <c r="P18" s="741"/>
      <c r="Q18" s="741"/>
      <c r="R18" s="741"/>
      <c r="S18" s="741"/>
      <c r="T18" s="741"/>
      <c r="U18" s="741"/>
      <c r="V18" s="741"/>
      <c r="W18" s="741"/>
      <c r="X18" s="741"/>
      <c r="Y18" s="741"/>
      <c r="Z18" s="741"/>
      <c r="AA18" s="741"/>
      <c r="AB18" s="741"/>
      <c r="AC18" s="741"/>
      <c r="AD18" s="741"/>
      <c r="AE18" s="741"/>
    </row>
    <row r="19" spans="1:31" x14ac:dyDescent="0.25">
      <c r="A19" s="741"/>
      <c r="B19" s="741"/>
      <c r="C19" s="741"/>
      <c r="D19" s="741"/>
      <c r="E19" s="741"/>
      <c r="F19" s="741"/>
      <c r="G19" s="745" t="s">
        <v>545</v>
      </c>
      <c r="H19" s="754">
        <f ca="1">C11</f>
        <v>17320.04</v>
      </c>
      <c r="I19" s="741"/>
      <c r="J19" s="741"/>
      <c r="K19" s="741"/>
      <c r="L19" s="741"/>
      <c r="M19" s="741"/>
      <c r="N19" s="741"/>
      <c r="O19" s="741"/>
      <c r="P19" s="741"/>
      <c r="Q19" s="741"/>
      <c r="R19" s="741"/>
      <c r="S19" s="741"/>
      <c r="T19" s="741"/>
      <c r="U19" s="741"/>
      <c r="V19" s="741"/>
      <c r="W19" s="741"/>
      <c r="X19" s="741"/>
      <c r="Y19" s="741"/>
      <c r="Z19" s="741"/>
      <c r="AA19" s="741"/>
      <c r="AB19" s="741"/>
      <c r="AC19" s="741"/>
      <c r="AD19" s="741"/>
      <c r="AE19" s="741"/>
    </row>
    <row r="20" spans="1:31" x14ac:dyDescent="0.25">
      <c r="A20" s="741"/>
      <c r="B20" s="741"/>
      <c r="C20" s="741"/>
      <c r="D20" s="741"/>
      <c r="E20" s="741"/>
      <c r="F20" s="741"/>
      <c r="G20" s="741"/>
      <c r="H20" s="741"/>
      <c r="I20" s="741"/>
      <c r="J20" s="741"/>
      <c r="K20" s="741"/>
      <c r="L20" s="741"/>
      <c r="M20" s="741"/>
      <c r="N20" s="741"/>
      <c r="O20" s="741"/>
      <c r="P20" s="741"/>
      <c r="Q20" s="741"/>
      <c r="R20" s="741"/>
      <c r="S20" s="741"/>
      <c r="T20" s="741"/>
      <c r="U20" s="741"/>
      <c r="V20" s="741"/>
      <c r="W20" s="741"/>
      <c r="X20" s="741"/>
      <c r="Y20" s="741"/>
      <c r="Z20" s="741"/>
      <c r="AA20" s="741"/>
      <c r="AB20" s="741"/>
      <c r="AC20" s="741"/>
      <c r="AD20" s="741"/>
      <c r="AE20" s="741"/>
    </row>
    <row r="21" spans="1:31" hidden="1" x14ac:dyDescent="0.25">
      <c r="A21" s="741"/>
      <c r="B21" s="741"/>
      <c r="C21" s="741"/>
      <c r="D21" s="741"/>
      <c r="E21" s="741"/>
      <c r="F21" s="741"/>
      <c r="G21" s="741"/>
      <c r="H21" s="741"/>
      <c r="I21" s="741"/>
      <c r="J21" s="741"/>
      <c r="K21" s="741"/>
      <c r="L21" s="741"/>
      <c r="M21" s="741"/>
      <c r="N21" s="741"/>
      <c r="O21" s="741"/>
      <c r="P21" s="741"/>
      <c r="Q21" s="741"/>
      <c r="R21" s="741"/>
      <c r="S21" s="741"/>
      <c r="T21" s="741"/>
      <c r="U21" s="741"/>
      <c r="V21" s="741"/>
      <c r="W21" s="741"/>
      <c r="X21" s="741"/>
      <c r="Y21" s="741"/>
      <c r="Z21" s="741"/>
      <c r="AA21" s="741"/>
      <c r="AB21" s="741"/>
      <c r="AC21" s="741"/>
      <c r="AD21" s="741"/>
      <c r="AE21" s="741"/>
    </row>
    <row r="22" spans="1:31" hidden="1" x14ac:dyDescent="0.25">
      <c r="A22" s="741"/>
      <c r="B22" s="741"/>
      <c r="C22" s="741"/>
      <c r="D22" s="741"/>
      <c r="E22" s="741"/>
      <c r="F22" s="741"/>
      <c r="G22" s="741"/>
      <c r="H22" s="741"/>
      <c r="I22" s="741"/>
      <c r="J22" s="741"/>
      <c r="K22" s="741"/>
      <c r="L22" s="741"/>
      <c r="M22" s="741"/>
      <c r="N22" s="741"/>
      <c r="O22" s="741"/>
      <c r="P22" s="741"/>
      <c r="Q22" s="741"/>
      <c r="R22" s="741"/>
      <c r="S22" s="741"/>
      <c r="T22" s="741"/>
      <c r="U22" s="741"/>
      <c r="V22" s="741"/>
      <c r="W22" s="741"/>
      <c r="X22" s="741"/>
      <c r="Y22" s="741"/>
      <c r="Z22" s="741"/>
      <c r="AA22" s="741"/>
      <c r="AB22" s="741"/>
      <c r="AC22" s="741"/>
      <c r="AD22" s="741"/>
      <c r="AE22" s="741"/>
    </row>
    <row r="23" spans="1:31" hidden="1" x14ac:dyDescent="0.25">
      <c r="G23" s="741"/>
      <c r="H23" s="741"/>
    </row>
  </sheetData>
  <sheetProtection password="F6CE" sheet="1" formatCells="0" formatColumns="0" formatRows="0" insertColumns="0" insertRows="0" insertHyperlinks="0" deleteColumns="0" deleteRows="0" sort="0" autoFilter="0" pivotTables="0"/>
  <mergeCells count="1">
    <mergeCell ref="R3:S3"/>
  </mergeCells>
  <conditionalFormatting sqref="H17">
    <cfRule type="expression" dxfId="225" priority="1" stopIfTrue="1">
      <formula>G17=1</formula>
    </cfRule>
  </conditionalFormatting>
  <dataValidations disablePrompts="1" count="1">
    <dataValidation type="decimal" operator="greaterThanOrEqual" allowBlank="1" showInputMessage="1" showErrorMessage="1" sqref="C4" xr:uid="{00000000-0002-0000-0400-000000000000}">
      <formula1>500000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T40"/>
  <sheetViews>
    <sheetView showGridLines="0" topLeftCell="IG1" workbookViewId="0">
      <selection activeCell="IT5" sqref="IT5"/>
    </sheetView>
  </sheetViews>
  <sheetFormatPr defaultColWidth="9.1796875" defaultRowHeight="25" customHeight="1" x14ac:dyDescent="0.25"/>
  <cols>
    <col min="1" max="1" width="13.453125" style="766" customWidth="1"/>
    <col min="2" max="2" width="9.1796875" style="766"/>
    <col min="3" max="3" width="6.1796875" style="766" customWidth="1"/>
    <col min="4" max="4" width="11.453125" style="766" customWidth="1"/>
    <col min="5" max="5" width="5" style="766" customWidth="1"/>
    <col min="6" max="6" width="5.54296875" style="766" customWidth="1"/>
    <col min="7" max="7" width="23.1796875" style="766" customWidth="1"/>
    <col min="8" max="8" width="9.1796875" style="766"/>
    <col min="9" max="9" width="10.453125" style="766" customWidth="1"/>
    <col min="10" max="10" width="41.1796875" style="766" customWidth="1"/>
    <col min="11" max="12" width="9.1796875" style="766"/>
    <col min="13" max="13" width="1.81640625" style="766" customWidth="1"/>
    <col min="14" max="14" width="17.453125" style="766" customWidth="1"/>
    <col min="15" max="15" width="20.54296875" style="766" customWidth="1"/>
    <col min="16" max="16384" width="9.1796875" style="766"/>
  </cols>
  <sheetData>
    <row r="1" spans="1:254" ht="25" customHeight="1" thickBot="1" x14ac:dyDescent="0.35">
      <c r="A1" s="1618" t="s">
        <v>218</v>
      </c>
      <c r="B1" s="1619"/>
      <c r="C1" s="1619"/>
      <c r="D1" s="1620"/>
      <c r="E1" s="765"/>
    </row>
    <row r="2" spans="1:254" ht="14.25" customHeight="1" x14ac:dyDescent="0.25"/>
    <row r="3" spans="1:254" ht="20.25" customHeight="1" x14ac:dyDescent="0.3">
      <c r="A3" s="767"/>
      <c r="G3" s="768">
        <f>IF(IS5="January",1,IF(IS5="February",2,IF(IS5="March",3,IF(IS5="April",4,IF(IS5="May",5,IF(IS5="June",6,IF(IS5="July",7,IF(IS5="August",8,H3))))))))</f>
        <v>5</v>
      </c>
      <c r="H3" s="768">
        <f>IF(IS5="September",9,IF(IS5="October",10,IF(IS5="November",11,12)))</f>
        <v>12</v>
      </c>
      <c r="I3" s="769">
        <f>DATE(IR5,G3,IT5)</f>
        <v>45413</v>
      </c>
      <c r="J3" s="768">
        <f>IF(M3=0,29,28)</f>
        <v>29</v>
      </c>
      <c r="K3" s="770">
        <f>YEAR(I3)/4</f>
        <v>506</v>
      </c>
      <c r="L3" s="770">
        <f>ROUND(K3,0)</f>
        <v>506</v>
      </c>
      <c r="M3" s="768">
        <f>K3-L3</f>
        <v>0</v>
      </c>
      <c r="N3" s="771" t="s">
        <v>235</v>
      </c>
      <c r="Q3" s="772" t="s">
        <v>206</v>
      </c>
    </row>
    <row r="4" spans="1:254" ht="25" customHeight="1" thickBot="1" x14ac:dyDescent="0.35">
      <c r="A4" s="773"/>
      <c r="G4" s="774"/>
      <c r="H4" s="774"/>
      <c r="I4" s="775"/>
      <c r="J4" s="775"/>
      <c r="K4" s="775"/>
      <c r="L4" s="765"/>
      <c r="M4" s="765"/>
      <c r="N4" s="776" t="s">
        <v>236</v>
      </c>
      <c r="O4" s="777" t="s">
        <v>177</v>
      </c>
      <c r="Q4" s="766">
        <v>1</v>
      </c>
      <c r="IR4" s="778" t="s">
        <v>204</v>
      </c>
      <c r="IS4" s="778" t="s">
        <v>205</v>
      </c>
      <c r="IT4" s="778" t="s">
        <v>206</v>
      </c>
    </row>
    <row r="5" spans="1:254" ht="25" customHeight="1" thickBot="1" x14ac:dyDescent="0.35">
      <c r="A5" s="767" t="s">
        <v>207</v>
      </c>
      <c r="C5" s="1621" t="str">
        <f>H5</f>
        <v/>
      </c>
      <c r="D5" s="1622"/>
      <c r="E5" s="1623"/>
      <c r="G5" s="774"/>
      <c r="H5" s="774" t="str">
        <f>IF('MC Working'!$H$65530=N4,O4,IF('MC Working'!$H$65530=N5,O5,IF('MC Working'!$H$65530=N6,O6,IF('MC Working'!$H$65530=N7,O7,IF('MC Working'!$H$65530=N8,O8,IF('MC Working'!$H$65530=N9,O9,IF('MC Working'!$H$65530=N10,O10,IF('MC Working'!$H$65530=N11,O11,I5))))))))</f>
        <v/>
      </c>
      <c r="I5" s="774" t="str">
        <f>IF('MC Working'!$H$65530=N12,O12,IF('MC Working'!$H$65530=N13,O13,IF('MC Working'!$H$65530=N14,O14,IF('MC Working'!$H$65530=N15,O15,IF('MC Working'!$H$65530=N16,O16,IF('MC Working'!$H$65530=N17,O17,IF('MC Working'!$H$65530=N18,O18,IF('MC Working'!$H$65530=N19,O19,J5))))))))</f>
        <v/>
      </c>
      <c r="J5" s="774" t="str">
        <f>IF('MC Working'!$H$65530=N20,O20,IF('MC Working'!$H$65530=N21,O21,IF('MC Working'!$H$65530=N22,O22,IF('MC Working'!$H$65530=N23,O23,IF('MC Working'!$H$65530=N24,O24,IF('MC Working'!$H$65530=N25,O25,IF('MC Working'!$H$65530=N26,O26,IF('MC Working'!$H$65530=N27,O27,K5))))))))</f>
        <v/>
      </c>
      <c r="K5" s="774" t="str">
        <f>IF('MC Working'!$H$65530=N28,O28,IF('MC Working'!$H$65530=N29,O29,IF('MC Working'!$H$65530=N30,O30,IF('MC Working'!$H$65530=N31,O31,""))))</f>
        <v/>
      </c>
      <c r="N5" s="776" t="s">
        <v>237</v>
      </c>
      <c r="O5" s="777" t="s">
        <v>178</v>
      </c>
      <c r="Q5" s="766">
        <f>Q4+1</f>
        <v>2</v>
      </c>
      <c r="IR5" s="779">
        <v>2024</v>
      </c>
      <c r="IS5" s="779" t="s">
        <v>348</v>
      </c>
      <c r="IT5" s="779">
        <v>1</v>
      </c>
    </row>
    <row r="6" spans="1:254" ht="25" customHeight="1" thickBot="1" x14ac:dyDescent="0.3">
      <c r="G6" s="774"/>
      <c r="H6" s="774"/>
      <c r="I6" s="774"/>
      <c r="J6" s="780" t="s">
        <v>417</v>
      </c>
      <c r="K6" s="774"/>
      <c r="N6" s="776" t="s">
        <v>241</v>
      </c>
      <c r="O6" s="777" t="s">
        <v>179</v>
      </c>
      <c r="Q6" s="766">
        <f t="shared" ref="Q6:Q31" si="0">Q5+1</f>
        <v>3</v>
      </c>
    </row>
    <row r="7" spans="1:254" ht="25" customHeight="1" thickBot="1" x14ac:dyDescent="0.35">
      <c r="A7" s="767" t="s">
        <v>208</v>
      </c>
      <c r="C7" s="766" t="s">
        <v>175</v>
      </c>
      <c r="F7" s="781" t="s">
        <v>78</v>
      </c>
      <c r="G7" s="774" t="str">
        <f t="shared" ref="G7:G17" si="1">IF(F7="Yes",C7,"")</f>
        <v>Motor Car</v>
      </c>
      <c r="H7" s="774">
        <f>IF(F7="Yes",1,0)</f>
        <v>1</v>
      </c>
      <c r="I7" s="774" t="str">
        <f>IF(H7=1,C7,IF(H8=1,C8,IF(H9=1,C9,IF(H10=1,C10,IF(H11=1,C16,IF(H12=1,C11,IF(I5=1,C12,IF(H14=1,C13,J15))))))))</f>
        <v>Motor Car</v>
      </c>
      <c r="J7" s="780" t="s">
        <v>382</v>
      </c>
      <c r="K7" s="774"/>
      <c r="N7" s="776" t="s">
        <v>239</v>
      </c>
      <c r="O7" s="777" t="s">
        <v>180</v>
      </c>
      <c r="Q7" s="766">
        <f t="shared" si="0"/>
        <v>4</v>
      </c>
      <c r="IR7" s="1624">
        <f>I3</f>
        <v>45413</v>
      </c>
      <c r="IS7" s="1624"/>
      <c r="IT7" s="1624"/>
    </row>
    <row r="8" spans="1:254" ht="17.149999999999999" customHeight="1" thickBot="1" x14ac:dyDescent="0.3">
      <c r="C8" s="766" t="s">
        <v>209</v>
      </c>
      <c r="F8" s="781" t="s">
        <v>78</v>
      </c>
      <c r="G8" s="774" t="str">
        <f t="shared" si="1"/>
        <v>Jeep</v>
      </c>
      <c r="H8" s="774">
        <f>IF(F8="Yes",1,0)</f>
        <v>1</v>
      </c>
      <c r="I8" s="774"/>
      <c r="J8" s="780" t="s">
        <v>383</v>
      </c>
      <c r="K8" s="774"/>
      <c r="N8" s="776" t="s">
        <v>240</v>
      </c>
      <c r="O8" s="777" t="s">
        <v>181</v>
      </c>
      <c r="Q8" s="766">
        <f t="shared" si="0"/>
        <v>5</v>
      </c>
    </row>
    <row r="9" spans="1:254" ht="17.149999999999999" customHeight="1" thickBot="1" x14ac:dyDescent="0.3">
      <c r="C9" s="766" t="s">
        <v>210</v>
      </c>
      <c r="F9" s="781" t="s">
        <v>78</v>
      </c>
      <c r="G9" s="774" t="str">
        <f t="shared" si="1"/>
        <v>Dual Purpose</v>
      </c>
      <c r="H9" s="774">
        <f>IF(F9="Yes",1,0)</f>
        <v>1</v>
      </c>
      <c r="I9" s="774"/>
      <c r="J9" s="780" t="s">
        <v>390</v>
      </c>
      <c r="K9" s="774"/>
      <c r="N9" s="776" t="s">
        <v>238</v>
      </c>
      <c r="O9" s="777" t="s">
        <v>182</v>
      </c>
      <c r="Q9" s="766">
        <f t="shared" si="0"/>
        <v>6</v>
      </c>
    </row>
    <row r="10" spans="1:254" ht="17.149999999999999" customHeight="1" thickBot="1" x14ac:dyDescent="0.3">
      <c r="C10" s="766" t="s">
        <v>211</v>
      </c>
      <c r="F10" s="781" t="s">
        <v>78</v>
      </c>
      <c r="G10" s="774" t="str">
        <f t="shared" si="1"/>
        <v>Motor Coach</v>
      </c>
      <c r="H10" s="774">
        <f>IF(F10="Yes",1,0)</f>
        <v>1</v>
      </c>
      <c r="I10" s="774"/>
      <c r="J10" s="780" t="s">
        <v>427</v>
      </c>
      <c r="K10" s="774"/>
      <c r="N10" s="776" t="s">
        <v>261</v>
      </c>
      <c r="O10" s="777" t="s">
        <v>183</v>
      </c>
      <c r="Q10" s="766">
        <f t="shared" si="0"/>
        <v>7</v>
      </c>
    </row>
    <row r="11" spans="1:254" ht="17.149999999999999" customHeight="1" thickBot="1" x14ac:dyDescent="0.3">
      <c r="C11" s="766" t="s">
        <v>359</v>
      </c>
      <c r="F11" s="781" t="s">
        <v>78</v>
      </c>
      <c r="G11" s="774" t="str">
        <f t="shared" si="1"/>
        <v>Motor Lorry</v>
      </c>
      <c r="H11" s="774">
        <f>IF(F16="Yes",1,0)</f>
        <v>1</v>
      </c>
      <c r="I11" s="774"/>
      <c r="J11" s="780" t="s">
        <v>431</v>
      </c>
      <c r="K11" s="774"/>
      <c r="N11" s="776" t="s">
        <v>242</v>
      </c>
      <c r="O11" s="777" t="s">
        <v>184</v>
      </c>
      <c r="Q11" s="766">
        <f t="shared" si="0"/>
        <v>8</v>
      </c>
    </row>
    <row r="12" spans="1:254" ht="17.149999999999999" customHeight="1" thickBot="1" x14ac:dyDescent="0.3">
      <c r="C12" s="766" t="s">
        <v>212</v>
      </c>
      <c r="F12" s="781" t="s">
        <v>78</v>
      </c>
      <c r="G12" s="774" t="str">
        <f t="shared" si="1"/>
        <v>Three Wheeler</v>
      </c>
      <c r="H12" s="774">
        <f>IF(F11="Yes",1,0)</f>
        <v>1</v>
      </c>
      <c r="I12" s="774"/>
      <c r="J12" s="780" t="s">
        <v>384</v>
      </c>
      <c r="K12" s="774"/>
      <c r="N12" s="776" t="s">
        <v>243</v>
      </c>
      <c r="O12" s="777" t="s">
        <v>185</v>
      </c>
      <c r="Q12" s="766">
        <f t="shared" si="0"/>
        <v>9</v>
      </c>
    </row>
    <row r="13" spans="1:254" ht="17.149999999999999" customHeight="1" thickBot="1" x14ac:dyDescent="0.3">
      <c r="C13" s="766" t="s">
        <v>214</v>
      </c>
      <c r="F13" s="781" t="s">
        <v>78</v>
      </c>
      <c r="G13" s="774" t="str">
        <f t="shared" si="1"/>
        <v>Motor Cycle (Chinese)</v>
      </c>
      <c r="H13" s="774">
        <f>IF(F12="Yes",1,0)</f>
        <v>1</v>
      </c>
      <c r="I13" s="774"/>
      <c r="J13" s="780" t="s">
        <v>416</v>
      </c>
      <c r="K13" s="774"/>
      <c r="N13" s="776" t="s">
        <v>262</v>
      </c>
      <c r="O13" s="777" t="s">
        <v>186</v>
      </c>
      <c r="Q13" s="766">
        <f t="shared" si="0"/>
        <v>10</v>
      </c>
    </row>
    <row r="14" spans="1:254" ht="17.149999999999999" customHeight="1" thickBot="1" x14ac:dyDescent="0.3">
      <c r="C14" s="766" t="s">
        <v>361</v>
      </c>
      <c r="F14" s="781" t="s">
        <v>78</v>
      </c>
      <c r="G14" s="774" t="str">
        <f t="shared" si="1"/>
        <v>Motor Cycle</v>
      </c>
      <c r="H14" s="774">
        <f>IF(F13="Yes",1,0)</f>
        <v>1</v>
      </c>
      <c r="I14" s="774"/>
      <c r="J14" s="780" t="s">
        <v>440</v>
      </c>
      <c r="K14" s="774"/>
      <c r="N14" s="776" t="s">
        <v>263</v>
      </c>
      <c r="O14" s="777" t="s">
        <v>187</v>
      </c>
      <c r="Q14" s="766">
        <f t="shared" si="0"/>
        <v>11</v>
      </c>
    </row>
    <row r="15" spans="1:254" ht="17.149999999999999" customHeight="1" thickBot="1" x14ac:dyDescent="0.3">
      <c r="C15" s="766" t="s">
        <v>215</v>
      </c>
      <c r="F15" s="781" t="s">
        <v>78</v>
      </c>
      <c r="G15" s="774" t="str">
        <f t="shared" si="1"/>
        <v>Tractor</v>
      </c>
      <c r="H15" s="774">
        <f>IF(F14="Yes",1,0)</f>
        <v>1</v>
      </c>
      <c r="I15" s="774"/>
      <c r="J15" s="780" t="s">
        <v>420</v>
      </c>
      <c r="K15" s="774"/>
      <c r="N15" s="776" t="s">
        <v>244</v>
      </c>
      <c r="O15" s="777" t="s">
        <v>188</v>
      </c>
      <c r="Q15" s="766">
        <f t="shared" si="0"/>
        <v>12</v>
      </c>
    </row>
    <row r="16" spans="1:254" ht="17.149999999999999" customHeight="1" thickBot="1" x14ac:dyDescent="0.3">
      <c r="C16" s="766" t="s">
        <v>213</v>
      </c>
      <c r="F16" s="781" t="s">
        <v>78</v>
      </c>
      <c r="G16" s="774" t="str">
        <f t="shared" si="1"/>
        <v>Motor Lorry (Chinese)</v>
      </c>
      <c r="H16" s="774">
        <f>IF(F15="Yes",1,0)</f>
        <v>1</v>
      </c>
      <c r="I16" s="774"/>
      <c r="J16" s="780" t="s">
        <v>424</v>
      </c>
      <c r="K16" s="774"/>
      <c r="N16" s="776" t="s">
        <v>245</v>
      </c>
      <c r="O16" s="777" t="s">
        <v>189</v>
      </c>
      <c r="Q16" s="766">
        <f t="shared" si="0"/>
        <v>13</v>
      </c>
    </row>
    <row r="17" spans="1:17" ht="17.149999999999999" customHeight="1" thickBot="1" x14ac:dyDescent="0.3">
      <c r="C17" s="766" t="s">
        <v>216</v>
      </c>
      <c r="F17" s="781" t="s">
        <v>78</v>
      </c>
      <c r="G17" s="774" t="str">
        <f t="shared" si="1"/>
        <v>Others</v>
      </c>
      <c r="H17" s="774">
        <f>IF(F17="Yes",1,0)</f>
        <v>1</v>
      </c>
      <c r="I17" s="782"/>
      <c r="J17" s="780" t="s">
        <v>391</v>
      </c>
      <c r="K17" s="774"/>
      <c r="N17" s="776" t="s">
        <v>246</v>
      </c>
      <c r="O17" s="777" t="s">
        <v>190</v>
      </c>
      <c r="Q17" s="766">
        <f t="shared" si="0"/>
        <v>14</v>
      </c>
    </row>
    <row r="18" spans="1:17" ht="17.149999999999999" customHeight="1" x14ac:dyDescent="0.25">
      <c r="H18" s="774"/>
      <c r="I18" s="782"/>
      <c r="J18" s="780" t="s">
        <v>386</v>
      </c>
      <c r="K18" s="774"/>
      <c r="N18" s="776" t="s">
        <v>247</v>
      </c>
      <c r="O18" s="777" t="s">
        <v>191</v>
      </c>
      <c r="Q18" s="766">
        <f t="shared" si="0"/>
        <v>15</v>
      </c>
    </row>
    <row r="19" spans="1:17" ht="17.149999999999999" customHeight="1" thickBot="1" x14ac:dyDescent="0.3">
      <c r="G19" s="774"/>
      <c r="H19" s="774"/>
      <c r="I19" s="774"/>
      <c r="J19" s="780" t="s">
        <v>387</v>
      </c>
      <c r="K19" s="774"/>
      <c r="N19" s="776" t="s">
        <v>248</v>
      </c>
      <c r="O19" s="777" t="s">
        <v>192</v>
      </c>
      <c r="Q19" s="766">
        <f t="shared" si="0"/>
        <v>16</v>
      </c>
    </row>
    <row r="20" spans="1:17" ht="17.149999999999999" customHeight="1" thickBot="1" x14ac:dyDescent="0.3">
      <c r="A20" s="783" t="s">
        <v>35</v>
      </c>
      <c r="C20" s="766" t="s">
        <v>323</v>
      </c>
      <c r="F20" s="781" t="s">
        <v>78</v>
      </c>
      <c r="G20" s="774" t="str">
        <f>IF(F20="Yes",C20,"")</f>
        <v>Private Use Only</v>
      </c>
      <c r="H20" s="774"/>
      <c r="I20" s="774" t="str">
        <f>IF(G20&lt;&gt;"",G20,IF(G21&lt;&gt;"",G21,IF(G22&lt;&gt;"",G22,IF(G23&lt;&gt;"",G23,IF(G24&lt;&gt;"",G24,"")))))</f>
        <v>Private Use Only</v>
      </c>
      <c r="J20" s="780" t="s">
        <v>429</v>
      </c>
      <c r="K20" s="774"/>
      <c r="N20" s="776" t="s">
        <v>249</v>
      </c>
      <c r="O20" s="777" t="s">
        <v>176</v>
      </c>
      <c r="Q20" s="766">
        <f t="shared" si="0"/>
        <v>17</v>
      </c>
    </row>
    <row r="21" spans="1:17" ht="17.149999999999999" customHeight="1" thickBot="1" x14ac:dyDescent="0.3">
      <c r="C21" s="766" t="s">
        <v>41</v>
      </c>
      <c r="F21" s="781" t="s">
        <v>78</v>
      </c>
      <c r="G21" s="774" t="str">
        <f>IF(F21="Yes",C21,"")</f>
        <v>Hiring</v>
      </c>
      <c r="I21" s="774" t="str">
        <f>IF(AND(G21&lt;&gt;"",G21&lt;&gt;I20),G21,IF(AND(G22&lt;&gt;"",G22&lt;&gt;I20),G22,IF(AND(G23&lt;&gt;"",G23&lt;&gt;I20),G23,IF(AND(G24&lt;&gt;"",G24&lt;&gt;I20),G24,""))))</f>
        <v>Hiring</v>
      </c>
      <c r="J21" s="780" t="s">
        <v>388</v>
      </c>
      <c r="K21" s="774"/>
      <c r="N21" s="776" t="s">
        <v>250</v>
      </c>
      <c r="O21" s="777" t="s">
        <v>193</v>
      </c>
      <c r="Q21" s="766">
        <f t="shared" si="0"/>
        <v>18</v>
      </c>
    </row>
    <row r="22" spans="1:17" ht="18" customHeight="1" thickBot="1" x14ac:dyDescent="0.3">
      <c r="C22" s="766" t="s">
        <v>7</v>
      </c>
      <c r="F22" s="781" t="s">
        <v>78</v>
      </c>
      <c r="G22" s="774" t="str">
        <f>IF(F22="Yes",C22,"")</f>
        <v>Rent A Vehicle</v>
      </c>
      <c r="H22" s="774"/>
      <c r="I22" s="774" t="str">
        <f>IF(AND(G22&lt;&gt;"",G22&lt;&gt;I21,G22&lt;&gt;I20),G22,IF(AND(G23&lt;&gt;"",G23&lt;&gt;I21,G23&lt;&gt;I20),G23,IF(AND(G24&lt;&gt;"",G24&lt;&gt;I20,G24&lt;&gt;I21),G24,"")))</f>
        <v>Rent A Vehicle</v>
      </c>
      <c r="J22" s="780" t="s">
        <v>423</v>
      </c>
      <c r="K22" s="774"/>
      <c r="N22" s="776" t="s">
        <v>251</v>
      </c>
      <c r="O22" s="777" t="s">
        <v>194</v>
      </c>
      <c r="Q22" s="766">
        <f t="shared" si="0"/>
        <v>19</v>
      </c>
    </row>
    <row r="23" spans="1:17" ht="18" customHeight="1" thickBot="1" x14ac:dyDescent="0.3">
      <c r="C23" s="766" t="s">
        <v>219</v>
      </c>
      <c r="F23" s="781" t="s">
        <v>78</v>
      </c>
      <c r="G23" s="774" t="str">
        <f>IF(F23="Yes",C23,"")</f>
        <v xml:space="preserve">SLTB Route </v>
      </c>
      <c r="H23" s="774"/>
      <c r="I23" s="774" t="str">
        <f>IF(AND(G23&lt;&gt;"",I20&lt;&gt;G23,I21&lt;&gt;G23,I22&lt;&gt;G23),G23,IF(AND(G24&lt;&gt;"",G24&lt;&gt;I20,G24&lt;&gt;I21,G24&lt;&gt;I22),G24,""))</f>
        <v xml:space="preserve">SLTB Route </v>
      </c>
      <c r="J23" s="780" t="s">
        <v>422</v>
      </c>
      <c r="K23" s="774"/>
      <c r="N23" s="776" t="s">
        <v>252</v>
      </c>
      <c r="O23" s="777" t="s">
        <v>195</v>
      </c>
      <c r="Q23" s="766">
        <f t="shared" si="0"/>
        <v>20</v>
      </c>
    </row>
    <row r="24" spans="1:17" ht="18" customHeight="1" thickBot="1" x14ac:dyDescent="0.3">
      <c r="C24" s="766" t="s">
        <v>221</v>
      </c>
      <c r="F24" s="781" t="s">
        <v>114</v>
      </c>
      <c r="G24" s="774" t="str">
        <f>IF(F24="Yes",C24,"")</f>
        <v/>
      </c>
      <c r="H24" s="774"/>
      <c r="I24" s="774" t="str">
        <f>IF(AND(G24&lt;&gt;"",I21&lt;&gt;G24,I22&lt;&gt;G24,I23&lt;&gt;G24,G24&lt;&gt;I20),G24,"")</f>
        <v/>
      </c>
      <c r="J24" s="780" t="s">
        <v>432</v>
      </c>
      <c r="K24" s="774"/>
      <c r="N24" s="776" t="s">
        <v>253</v>
      </c>
      <c r="O24" s="777" t="s">
        <v>196</v>
      </c>
      <c r="Q24" s="766">
        <f t="shared" si="0"/>
        <v>21</v>
      </c>
    </row>
    <row r="25" spans="1:17" ht="18" customHeight="1" x14ac:dyDescent="0.25">
      <c r="G25" s="774"/>
      <c r="H25" s="774"/>
      <c r="I25" s="774"/>
      <c r="J25" s="780" t="s">
        <v>419</v>
      </c>
      <c r="K25" s="774"/>
      <c r="N25" s="776" t="s">
        <v>254</v>
      </c>
      <c r="O25" s="777" t="s">
        <v>197</v>
      </c>
      <c r="Q25" s="766">
        <f t="shared" si="0"/>
        <v>22</v>
      </c>
    </row>
    <row r="26" spans="1:17" ht="18" customHeight="1" thickBot="1" x14ac:dyDescent="0.3">
      <c r="G26" s="774"/>
      <c r="H26" s="774"/>
      <c r="I26" s="774"/>
      <c r="J26" s="780" t="s">
        <v>394</v>
      </c>
      <c r="K26" s="774"/>
      <c r="N26" s="776" t="s">
        <v>255</v>
      </c>
      <c r="O26" s="777" t="s">
        <v>198</v>
      </c>
      <c r="Q26" s="766">
        <f t="shared" si="0"/>
        <v>23</v>
      </c>
    </row>
    <row r="27" spans="1:17" ht="25" customHeight="1" thickBot="1" x14ac:dyDescent="0.35">
      <c r="A27" s="784" t="s">
        <v>217</v>
      </c>
      <c r="F27" s="781" t="s">
        <v>78</v>
      </c>
      <c r="G27" s="774"/>
      <c r="H27" s="774"/>
      <c r="I27" s="774"/>
      <c r="J27" s="780" t="s">
        <v>418</v>
      </c>
      <c r="K27" s="774"/>
      <c r="N27" s="776" t="s">
        <v>256</v>
      </c>
      <c r="O27" s="777" t="s">
        <v>199</v>
      </c>
      <c r="Q27" s="766">
        <f t="shared" si="0"/>
        <v>24</v>
      </c>
    </row>
    <row r="28" spans="1:17" ht="25" customHeight="1" thickBot="1" x14ac:dyDescent="0.3">
      <c r="G28" s="774"/>
      <c r="H28" s="774"/>
      <c r="I28" s="774"/>
      <c r="J28" s="780" t="s">
        <v>426</v>
      </c>
      <c r="K28" s="774"/>
      <c r="N28" s="776" t="s">
        <v>257</v>
      </c>
      <c r="O28" s="777" t="s">
        <v>200</v>
      </c>
      <c r="Q28" s="766">
        <f t="shared" si="0"/>
        <v>25</v>
      </c>
    </row>
    <row r="29" spans="1:17" ht="25" customHeight="1" thickBot="1" x14ac:dyDescent="0.35">
      <c r="A29" s="767" t="s">
        <v>278</v>
      </c>
      <c r="C29" s="785"/>
      <c r="F29" s="786">
        <v>19</v>
      </c>
      <c r="G29" s="774"/>
      <c r="I29" s="774"/>
      <c r="J29" s="780" t="s">
        <v>428</v>
      </c>
      <c r="K29" s="774"/>
      <c r="N29" s="776" t="s">
        <v>258</v>
      </c>
      <c r="O29" s="777" t="s">
        <v>201</v>
      </c>
      <c r="Q29" s="766">
        <f t="shared" si="0"/>
        <v>26</v>
      </c>
    </row>
    <row r="30" spans="1:17" ht="25" customHeight="1" thickBot="1" x14ac:dyDescent="0.3">
      <c r="G30" s="774"/>
      <c r="H30" s="774"/>
      <c r="I30" s="774"/>
      <c r="J30" s="780" t="s">
        <v>441</v>
      </c>
      <c r="K30" s="774"/>
      <c r="N30" s="776" t="s">
        <v>259</v>
      </c>
      <c r="O30" s="777" t="s">
        <v>202</v>
      </c>
      <c r="Q30" s="766">
        <f t="shared" si="0"/>
        <v>27</v>
      </c>
    </row>
    <row r="31" spans="1:17" ht="25" customHeight="1" thickBot="1" x14ac:dyDescent="0.35">
      <c r="A31" s="767" t="s">
        <v>289</v>
      </c>
      <c r="C31" s="785"/>
      <c r="F31" s="781" t="s">
        <v>78</v>
      </c>
      <c r="J31" s="780" t="s">
        <v>430</v>
      </c>
      <c r="N31" s="776" t="s">
        <v>260</v>
      </c>
      <c r="O31" s="777" t="s">
        <v>203</v>
      </c>
      <c r="Q31" s="766">
        <f t="shared" si="0"/>
        <v>28</v>
      </c>
    </row>
    <row r="32" spans="1:17" ht="8.25" customHeight="1" x14ac:dyDescent="0.25">
      <c r="A32" s="1625"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625"/>
      <c r="C32" s="1625"/>
      <c r="D32" s="1625"/>
      <c r="E32" s="1625"/>
      <c r="F32" s="1625"/>
      <c r="G32" s="1625"/>
      <c r="J32" s="780" t="s">
        <v>421</v>
      </c>
      <c r="N32" s="776"/>
      <c r="Q32" s="766">
        <f>IF(AND(M3&lt;&gt;0,G3=2),"",29)</f>
        <v>29</v>
      </c>
    </row>
    <row r="33" spans="1:17" ht="25" customHeight="1" x14ac:dyDescent="0.25">
      <c r="A33" s="1625"/>
      <c r="B33" s="1625"/>
      <c r="C33" s="1625"/>
      <c r="D33" s="1625"/>
      <c r="E33" s="1625"/>
      <c r="F33" s="1625"/>
      <c r="G33" s="1625"/>
      <c r="J33" s="780" t="s">
        <v>389</v>
      </c>
      <c r="N33" s="776"/>
      <c r="Q33" s="766">
        <f>IF(G3=2,"",30)</f>
        <v>30</v>
      </c>
    </row>
    <row r="34" spans="1:17" ht="25" customHeight="1" x14ac:dyDescent="0.25">
      <c r="I34" s="787" t="s">
        <v>443</v>
      </c>
      <c r="J34" s="780"/>
      <c r="N34" s="776"/>
      <c r="Q34" s="766">
        <f>IF(OR(G3=2,G3=4,G3=6,G3=9,G3=11),"",31)</f>
        <v>31</v>
      </c>
    </row>
    <row r="35" spans="1:17" ht="25" customHeight="1" x14ac:dyDescent="0.25">
      <c r="J35" s="780"/>
      <c r="N35" s="776"/>
    </row>
    <row r="36" spans="1:17" ht="25" customHeight="1" x14ac:dyDescent="0.25">
      <c r="J36" s="780"/>
    </row>
    <row r="37" spans="1:17" ht="25" customHeight="1" x14ac:dyDescent="0.25">
      <c r="J37" s="780"/>
    </row>
    <row r="38" spans="1:17" ht="25" customHeight="1" x14ac:dyDescent="0.25">
      <c r="J38" s="780"/>
    </row>
    <row r="39" spans="1:17" ht="25" customHeight="1" x14ac:dyDescent="0.25">
      <c r="J39" s="780"/>
    </row>
    <row r="40" spans="1:17" ht="25" customHeight="1" x14ac:dyDescent="0.25">
      <c r="J40" s="780"/>
    </row>
  </sheetData>
  <dataConsolidate/>
  <mergeCells count="4">
    <mergeCell ref="A1:D1"/>
    <mergeCell ref="C5:E5"/>
    <mergeCell ref="IR7:IT7"/>
    <mergeCell ref="A32:G33"/>
  </mergeCells>
  <conditionalFormatting sqref="F27 F20:F24 F7:F17 F31">
    <cfRule type="cellIs" dxfId="224" priority="1" stopIfTrue="1" operator="equal">
      <formula>"No"</formula>
    </cfRule>
  </conditionalFormatting>
  <dataValidations count="6">
    <dataValidation type="list" allowBlank="1" showInputMessage="1" showErrorMessage="1" sqref="IS5" xr:uid="{00000000-0002-0000-0500-000000000000}">
      <formula1>"January,February,March,April,May,June,July,August,September,October,November,December"</formula1>
    </dataValidation>
    <dataValidation type="list" allowBlank="1" showInputMessage="1" showErrorMessage="1" sqref="IT5" xr:uid="{00000000-0002-0000-0500-000001000000}">
      <formula1>Date</formula1>
    </dataValidation>
    <dataValidation type="list" allowBlank="1" showInputMessage="1" showErrorMessage="1" sqref="IR5" xr:uid="{00000000-0002-0000-0500-000002000000}">
      <formula1>"2021,2023,2024"</formula1>
    </dataValidation>
    <dataValidation type="list" allowBlank="1" showInputMessage="1" showErrorMessage="1" sqref="F27 F31 F7:F17 F20:F24" xr:uid="{00000000-0002-0000-0500-000003000000}">
      <formula1>"Yes,No"</formula1>
    </dataValidation>
    <dataValidation type="list" allowBlank="1" showInputMessage="1" showErrorMessage="1" sqref="C5" xr:uid="{00000000-0002-0000-0500-000004000000}">
      <formula1>Branch</formula1>
    </dataValidation>
    <dataValidation type="list" allowBlank="1" showInputMessage="1" showErrorMessage="1" sqref="F29" xr:uid="{00000000-0002-0000-05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indexed="44"/>
    <pageSetUpPr fitToPage="1"/>
  </sheetPr>
  <dimension ref="A1:S104"/>
  <sheetViews>
    <sheetView topLeftCell="A12" workbookViewId="0">
      <selection activeCell="D22" sqref="D22"/>
    </sheetView>
  </sheetViews>
  <sheetFormatPr defaultColWidth="9.1796875" defaultRowHeight="20.149999999999999" customHeight="1" x14ac:dyDescent="0.25"/>
  <cols>
    <col min="1" max="1" width="3.1796875" style="785" customWidth="1"/>
    <col min="2" max="2" width="25.453125" style="785" customWidth="1"/>
    <col min="3" max="3" width="1.54296875" style="785" customWidth="1"/>
    <col min="4" max="4" width="6.453125" style="785" customWidth="1"/>
    <col min="5" max="5" width="2.453125" style="785" customWidth="1"/>
    <col min="6" max="6" width="7.453125" style="785" customWidth="1"/>
    <col min="7" max="8" width="7" style="789" customWidth="1"/>
    <col min="9" max="9" width="2.54296875" style="785" customWidth="1"/>
    <col min="10" max="10" width="25.1796875" style="785" customWidth="1"/>
    <col min="11" max="11" width="7.54296875" style="785" customWidth="1"/>
    <col min="12" max="12" width="20.54296875" style="785" customWidth="1"/>
    <col min="13" max="13" width="8.81640625" style="785" customWidth="1"/>
    <col min="14" max="14" width="15.81640625" style="785" customWidth="1"/>
    <col min="15" max="15" width="10.453125" style="785" customWidth="1"/>
    <col min="16" max="16" width="3.453125" style="785" customWidth="1"/>
    <col min="17" max="17" width="9.1796875" style="785"/>
    <col min="18" max="18" width="11.1796875" style="785" customWidth="1"/>
    <col min="19" max="21" width="9.1796875" style="785"/>
    <col min="22" max="22" width="7.453125" style="785" customWidth="1"/>
    <col min="23" max="23" width="12.453125" style="785" customWidth="1"/>
    <col min="24" max="24" width="6" style="785" customWidth="1"/>
    <col min="25" max="16384" width="9.1796875" style="785"/>
  </cols>
  <sheetData>
    <row r="1" spans="1:19" ht="20.149999999999999" customHeight="1" thickBot="1" x14ac:dyDescent="0.3">
      <c r="A1" s="785">
        <f ca="1">YEAR(B1)</f>
        <v>2024</v>
      </c>
      <c r="B1" s="788">
        <f ca="1">TODAY()</f>
        <v>45346</v>
      </c>
      <c r="F1" s="1655" t="s">
        <v>156</v>
      </c>
      <c r="L1" s="790"/>
    </row>
    <row r="2" spans="1:19" ht="20.149999999999999" customHeight="1" thickTop="1" thickBot="1" x14ac:dyDescent="0.4">
      <c r="A2" s="791" t="s">
        <v>55</v>
      </c>
      <c r="B2" s="792"/>
      <c r="F2" s="1655"/>
      <c r="G2" s="793" t="s">
        <v>358</v>
      </c>
      <c r="H2" s="793" t="s">
        <v>362</v>
      </c>
      <c r="I2" s="1656" t="s">
        <v>57</v>
      </c>
      <c r="J2" s="1657"/>
      <c r="L2" s="790"/>
    </row>
    <row r="3" spans="1:19" ht="20.149999999999999" customHeight="1" thickTop="1" thickBot="1" x14ac:dyDescent="0.4">
      <c r="A3" s="794">
        <v>1</v>
      </c>
      <c r="B3" s="795" t="s">
        <v>50</v>
      </c>
      <c r="C3" s="796" t="s">
        <v>51</v>
      </c>
      <c r="D3" s="797">
        <f>IF('MC Working'!M12="Above 250cc",10,IF(AND(MC!B13=1,MC!T13="Ijarah"),5,2.2))</f>
        <v>2.2000000000000002</v>
      </c>
      <c r="E3" s="798" t="s">
        <v>56</v>
      </c>
      <c r="F3" s="799">
        <v>2</v>
      </c>
      <c r="I3" s="800">
        <v>1</v>
      </c>
      <c r="J3" s="801" t="s">
        <v>171</v>
      </c>
      <c r="K3" s="802">
        <v>0.2</v>
      </c>
      <c r="L3" s="803" t="s">
        <v>72</v>
      </c>
      <c r="M3" s="804"/>
      <c r="N3" s="1649" t="s">
        <v>142</v>
      </c>
      <c r="O3" s="1650"/>
      <c r="P3" s="1651"/>
      <c r="Q3" s="805" t="s">
        <v>139</v>
      </c>
      <c r="R3" s="806" t="s">
        <v>58</v>
      </c>
    </row>
    <row r="4" spans="1:19" ht="20.149999999999999" customHeight="1" thickTop="1" x14ac:dyDescent="0.35">
      <c r="A4" s="807">
        <f>A3+1</f>
        <v>2</v>
      </c>
      <c r="B4" s="808" t="s">
        <v>52</v>
      </c>
      <c r="C4" s="809" t="s">
        <v>51</v>
      </c>
      <c r="D4" s="810">
        <f>IF('MC Working'!M12="Above 250cc",10,IF(AND(MC!B13=1,MC!T13="Ijarah"),5,2.2))</f>
        <v>2.2000000000000002</v>
      </c>
      <c r="E4" s="811" t="s">
        <v>56</v>
      </c>
      <c r="F4" s="812">
        <v>2</v>
      </c>
      <c r="I4" s="813"/>
      <c r="J4" s="814" t="s">
        <v>170</v>
      </c>
      <c r="K4" s="815">
        <v>0.25</v>
      </c>
      <c r="L4" s="816" t="s">
        <v>72</v>
      </c>
      <c r="M4" s="817"/>
      <c r="N4" s="1658" t="s">
        <v>140</v>
      </c>
      <c r="O4" s="1659"/>
      <c r="P4" s="1659"/>
      <c r="Q4" s="818">
        <v>7.0000000000000007E-2</v>
      </c>
      <c r="R4" s="819">
        <v>2.5000000000000001E-2</v>
      </c>
    </row>
    <row r="5" spans="1:19" ht="20.149999999999999" customHeight="1" x14ac:dyDescent="0.35">
      <c r="A5" s="820">
        <f t="shared" ref="A5:A14" si="0">A4+1</f>
        <v>3</v>
      </c>
      <c r="B5" s="821" t="s">
        <v>155</v>
      </c>
      <c r="C5" s="822" t="s">
        <v>51</v>
      </c>
      <c r="D5" s="823">
        <v>2</v>
      </c>
      <c r="E5" s="824" t="s">
        <v>56</v>
      </c>
      <c r="F5" s="825">
        <v>20</v>
      </c>
      <c r="I5" s="826">
        <f>I3+1</f>
        <v>2</v>
      </c>
      <c r="J5" s="827" t="s">
        <v>172</v>
      </c>
      <c r="K5" s="828">
        <v>0.05</v>
      </c>
      <c r="L5" s="829" t="s">
        <v>72</v>
      </c>
      <c r="M5" s="830"/>
      <c r="N5" s="1645" t="s">
        <v>149</v>
      </c>
      <c r="O5" s="1646"/>
      <c r="P5" s="1646"/>
      <c r="Q5" s="831">
        <v>0.04</v>
      </c>
      <c r="R5" s="832">
        <v>1.2500000000000001E-2</v>
      </c>
    </row>
    <row r="6" spans="1:19" ht="20.149999999999999" customHeight="1" x14ac:dyDescent="0.35">
      <c r="A6" s="807">
        <f t="shared" si="0"/>
        <v>4</v>
      </c>
      <c r="B6" s="808" t="s">
        <v>160</v>
      </c>
      <c r="C6" s="809" t="s">
        <v>51</v>
      </c>
      <c r="D6" s="833">
        <v>2.25</v>
      </c>
      <c r="E6" s="811" t="s">
        <v>56</v>
      </c>
      <c r="F6" s="812">
        <v>5</v>
      </c>
      <c r="I6" s="826"/>
      <c r="J6" s="834" t="s">
        <v>170</v>
      </c>
      <c r="K6" s="828">
        <v>6.25E-2</v>
      </c>
      <c r="L6" s="829" t="s">
        <v>72</v>
      </c>
      <c r="M6" s="830"/>
      <c r="N6" s="1645" t="s">
        <v>148</v>
      </c>
      <c r="O6" s="1646"/>
      <c r="P6" s="1646"/>
      <c r="Q6" s="831">
        <v>3.7499999999999999E-2</v>
      </c>
      <c r="R6" s="832">
        <v>1.2500000000000001E-2</v>
      </c>
    </row>
    <row r="7" spans="1:19" ht="20.149999999999999" customHeight="1" thickBot="1" x14ac:dyDescent="0.4">
      <c r="A7" s="820">
        <f t="shared" si="0"/>
        <v>5</v>
      </c>
      <c r="B7" s="821" t="s">
        <v>161</v>
      </c>
      <c r="C7" s="822" t="s">
        <v>51</v>
      </c>
      <c r="D7" s="823">
        <v>2</v>
      </c>
      <c r="E7" s="824" t="s">
        <v>56</v>
      </c>
      <c r="F7" s="825">
        <v>5</v>
      </c>
      <c r="I7" s="813">
        <f>I5+1</f>
        <v>3</v>
      </c>
      <c r="J7" s="835" t="s">
        <v>59</v>
      </c>
      <c r="K7" s="815"/>
      <c r="L7" s="816"/>
      <c r="M7" s="817"/>
      <c r="N7" s="1647" t="s">
        <v>141</v>
      </c>
      <c r="O7" s="1648"/>
      <c r="P7" s="1648"/>
      <c r="Q7" s="836">
        <v>0.05</v>
      </c>
      <c r="R7" s="837">
        <v>1250</v>
      </c>
    </row>
    <row r="8" spans="1:19" ht="20.149999999999999" customHeight="1" thickTop="1" thickBot="1" x14ac:dyDescent="0.4">
      <c r="A8" s="807">
        <f t="shared" si="0"/>
        <v>6</v>
      </c>
      <c r="B8" s="808" t="s">
        <v>163</v>
      </c>
      <c r="C8" s="809" t="s">
        <v>51</v>
      </c>
      <c r="D8" s="833">
        <v>2.25</v>
      </c>
      <c r="E8" s="811" t="s">
        <v>56</v>
      </c>
      <c r="F8" s="812">
        <v>7</v>
      </c>
      <c r="I8" s="813"/>
      <c r="J8" s="816" t="s">
        <v>68</v>
      </c>
      <c r="K8" s="815">
        <v>50</v>
      </c>
      <c r="L8" s="816" t="s">
        <v>61</v>
      </c>
      <c r="M8" s="817"/>
      <c r="N8" s="1649" t="s">
        <v>40</v>
      </c>
      <c r="O8" s="1650"/>
      <c r="P8" s="1651"/>
      <c r="Q8" s="836">
        <v>0.15</v>
      </c>
      <c r="R8" s="837">
        <v>0.25</v>
      </c>
      <c r="S8" s="785" t="s">
        <v>145</v>
      </c>
    </row>
    <row r="9" spans="1:19" ht="20.149999999999999" customHeight="1" thickTop="1" thickBot="1" x14ac:dyDescent="0.4">
      <c r="A9" s="820">
        <f t="shared" si="0"/>
        <v>7</v>
      </c>
      <c r="B9" s="821" t="s">
        <v>162</v>
      </c>
      <c r="C9" s="822" t="s">
        <v>51</v>
      </c>
      <c r="D9" s="823">
        <v>2</v>
      </c>
      <c r="E9" s="824" t="s">
        <v>56</v>
      </c>
      <c r="F9" s="825">
        <v>7</v>
      </c>
      <c r="I9" s="813"/>
      <c r="J9" s="816" t="s">
        <v>67</v>
      </c>
      <c r="K9" s="815">
        <v>25</v>
      </c>
      <c r="L9" s="816" t="s">
        <v>61</v>
      </c>
      <c r="M9" s="817"/>
      <c r="N9" s="1652" t="s">
        <v>143</v>
      </c>
      <c r="O9" s="1652"/>
      <c r="P9" s="1652"/>
      <c r="Q9" s="836">
        <v>15</v>
      </c>
      <c r="R9" s="837">
        <v>3.7499999999999999E-2</v>
      </c>
      <c r="S9" s="785" t="s">
        <v>144</v>
      </c>
    </row>
    <row r="10" spans="1:19" ht="20.149999999999999" customHeight="1" thickTop="1" x14ac:dyDescent="0.35">
      <c r="A10" s="807">
        <f t="shared" si="0"/>
        <v>8</v>
      </c>
      <c r="B10" s="808" t="s">
        <v>317</v>
      </c>
      <c r="C10" s="809" t="s">
        <v>51</v>
      </c>
      <c r="D10" s="833">
        <f>'MC Working'!K8*100</f>
        <v>1.25</v>
      </c>
      <c r="E10" s="811" t="s">
        <v>56</v>
      </c>
      <c r="F10" s="812">
        <v>5</v>
      </c>
      <c r="I10" s="813"/>
      <c r="J10" s="816" t="s">
        <v>66</v>
      </c>
      <c r="K10" s="815">
        <v>25</v>
      </c>
      <c r="L10" s="816" t="s">
        <v>61</v>
      </c>
      <c r="M10" s="817"/>
    </row>
    <row r="11" spans="1:19" ht="20.149999999999999" customHeight="1" x14ac:dyDescent="0.35">
      <c r="A11" s="820">
        <f t="shared" si="0"/>
        <v>9</v>
      </c>
      <c r="B11" s="821" t="s">
        <v>154</v>
      </c>
      <c r="C11" s="822" t="s">
        <v>51</v>
      </c>
      <c r="D11" s="823">
        <v>1</v>
      </c>
      <c r="E11" s="824" t="s">
        <v>56</v>
      </c>
      <c r="F11" s="825">
        <v>60</v>
      </c>
      <c r="I11" s="826">
        <v>4</v>
      </c>
      <c r="J11" s="827" t="s">
        <v>63</v>
      </c>
      <c r="K11" s="828">
        <v>10</v>
      </c>
      <c r="L11" s="829" t="s">
        <v>69</v>
      </c>
      <c r="M11" s="830"/>
    </row>
    <row r="12" spans="1:19" ht="20.149999999999999" customHeight="1" x14ac:dyDescent="0.35">
      <c r="A12" s="807">
        <f t="shared" si="0"/>
        <v>10</v>
      </c>
      <c r="B12" s="808" t="s">
        <v>53</v>
      </c>
      <c r="C12" s="809" t="s">
        <v>51</v>
      </c>
      <c r="D12" s="833">
        <v>1.75</v>
      </c>
      <c r="E12" s="811" t="s">
        <v>56</v>
      </c>
      <c r="F12" s="812">
        <v>4</v>
      </c>
      <c r="I12" s="813">
        <f>I11+1</f>
        <v>5</v>
      </c>
      <c r="J12" s="838" t="s">
        <v>64</v>
      </c>
      <c r="K12" s="815">
        <v>10</v>
      </c>
      <c r="L12" s="816" t="s">
        <v>70</v>
      </c>
      <c r="M12" s="817"/>
    </row>
    <row r="13" spans="1:19" ht="20.149999999999999" customHeight="1" thickBot="1" x14ac:dyDescent="0.4">
      <c r="A13" s="820">
        <f t="shared" si="0"/>
        <v>11</v>
      </c>
      <c r="B13" s="839" t="s">
        <v>54</v>
      </c>
      <c r="C13" s="840" t="s">
        <v>51</v>
      </c>
      <c r="D13" s="841">
        <v>0.8</v>
      </c>
      <c r="E13" s="842" t="s">
        <v>56</v>
      </c>
      <c r="F13" s="843">
        <v>4</v>
      </c>
      <c r="I13" s="826">
        <f>I12+1</f>
        <v>6</v>
      </c>
      <c r="J13" s="827" t="s">
        <v>11</v>
      </c>
      <c r="K13" s="828">
        <v>15</v>
      </c>
      <c r="L13" s="829" t="s">
        <v>69</v>
      </c>
      <c r="M13" s="830"/>
    </row>
    <row r="14" spans="1:19" ht="20.149999999999999" customHeight="1" thickTop="1" thickBot="1" x14ac:dyDescent="0.4">
      <c r="A14" s="807">
        <f t="shared" si="0"/>
        <v>12</v>
      </c>
      <c r="B14" s="844" t="s">
        <v>164</v>
      </c>
      <c r="C14" s="809" t="s">
        <v>51</v>
      </c>
      <c r="D14" s="845">
        <v>0.8</v>
      </c>
      <c r="E14" s="846" t="s">
        <v>56</v>
      </c>
      <c r="F14" s="847">
        <v>4</v>
      </c>
      <c r="I14" s="813">
        <f>I13+1</f>
        <v>7</v>
      </c>
      <c r="J14" s="838" t="s">
        <v>46</v>
      </c>
      <c r="K14" s="815">
        <v>30</v>
      </c>
      <c r="L14" s="816" t="s">
        <v>69</v>
      </c>
      <c r="M14" s="848" t="s">
        <v>126</v>
      </c>
    </row>
    <row r="15" spans="1:19" ht="20.149999999999999" customHeight="1" thickTop="1" thickBot="1" x14ac:dyDescent="0.4">
      <c r="A15" s="820">
        <f>A14+1</f>
        <v>13</v>
      </c>
      <c r="B15" s="839" t="s">
        <v>167</v>
      </c>
      <c r="C15" s="840" t="s">
        <v>51</v>
      </c>
      <c r="D15" s="841">
        <v>2</v>
      </c>
      <c r="E15" s="842" t="s">
        <v>56</v>
      </c>
      <c r="F15" s="843">
        <v>50</v>
      </c>
      <c r="I15" s="826">
        <f>I14+1</f>
        <v>8</v>
      </c>
      <c r="J15" s="827" t="s">
        <v>65</v>
      </c>
      <c r="K15" s="828">
        <v>33.33</v>
      </c>
      <c r="L15" s="829" t="s">
        <v>69</v>
      </c>
      <c r="M15" s="848" t="s">
        <v>126</v>
      </c>
    </row>
    <row r="16" spans="1:19" ht="20.149999999999999" customHeight="1" thickTop="1" x14ac:dyDescent="0.35">
      <c r="A16" s="807">
        <f>A15+1</f>
        <v>14</v>
      </c>
      <c r="B16" s="808" t="s">
        <v>318</v>
      </c>
      <c r="C16" s="809" t="s">
        <v>51</v>
      </c>
      <c r="D16" s="849">
        <v>2.25</v>
      </c>
      <c r="E16" s="850" t="s">
        <v>56</v>
      </c>
      <c r="F16" s="847">
        <v>4</v>
      </c>
      <c r="I16" s="813">
        <f>I15+1</f>
        <v>9</v>
      </c>
      <c r="J16" s="835" t="s">
        <v>36</v>
      </c>
      <c r="K16" s="816"/>
      <c r="L16" s="816"/>
      <c r="M16" s="817"/>
    </row>
    <row r="17" spans="1:15" ht="20.149999999999999" customHeight="1" thickBot="1" x14ac:dyDescent="0.4">
      <c r="A17" s="851">
        <v>15</v>
      </c>
      <c r="B17" s="852" t="s">
        <v>165</v>
      </c>
      <c r="C17" s="853" t="s">
        <v>51</v>
      </c>
      <c r="D17" s="854"/>
      <c r="E17" s="855" t="s">
        <v>56</v>
      </c>
      <c r="F17" s="856">
        <v>5</v>
      </c>
      <c r="I17" s="813"/>
      <c r="J17" s="814" t="s">
        <v>71</v>
      </c>
      <c r="K17" s="857">
        <v>100</v>
      </c>
      <c r="L17" s="858" t="s">
        <v>81</v>
      </c>
      <c r="M17" s="859">
        <f>IF('MC Working'!H8='Administration (2)'!C12,700,350)</f>
        <v>350</v>
      </c>
    </row>
    <row r="18" spans="1:15" ht="20.149999999999999" customHeight="1" thickTop="1" thickBot="1" x14ac:dyDescent="0.4">
      <c r="A18" s="860">
        <v>1</v>
      </c>
      <c r="B18" s="861"/>
      <c r="C18" s="861"/>
      <c r="D18" s="861"/>
      <c r="E18" s="861"/>
      <c r="F18" s="861"/>
      <c r="I18" s="813"/>
      <c r="J18" s="814" t="s">
        <v>521</v>
      </c>
      <c r="K18" s="857">
        <v>250</v>
      </c>
      <c r="L18" s="862" t="s">
        <v>82</v>
      </c>
      <c r="M18" s="859">
        <f>IF('MC Working'!H8='Administration (2)'!C12,100,650)</f>
        <v>650</v>
      </c>
      <c r="N18" s="863"/>
    </row>
    <row r="19" spans="1:15" ht="20.149999999999999" customHeight="1" thickTop="1" thickBot="1" x14ac:dyDescent="0.4">
      <c r="A19" s="864"/>
      <c r="B19" s="865" t="s">
        <v>79</v>
      </c>
      <c r="C19" s="866" t="s">
        <v>51</v>
      </c>
      <c r="D19" s="867">
        <v>2.5</v>
      </c>
      <c r="E19" s="868" t="s">
        <v>56</v>
      </c>
      <c r="F19" s="861"/>
      <c r="I19" s="826">
        <v>10</v>
      </c>
      <c r="J19" s="827" t="s">
        <v>127</v>
      </c>
      <c r="K19" s="828">
        <v>15</v>
      </c>
      <c r="L19" s="829" t="s">
        <v>69</v>
      </c>
      <c r="M19" s="1653" t="s">
        <v>128</v>
      </c>
      <c r="N19" s="1654"/>
      <c r="O19" s="848" t="s">
        <v>114</v>
      </c>
    </row>
    <row r="20" spans="1:15" ht="20.149999999999999" customHeight="1" thickTop="1" thickBot="1" x14ac:dyDescent="0.4">
      <c r="A20" s="869"/>
      <c r="B20" s="870" t="s">
        <v>173</v>
      </c>
      <c r="C20" s="871" t="s">
        <v>51</v>
      </c>
      <c r="D20" s="872">
        <v>0</v>
      </c>
      <c r="E20" s="873" t="s">
        <v>56</v>
      </c>
      <c r="F20" s="874" t="s">
        <v>114</v>
      </c>
      <c r="G20" s="875">
        <f>IF(F20="Yes",D20,0)</f>
        <v>0</v>
      </c>
      <c r="H20" s="875"/>
      <c r="I20" s="826"/>
      <c r="J20" s="827"/>
      <c r="K20" s="828"/>
      <c r="L20" s="829"/>
      <c r="M20" s="876"/>
      <c r="N20" s="877"/>
    </row>
    <row r="21" spans="1:15" ht="20.149999999999999" customHeight="1" thickTop="1" thickBot="1" x14ac:dyDescent="0.4">
      <c r="A21" s="878"/>
      <c r="B21" s="879" t="s">
        <v>80</v>
      </c>
      <c r="C21" s="880" t="s">
        <v>51</v>
      </c>
      <c r="D21" s="881">
        <v>18</v>
      </c>
      <c r="E21" s="882" t="s">
        <v>56</v>
      </c>
      <c r="F21" s="861"/>
      <c r="I21" s="813">
        <f>I19+1</f>
        <v>11</v>
      </c>
      <c r="J21" s="838" t="s">
        <v>73</v>
      </c>
      <c r="K21" s="815">
        <v>10</v>
      </c>
      <c r="L21" s="816" t="s">
        <v>75</v>
      </c>
      <c r="M21" s="848" t="s">
        <v>126</v>
      </c>
    </row>
    <row r="22" spans="1:15" ht="30.75" customHeight="1" thickTop="1" thickBot="1" x14ac:dyDescent="0.35">
      <c r="I22" s="826">
        <f>I21+1</f>
        <v>12</v>
      </c>
      <c r="J22" s="883" t="s">
        <v>74</v>
      </c>
      <c r="K22" s="829"/>
      <c r="L22" s="829"/>
      <c r="M22" s="830"/>
    </row>
    <row r="23" spans="1:15" ht="20.149999999999999" customHeight="1" thickTop="1" thickBot="1" x14ac:dyDescent="0.4">
      <c r="A23" s="860">
        <v>2</v>
      </c>
      <c r="B23" s="884" t="s">
        <v>120</v>
      </c>
      <c r="I23" s="826"/>
      <c r="J23" s="829" t="s">
        <v>62</v>
      </c>
      <c r="K23" s="828">
        <v>150</v>
      </c>
      <c r="L23" s="885" t="s">
        <v>77</v>
      </c>
      <c r="M23" s="830"/>
    </row>
    <row r="24" spans="1:15" ht="20.149999999999999" customHeight="1" thickTop="1" thickBot="1" x14ac:dyDescent="0.4">
      <c r="A24" s="886"/>
      <c r="B24" s="887">
        <v>28000000</v>
      </c>
      <c r="I24" s="826"/>
      <c r="J24" s="888" t="s">
        <v>124</v>
      </c>
      <c r="K24" s="889">
        <v>600</v>
      </c>
      <c r="L24" s="890" t="s">
        <v>77</v>
      </c>
      <c r="M24" s="830"/>
    </row>
    <row r="25" spans="1:15" ht="20.149999999999999" customHeight="1" thickBot="1" x14ac:dyDescent="0.4">
      <c r="B25" s="887">
        <v>1000000</v>
      </c>
      <c r="C25" s="891" t="s">
        <v>138</v>
      </c>
      <c r="I25" s="826"/>
      <c r="J25" s="829" t="s">
        <v>76</v>
      </c>
      <c r="K25" s="828">
        <v>150</v>
      </c>
      <c r="L25" s="885" t="s">
        <v>77</v>
      </c>
      <c r="M25" s="830"/>
    </row>
    <row r="26" spans="1:15" ht="20.149999999999999" customHeight="1" thickTop="1" thickBot="1" x14ac:dyDescent="0.4">
      <c r="A26" s="860">
        <v>3</v>
      </c>
      <c r="B26" s="884" t="s">
        <v>113</v>
      </c>
      <c r="F26" s="884" t="s">
        <v>396</v>
      </c>
      <c r="I26" s="813">
        <v>13</v>
      </c>
      <c r="J26" s="835" t="s">
        <v>83</v>
      </c>
      <c r="K26" s="816"/>
      <c r="L26" s="816"/>
      <c r="M26" s="859"/>
    </row>
    <row r="27" spans="1:15" ht="20.149999999999999" customHeight="1" thickTop="1" thickBot="1" x14ac:dyDescent="0.4">
      <c r="A27" s="886"/>
      <c r="B27" s="887">
        <v>28000000</v>
      </c>
      <c r="F27" s="1632">
        <v>10</v>
      </c>
      <c r="G27" s="1633"/>
      <c r="I27" s="892"/>
      <c r="J27" s="893" t="s">
        <v>554</v>
      </c>
      <c r="K27" s="857">
        <v>6</v>
      </c>
      <c r="L27" s="894" t="s">
        <v>555</v>
      </c>
      <c r="M27" s="859">
        <v>12</v>
      </c>
    </row>
    <row r="28" spans="1:15" ht="20.149999999999999" customHeight="1" thickTop="1" thickBot="1" x14ac:dyDescent="0.4">
      <c r="A28" s="860">
        <v>4</v>
      </c>
      <c r="B28" s="884" t="s">
        <v>115</v>
      </c>
      <c r="C28" s="1642" t="s">
        <v>78</v>
      </c>
      <c r="D28" s="1643"/>
      <c r="I28" s="892"/>
      <c r="J28" s="893" t="s">
        <v>556</v>
      </c>
      <c r="K28" s="857">
        <v>20</v>
      </c>
      <c r="L28" s="894" t="s">
        <v>557</v>
      </c>
      <c r="M28" s="859">
        <v>30</v>
      </c>
    </row>
    <row r="29" spans="1:15" ht="20.149999999999999" customHeight="1" thickTop="1" thickBot="1" x14ac:dyDescent="0.4">
      <c r="A29" s="860">
        <v>5</v>
      </c>
      <c r="B29" s="895" t="s">
        <v>116</v>
      </c>
      <c r="C29" s="1632">
        <v>75</v>
      </c>
      <c r="D29" s="1633"/>
      <c r="E29" s="1634">
        <f>IF(OR('MC Working'!H8='Administration (2)'!C7,'MC Working'!H8='Administration (2)'!C8),G29,0)</f>
        <v>0</v>
      </c>
      <c r="F29" s="1635"/>
      <c r="G29" s="1636">
        <v>1200000</v>
      </c>
      <c r="H29" s="1637"/>
      <c r="I29" s="892"/>
      <c r="J29" s="893" t="s">
        <v>558</v>
      </c>
      <c r="K29" s="857">
        <v>55</v>
      </c>
      <c r="L29" s="894" t="s">
        <v>559</v>
      </c>
      <c r="M29" s="859">
        <v>105</v>
      </c>
    </row>
    <row r="30" spans="1:15" ht="20.149999999999999" customHeight="1" thickTop="1" thickBot="1" x14ac:dyDescent="0.4">
      <c r="A30" s="860">
        <v>6</v>
      </c>
      <c r="B30" s="884" t="s">
        <v>117</v>
      </c>
      <c r="I30" s="892"/>
      <c r="J30" s="893" t="s">
        <v>560</v>
      </c>
      <c r="K30" s="857">
        <v>290</v>
      </c>
      <c r="L30" s="893"/>
      <c r="M30" s="859"/>
    </row>
    <row r="31" spans="1:15" ht="20.149999999999999" customHeight="1" thickTop="1" thickBot="1" x14ac:dyDescent="0.4">
      <c r="A31" s="886"/>
      <c r="B31" s="887">
        <v>1000000</v>
      </c>
      <c r="I31" s="826">
        <v>14</v>
      </c>
      <c r="J31" s="827" t="s">
        <v>91</v>
      </c>
      <c r="K31" s="828">
        <v>2000</v>
      </c>
      <c r="L31" s="885" t="s">
        <v>77</v>
      </c>
      <c r="M31" s="830"/>
    </row>
    <row r="32" spans="1:15" ht="20.149999999999999" customHeight="1" thickTop="1" thickBot="1" x14ac:dyDescent="0.4">
      <c r="A32" s="860">
        <v>7</v>
      </c>
      <c r="B32" s="884" t="s">
        <v>129</v>
      </c>
      <c r="I32" s="813">
        <v>15</v>
      </c>
      <c r="J32" s="838" t="s">
        <v>92</v>
      </c>
      <c r="K32" s="815">
        <v>10</v>
      </c>
      <c r="L32" s="816" t="s">
        <v>93</v>
      </c>
      <c r="M32" s="817"/>
    </row>
    <row r="33" spans="1:13" ht="20.149999999999999" customHeight="1" thickTop="1" thickBot="1" x14ac:dyDescent="0.4">
      <c r="B33" s="887">
        <v>5000</v>
      </c>
      <c r="I33" s="826">
        <v>16</v>
      </c>
      <c r="J33" s="883" t="s">
        <v>8</v>
      </c>
      <c r="K33" s="829"/>
      <c r="L33" s="829"/>
      <c r="M33" s="830"/>
    </row>
    <row r="34" spans="1:13" ht="20.149999999999999" customHeight="1" thickBot="1" x14ac:dyDescent="0.35">
      <c r="I34" s="896"/>
      <c r="J34" s="829" t="s">
        <v>95</v>
      </c>
      <c r="K34" s="828">
        <v>150</v>
      </c>
      <c r="L34" s="885" t="s">
        <v>77</v>
      </c>
      <c r="M34" s="830"/>
    </row>
    <row r="35" spans="1:13" ht="20.149999999999999" customHeight="1" thickTop="1" thickBot="1" x14ac:dyDescent="0.4">
      <c r="A35" s="860">
        <v>8</v>
      </c>
      <c r="B35" s="897" t="s">
        <v>137</v>
      </c>
      <c r="I35" s="896"/>
      <c r="J35" s="829" t="s">
        <v>60</v>
      </c>
      <c r="K35" s="828">
        <v>200</v>
      </c>
      <c r="L35" s="885" t="s">
        <v>77</v>
      </c>
      <c r="M35" s="830"/>
    </row>
    <row r="36" spans="1:13" ht="20.149999999999999" customHeight="1" thickTop="1" thickBot="1" x14ac:dyDescent="0.4">
      <c r="A36" s="886"/>
      <c r="B36" s="887">
        <v>1000</v>
      </c>
      <c r="I36" s="896"/>
      <c r="J36" s="829" t="s">
        <v>94</v>
      </c>
      <c r="K36" s="828">
        <v>200</v>
      </c>
      <c r="L36" s="885" t="s">
        <v>77</v>
      </c>
      <c r="M36" s="830"/>
    </row>
    <row r="37" spans="1:13" ht="20.149999999999999" customHeight="1" thickTop="1" thickBot="1" x14ac:dyDescent="0.4">
      <c r="A37" s="860">
        <v>9</v>
      </c>
      <c r="B37" s="898" t="s">
        <v>135</v>
      </c>
      <c r="I37" s="813">
        <v>17</v>
      </c>
      <c r="J37" s="835" t="s">
        <v>2</v>
      </c>
      <c r="K37" s="815"/>
      <c r="L37" s="816"/>
      <c r="M37" s="817"/>
    </row>
    <row r="38" spans="1:13" ht="20.149999999999999" customHeight="1" thickTop="1" thickBot="1" x14ac:dyDescent="0.35">
      <c r="B38" s="899" t="s">
        <v>136</v>
      </c>
      <c r="C38" s="1638">
        <v>0</v>
      </c>
      <c r="D38" s="1639"/>
      <c r="E38" s="1640"/>
      <c r="I38" s="900" t="s">
        <v>96</v>
      </c>
      <c r="J38" s="815">
        <v>1000</v>
      </c>
      <c r="K38" s="901">
        <v>10</v>
      </c>
      <c r="L38" s="902"/>
      <c r="M38" s="817"/>
    </row>
    <row r="39" spans="1:13" ht="20.149999999999999" customHeight="1" thickTop="1" thickBot="1" x14ac:dyDescent="0.4">
      <c r="A39" s="860">
        <v>10</v>
      </c>
      <c r="B39" s="903" t="s">
        <v>119</v>
      </c>
      <c r="D39" s="904" t="s">
        <v>78</v>
      </c>
      <c r="I39" s="900" t="s">
        <v>96</v>
      </c>
      <c r="J39" s="815">
        <v>2500</v>
      </c>
      <c r="K39" s="901">
        <v>15</v>
      </c>
      <c r="L39" s="902"/>
      <c r="M39" s="817"/>
    </row>
    <row r="40" spans="1:13" ht="17.149999999999999" customHeight="1" thickTop="1" thickBot="1" x14ac:dyDescent="0.4">
      <c r="A40" s="886"/>
      <c r="B40" s="905" t="s">
        <v>118</v>
      </c>
      <c r="C40" s="1638">
        <v>50000</v>
      </c>
      <c r="D40" s="1639"/>
      <c r="E40" s="1640"/>
      <c r="I40" s="900" t="s">
        <v>96</v>
      </c>
      <c r="J40" s="815">
        <v>5000</v>
      </c>
      <c r="K40" s="901">
        <v>20</v>
      </c>
      <c r="L40" s="902"/>
      <c r="M40" s="817"/>
    </row>
    <row r="41" spans="1:13" ht="17.149999999999999" customHeight="1" thickTop="1" thickBot="1" x14ac:dyDescent="0.35">
      <c r="B41" s="905" t="s">
        <v>130</v>
      </c>
      <c r="D41" s="904" t="s">
        <v>114</v>
      </c>
      <c r="I41" s="826">
        <v>18</v>
      </c>
      <c r="J41" s="883" t="s">
        <v>97</v>
      </c>
      <c r="K41" s="829"/>
      <c r="L41" s="829"/>
      <c r="M41" s="830"/>
    </row>
    <row r="42" spans="1:13" ht="17.149999999999999" customHeight="1" thickTop="1" thickBot="1" x14ac:dyDescent="0.35">
      <c r="B42" s="905" t="s">
        <v>159</v>
      </c>
      <c r="D42" s="904">
        <v>10</v>
      </c>
      <c r="I42" s="896"/>
      <c r="J42" s="906" t="s">
        <v>98</v>
      </c>
      <c r="K42" s="828">
        <v>4.5</v>
      </c>
      <c r="L42" s="829" t="s">
        <v>69</v>
      </c>
      <c r="M42" s="830"/>
    </row>
    <row r="43" spans="1:13" ht="17.149999999999999" customHeight="1" thickTop="1" thickBot="1" x14ac:dyDescent="0.4">
      <c r="A43" s="860">
        <v>11</v>
      </c>
      <c r="B43" s="1641" t="s">
        <v>131</v>
      </c>
      <c r="D43" s="904" t="s">
        <v>114</v>
      </c>
      <c r="I43" s="896"/>
      <c r="J43" s="906" t="s">
        <v>99</v>
      </c>
      <c r="K43" s="828">
        <v>5.25</v>
      </c>
      <c r="L43" s="829" t="s">
        <v>69</v>
      </c>
      <c r="M43" s="830"/>
    </row>
    <row r="44" spans="1:13" ht="17.149999999999999" customHeight="1" thickTop="1" thickBot="1" x14ac:dyDescent="0.35">
      <c r="B44" s="1641"/>
      <c r="I44" s="896"/>
      <c r="J44" s="906" t="s">
        <v>100</v>
      </c>
      <c r="K44" s="828">
        <v>6</v>
      </c>
      <c r="L44" s="829" t="s">
        <v>69</v>
      </c>
      <c r="M44" s="830"/>
    </row>
    <row r="45" spans="1:13" ht="17.149999999999999" customHeight="1" thickTop="1" thickBot="1" x14ac:dyDescent="0.4">
      <c r="A45" s="860">
        <v>12</v>
      </c>
      <c r="B45" s="905" t="s">
        <v>295</v>
      </c>
      <c r="D45" s="904" t="s">
        <v>114</v>
      </c>
      <c r="I45" s="896"/>
      <c r="J45" s="906" t="s">
        <v>101</v>
      </c>
      <c r="K45" s="828">
        <v>6.25</v>
      </c>
      <c r="L45" s="829" t="s">
        <v>69</v>
      </c>
      <c r="M45" s="830"/>
    </row>
    <row r="46" spans="1:13" ht="17.149999999999999" customHeight="1" thickTop="1" thickBot="1" x14ac:dyDescent="0.35">
      <c r="I46" s="896"/>
      <c r="J46" s="906" t="s">
        <v>102</v>
      </c>
      <c r="K46" s="828">
        <v>6.5</v>
      </c>
      <c r="L46" s="829" t="s">
        <v>69</v>
      </c>
      <c r="M46" s="830"/>
    </row>
    <row r="47" spans="1:13" ht="17.149999999999999" customHeight="1" thickTop="1" thickBot="1" x14ac:dyDescent="0.4">
      <c r="A47" s="860">
        <v>13</v>
      </c>
      <c r="B47" s="1644" t="s">
        <v>402</v>
      </c>
      <c r="D47" s="904" t="s">
        <v>114</v>
      </c>
      <c r="I47" s="896"/>
      <c r="J47" s="906" t="s">
        <v>103</v>
      </c>
      <c r="K47" s="828">
        <v>6.75</v>
      </c>
      <c r="L47" s="829" t="s">
        <v>69</v>
      </c>
      <c r="M47" s="830"/>
    </row>
    <row r="48" spans="1:13" ht="17.149999999999999" customHeight="1" thickTop="1" x14ac:dyDescent="0.3">
      <c r="B48" s="1644"/>
      <c r="I48" s="896"/>
      <c r="J48" s="906" t="s">
        <v>104</v>
      </c>
      <c r="K48" s="828">
        <v>7</v>
      </c>
      <c r="L48" s="829" t="s">
        <v>69</v>
      </c>
      <c r="M48" s="830"/>
    </row>
    <row r="49" spans="1:13" ht="17.149999999999999" customHeight="1" thickBot="1" x14ac:dyDescent="0.35">
      <c r="I49" s="896"/>
      <c r="J49" s="906" t="s">
        <v>105</v>
      </c>
      <c r="K49" s="828">
        <v>7</v>
      </c>
      <c r="L49" s="829" t="s">
        <v>69</v>
      </c>
      <c r="M49" s="830"/>
    </row>
    <row r="50" spans="1:13" ht="20.149999999999999" customHeight="1" thickTop="1" thickBot="1" x14ac:dyDescent="0.4">
      <c r="A50" s="860">
        <v>14</v>
      </c>
      <c r="B50" s="905" t="s">
        <v>264</v>
      </c>
      <c r="D50" s="904" t="s">
        <v>114</v>
      </c>
      <c r="I50" s="896"/>
      <c r="J50" s="906" t="s">
        <v>106</v>
      </c>
      <c r="K50" s="828">
        <v>7</v>
      </c>
      <c r="L50" s="829" t="s">
        <v>69</v>
      </c>
      <c r="M50" s="830"/>
    </row>
    <row r="51" spans="1:13" ht="17.149999999999999" customHeight="1" thickTop="1" thickBot="1" x14ac:dyDescent="0.35">
      <c r="I51" s="896"/>
      <c r="J51" s="906" t="s">
        <v>107</v>
      </c>
      <c r="K51" s="828">
        <v>7</v>
      </c>
      <c r="L51" s="829" t="s">
        <v>69</v>
      </c>
      <c r="M51" s="830"/>
    </row>
    <row r="52" spans="1:13" ht="17.149999999999999" customHeight="1" thickTop="1" thickBot="1" x14ac:dyDescent="0.4">
      <c r="A52" s="860">
        <v>15</v>
      </c>
      <c r="B52" s="907" t="str">
        <f>CONCATENATE("Allow Vehicle Above ",'Administration (2)'!F29," Years")</f>
        <v>Allow Vehicle Above 19 Years</v>
      </c>
      <c r="D52" s="904" t="s">
        <v>78</v>
      </c>
      <c r="I52" s="813">
        <v>19</v>
      </c>
      <c r="J52" s="835" t="s">
        <v>40</v>
      </c>
      <c r="K52" s="816"/>
      <c r="L52" s="816"/>
      <c r="M52" s="817"/>
    </row>
    <row r="53" spans="1:13" ht="17.149999999999999" customHeight="1" thickTop="1" thickBot="1" x14ac:dyDescent="0.35">
      <c r="I53" s="892"/>
      <c r="J53" s="816" t="s">
        <v>4</v>
      </c>
      <c r="K53" s="908">
        <v>0.7</v>
      </c>
      <c r="L53" s="816" t="s">
        <v>122</v>
      </c>
      <c r="M53" s="817"/>
    </row>
    <row r="54" spans="1:13" ht="17.149999999999999" customHeight="1" thickTop="1" thickBot="1" x14ac:dyDescent="0.4">
      <c r="A54" s="860">
        <v>16</v>
      </c>
      <c r="B54" s="907" t="s">
        <v>294</v>
      </c>
      <c r="I54" s="892"/>
      <c r="J54" s="909" t="s">
        <v>5</v>
      </c>
      <c r="K54" s="910">
        <v>1.5</v>
      </c>
      <c r="L54" s="909" t="s">
        <v>122</v>
      </c>
      <c r="M54" s="817"/>
    </row>
    <row r="55" spans="1:13" ht="20.149999999999999" customHeight="1" thickTop="1" thickBot="1" x14ac:dyDescent="0.35">
      <c r="B55" s="1638">
        <v>15000</v>
      </c>
      <c r="C55" s="1639"/>
      <c r="D55" s="1640"/>
      <c r="I55" s="892"/>
      <c r="J55" s="909" t="s">
        <v>39</v>
      </c>
      <c r="K55" s="910">
        <v>3.5</v>
      </c>
      <c r="L55" s="909" t="s">
        <v>122</v>
      </c>
      <c r="M55" s="817"/>
    </row>
    <row r="56" spans="1:13" ht="20.149999999999999" customHeight="1" thickTop="1" thickBot="1" x14ac:dyDescent="0.35">
      <c r="I56" s="892"/>
      <c r="J56" s="909" t="s">
        <v>121</v>
      </c>
      <c r="K56" s="910">
        <v>1.5</v>
      </c>
      <c r="L56" s="909" t="s">
        <v>122</v>
      </c>
      <c r="M56" s="817"/>
    </row>
    <row r="57" spans="1:13" ht="20.149999999999999" customHeight="1" thickTop="1" thickBot="1" x14ac:dyDescent="0.45">
      <c r="A57" s="860">
        <v>17</v>
      </c>
      <c r="B57" s="911" t="s">
        <v>363</v>
      </c>
      <c r="I57" s="826">
        <v>20</v>
      </c>
      <c r="J57" s="883" t="s">
        <v>123</v>
      </c>
      <c r="K57" s="828">
        <v>33.33</v>
      </c>
      <c r="L57" s="829" t="s">
        <v>69</v>
      </c>
      <c r="M57" s="830"/>
    </row>
    <row r="58" spans="1:13" ht="20.149999999999999" customHeight="1" thickTop="1" thickBot="1" x14ac:dyDescent="0.35">
      <c r="B58" s="912" t="s">
        <v>367</v>
      </c>
      <c r="D58" s="904" t="s">
        <v>78</v>
      </c>
      <c r="I58" s="813">
        <v>21</v>
      </c>
      <c r="J58" s="835" t="s">
        <v>229</v>
      </c>
      <c r="K58" s="816"/>
      <c r="L58" s="816"/>
      <c r="M58" s="817"/>
    </row>
    <row r="59" spans="1:13" ht="20.149999999999999" customHeight="1" thickTop="1" thickBot="1" x14ac:dyDescent="0.35">
      <c r="B59" s="912" t="s">
        <v>364</v>
      </c>
      <c r="D59" s="781">
        <v>15</v>
      </c>
      <c r="E59" s="785" t="s">
        <v>368</v>
      </c>
      <c r="I59" s="892"/>
      <c r="J59" s="816" t="s">
        <v>230</v>
      </c>
      <c r="K59" s="908">
        <v>0</v>
      </c>
      <c r="L59" s="913" t="s">
        <v>77</v>
      </c>
      <c r="M59" s="817"/>
    </row>
    <row r="60" spans="1:13" ht="20.149999999999999" customHeight="1" thickBot="1" x14ac:dyDescent="0.35">
      <c r="B60" s="912" t="s">
        <v>365</v>
      </c>
      <c r="D60" s="781">
        <v>15</v>
      </c>
      <c r="E60" s="785" t="s">
        <v>368</v>
      </c>
      <c r="I60" s="892"/>
      <c r="J60" s="816" t="s">
        <v>231</v>
      </c>
      <c r="K60" s="910">
        <v>0</v>
      </c>
      <c r="L60" s="913" t="s">
        <v>77</v>
      </c>
      <c r="M60" s="817"/>
    </row>
    <row r="61" spans="1:13" ht="20.149999999999999" customHeight="1" thickTop="1" thickBot="1" x14ac:dyDescent="0.35">
      <c r="A61" s="914"/>
      <c r="B61" s="915" t="s">
        <v>369</v>
      </c>
      <c r="D61" s="904" t="s">
        <v>78</v>
      </c>
      <c r="I61" s="892"/>
      <c r="J61" s="909" t="s">
        <v>41</v>
      </c>
      <c r="K61" s="910">
        <v>0</v>
      </c>
      <c r="L61" s="913" t="s">
        <v>77</v>
      </c>
      <c r="M61" s="817"/>
    </row>
    <row r="62" spans="1:13" ht="20.149999999999999" customHeight="1" thickTop="1" thickBot="1" x14ac:dyDescent="0.35">
      <c r="I62" s="892"/>
      <c r="J62" s="909" t="s">
        <v>42</v>
      </c>
      <c r="K62" s="910">
        <v>6000</v>
      </c>
      <c r="L62" s="913" t="s">
        <v>77</v>
      </c>
      <c r="M62" s="817"/>
    </row>
    <row r="63" spans="1:13" ht="20.149999999999999" customHeight="1" thickTop="1" thickBot="1" x14ac:dyDescent="0.4">
      <c r="A63" s="860">
        <v>18</v>
      </c>
      <c r="B63" s="916" t="s">
        <v>366</v>
      </c>
      <c r="D63" s="904" t="s">
        <v>78</v>
      </c>
      <c r="I63" s="892"/>
      <c r="J63" s="909" t="s">
        <v>225</v>
      </c>
      <c r="K63" s="910">
        <v>0</v>
      </c>
      <c r="L63" s="913" t="s">
        <v>77</v>
      </c>
      <c r="M63" s="817"/>
    </row>
    <row r="64" spans="1:13" ht="20.149999999999999" customHeight="1" thickTop="1" thickBot="1" x14ac:dyDescent="0.35">
      <c r="B64" s="912" t="s">
        <v>367</v>
      </c>
      <c r="D64" s="904" t="s">
        <v>78</v>
      </c>
      <c r="I64" s="892"/>
      <c r="J64" s="909" t="s">
        <v>232</v>
      </c>
      <c r="K64" s="910">
        <v>2500</v>
      </c>
      <c r="L64" s="913" t="s">
        <v>77</v>
      </c>
      <c r="M64" s="817"/>
    </row>
    <row r="65" spans="1:13" ht="20.149999999999999" customHeight="1" thickTop="1" thickBot="1" x14ac:dyDescent="0.35">
      <c r="I65" s="892"/>
      <c r="J65" s="909" t="s">
        <v>228</v>
      </c>
      <c r="K65" s="910">
        <v>2000</v>
      </c>
      <c r="L65" s="913" t="s">
        <v>77</v>
      </c>
      <c r="M65" s="817"/>
    </row>
    <row r="66" spans="1:13" ht="20.149999999999999" customHeight="1" thickTop="1" thickBot="1" x14ac:dyDescent="0.45">
      <c r="A66" s="860">
        <v>19</v>
      </c>
      <c r="B66" s="911" t="s">
        <v>370</v>
      </c>
      <c r="I66" s="892"/>
      <c r="J66" s="909" t="s">
        <v>233</v>
      </c>
      <c r="K66" s="910">
        <v>5000</v>
      </c>
      <c r="L66" s="913" t="s">
        <v>77</v>
      </c>
      <c r="M66" s="817"/>
    </row>
    <row r="67" spans="1:13" ht="20.149999999999999" customHeight="1" thickTop="1" thickBot="1" x14ac:dyDescent="0.35">
      <c r="B67" s="917" t="s">
        <v>371</v>
      </c>
      <c r="D67" s="904" t="s">
        <v>78</v>
      </c>
      <c r="I67" s="892"/>
      <c r="J67" s="909" t="s">
        <v>220</v>
      </c>
      <c r="K67" s="910">
        <v>2500</v>
      </c>
      <c r="L67" s="913" t="s">
        <v>77</v>
      </c>
      <c r="M67" s="817"/>
    </row>
    <row r="68" spans="1:13" ht="20.149999999999999" customHeight="1" thickTop="1" x14ac:dyDescent="0.3">
      <c r="A68" s="1626" t="s">
        <v>435</v>
      </c>
      <c r="B68" s="1627"/>
      <c r="C68" s="1627"/>
      <c r="D68" s="1627"/>
      <c r="E68" s="1627"/>
      <c r="F68" s="1627"/>
      <c r="G68" s="1628"/>
      <c r="I68" s="892"/>
      <c r="J68" s="909" t="s">
        <v>270</v>
      </c>
      <c r="K68" s="910">
        <v>10</v>
      </c>
      <c r="L68" s="918">
        <v>5000</v>
      </c>
      <c r="M68" s="919" t="s">
        <v>283</v>
      </c>
    </row>
    <row r="69" spans="1:13" ht="20.149999999999999" customHeight="1" x14ac:dyDescent="0.3">
      <c r="A69" s="1629"/>
      <c r="B69" s="1630"/>
      <c r="C69" s="1630"/>
      <c r="D69" s="1630"/>
      <c r="E69" s="1630"/>
      <c r="F69" s="1630"/>
      <c r="G69" s="1631"/>
      <c r="I69" s="892"/>
      <c r="J69" s="909" t="s">
        <v>210</v>
      </c>
      <c r="K69" s="910">
        <v>0</v>
      </c>
      <c r="L69" s="913" t="s">
        <v>77</v>
      </c>
      <c r="M69" s="817"/>
    </row>
    <row r="70" spans="1:13" ht="20.149999999999999" customHeight="1" thickBot="1" x14ac:dyDescent="0.35">
      <c r="I70" s="892"/>
      <c r="J70" s="909" t="s">
        <v>271</v>
      </c>
      <c r="K70" s="910">
        <v>0</v>
      </c>
      <c r="L70" s="913" t="s">
        <v>77</v>
      </c>
      <c r="M70" s="817"/>
    </row>
    <row r="71" spans="1:13" ht="20.149999999999999" customHeight="1" thickTop="1" thickBot="1" x14ac:dyDescent="0.35">
      <c r="B71" s="917" t="s">
        <v>372</v>
      </c>
      <c r="D71" s="904" t="s">
        <v>114</v>
      </c>
      <c r="I71" s="892"/>
      <c r="J71" s="909" t="s">
        <v>209</v>
      </c>
      <c r="K71" s="910">
        <v>0</v>
      </c>
      <c r="L71" s="913" t="s">
        <v>77</v>
      </c>
      <c r="M71" s="817"/>
    </row>
    <row r="72" spans="1:13" ht="20.149999999999999" customHeight="1" thickTop="1" x14ac:dyDescent="0.3">
      <c r="A72" s="1626"/>
      <c r="B72" s="1627"/>
      <c r="C72" s="1627"/>
      <c r="D72" s="1627"/>
      <c r="E72" s="1627"/>
      <c r="F72" s="1627"/>
      <c r="G72" s="1628"/>
      <c r="I72" s="892"/>
      <c r="J72" s="909" t="s">
        <v>275</v>
      </c>
      <c r="K72" s="910">
        <v>0</v>
      </c>
      <c r="L72" s="913" t="s">
        <v>77</v>
      </c>
      <c r="M72" s="817"/>
    </row>
    <row r="73" spans="1:13" ht="20.149999999999999" customHeight="1" x14ac:dyDescent="0.3">
      <c r="A73" s="1629"/>
      <c r="B73" s="1630"/>
      <c r="C73" s="1630"/>
      <c r="D73" s="1630"/>
      <c r="E73" s="1630"/>
      <c r="F73" s="1630"/>
      <c r="G73" s="1631"/>
      <c r="I73" s="892"/>
      <c r="J73" s="909" t="s">
        <v>276</v>
      </c>
      <c r="K73" s="910">
        <v>0</v>
      </c>
      <c r="L73" s="913" t="s">
        <v>77</v>
      </c>
      <c r="M73" s="817"/>
    </row>
    <row r="74" spans="1:13" ht="20.149999999999999" customHeight="1" thickBot="1" x14ac:dyDescent="0.35">
      <c r="I74" s="892"/>
      <c r="J74" s="909" t="s">
        <v>211</v>
      </c>
      <c r="K74" s="910">
        <v>0</v>
      </c>
      <c r="L74" s="913" t="s">
        <v>77</v>
      </c>
      <c r="M74" s="817"/>
    </row>
    <row r="75" spans="1:13" ht="20.149999999999999" customHeight="1" thickTop="1" thickBot="1" x14ac:dyDescent="0.35">
      <c r="B75" s="917" t="s">
        <v>373</v>
      </c>
      <c r="D75" s="904" t="s">
        <v>114</v>
      </c>
      <c r="F75" s="920">
        <v>0.25</v>
      </c>
      <c r="I75" s="892"/>
      <c r="J75" s="909" t="s">
        <v>215</v>
      </c>
      <c r="K75" s="910">
        <v>0</v>
      </c>
      <c r="L75" s="913" t="s">
        <v>77</v>
      </c>
      <c r="M75" s="817"/>
    </row>
    <row r="76" spans="1:13" ht="20.149999999999999" customHeight="1" thickTop="1" thickBot="1" x14ac:dyDescent="0.35">
      <c r="B76" s="912" t="s">
        <v>367</v>
      </c>
      <c r="D76" s="904" t="str">
        <f>IF(OR('MC Working'!H14="Yes",'MC Working'!M12="Corporate"),"Yes","No")</f>
        <v>Yes</v>
      </c>
      <c r="I76" s="892"/>
      <c r="J76" s="921" t="s">
        <v>212</v>
      </c>
      <c r="K76" s="910">
        <v>3000</v>
      </c>
      <c r="L76" s="913" t="s">
        <v>77</v>
      </c>
      <c r="M76" s="817"/>
    </row>
    <row r="77" spans="1:13" ht="20.149999999999999" customHeight="1" thickTop="1" x14ac:dyDescent="0.3">
      <c r="I77" s="826">
        <v>22</v>
      </c>
      <c r="J77" s="883" t="s">
        <v>306</v>
      </c>
      <c r="K77" s="829"/>
      <c r="L77" s="829"/>
      <c r="M77" s="830"/>
    </row>
    <row r="78" spans="1:13" ht="20.149999999999999" customHeight="1" thickBot="1" x14ac:dyDescent="0.35">
      <c r="I78" s="896"/>
      <c r="J78" s="906" t="s">
        <v>316</v>
      </c>
      <c r="K78" s="922">
        <v>0.125</v>
      </c>
      <c r="L78" s="829" t="s">
        <v>307</v>
      </c>
      <c r="M78" s="830"/>
    </row>
    <row r="79" spans="1:13" ht="20.149999999999999" customHeight="1" thickTop="1" thickBot="1" x14ac:dyDescent="0.45">
      <c r="A79" s="860">
        <v>20</v>
      </c>
      <c r="B79" s="911" t="s">
        <v>397</v>
      </c>
      <c r="D79" s="904" t="s">
        <v>78</v>
      </c>
      <c r="I79" s="896"/>
      <c r="J79" s="906" t="s">
        <v>308</v>
      </c>
      <c r="K79" s="922">
        <v>0.25</v>
      </c>
      <c r="L79" s="829" t="s">
        <v>307</v>
      </c>
      <c r="M79" s="830"/>
    </row>
    <row r="80" spans="1:13" ht="20.149999999999999" customHeight="1" thickTop="1" thickBot="1" x14ac:dyDescent="0.35">
      <c r="I80" s="896"/>
      <c r="J80" s="906" t="s">
        <v>309</v>
      </c>
      <c r="K80" s="922">
        <v>0.375</v>
      </c>
      <c r="L80" s="829" t="s">
        <v>307</v>
      </c>
      <c r="M80" s="830"/>
    </row>
    <row r="81" spans="1:13" ht="20.149999999999999" customHeight="1" thickTop="1" thickBot="1" x14ac:dyDescent="0.4">
      <c r="A81" s="860">
        <v>24</v>
      </c>
      <c r="B81" s="923" t="s">
        <v>407</v>
      </c>
      <c r="D81" s="904" t="s">
        <v>114</v>
      </c>
      <c r="F81" s="904">
        <v>1000</v>
      </c>
      <c r="I81" s="896"/>
      <c r="J81" s="906" t="s">
        <v>302</v>
      </c>
      <c r="K81" s="922">
        <v>0.5</v>
      </c>
      <c r="L81" s="829" t="s">
        <v>69</v>
      </c>
      <c r="M81" s="830"/>
    </row>
    <row r="82" spans="1:13" ht="20.149999999999999" customHeight="1" thickTop="1" thickBot="1" x14ac:dyDescent="0.35">
      <c r="B82" s="924" t="s">
        <v>409</v>
      </c>
      <c r="I82" s="896"/>
      <c r="J82" s="906" t="s">
        <v>310</v>
      </c>
      <c r="K82" s="922">
        <v>0.625</v>
      </c>
      <c r="L82" s="829" t="s">
        <v>69</v>
      </c>
      <c r="M82" s="830"/>
    </row>
    <row r="83" spans="1:13" ht="20.149999999999999" customHeight="1" thickTop="1" thickBot="1" x14ac:dyDescent="0.35">
      <c r="B83" s="925" t="s">
        <v>223</v>
      </c>
      <c r="D83" s="904">
        <v>2500</v>
      </c>
      <c r="I83" s="896"/>
      <c r="J83" s="906" t="s">
        <v>305</v>
      </c>
      <c r="K83" s="922">
        <v>0.75</v>
      </c>
      <c r="L83" s="829" t="s">
        <v>69</v>
      </c>
      <c r="M83" s="830"/>
    </row>
    <row r="84" spans="1:13" ht="20.149999999999999" customHeight="1" thickTop="1" x14ac:dyDescent="0.3">
      <c r="I84" s="896"/>
      <c r="J84" s="906" t="s">
        <v>311</v>
      </c>
      <c r="K84" s="922">
        <v>0.75</v>
      </c>
      <c r="L84" s="829" t="s">
        <v>69</v>
      </c>
      <c r="M84" s="830"/>
    </row>
    <row r="85" spans="1:13" ht="20.149999999999999" customHeight="1" thickBot="1" x14ac:dyDescent="0.35">
      <c r="I85" s="896"/>
      <c r="J85" s="906" t="s">
        <v>312</v>
      </c>
      <c r="K85" s="922">
        <v>0.875</v>
      </c>
      <c r="L85" s="829" t="s">
        <v>307</v>
      </c>
      <c r="M85" s="830"/>
    </row>
    <row r="86" spans="1:13" ht="20.149999999999999" customHeight="1" thickTop="1" thickBot="1" x14ac:dyDescent="0.4">
      <c r="A86" s="860">
        <v>25</v>
      </c>
      <c r="B86" s="923" t="s">
        <v>412</v>
      </c>
      <c r="D86" s="926" t="s">
        <v>414</v>
      </c>
      <c r="E86" s="926"/>
      <c r="F86" s="926" t="s">
        <v>0</v>
      </c>
      <c r="I86" s="896"/>
      <c r="J86" s="906" t="s">
        <v>304</v>
      </c>
      <c r="K86" s="922">
        <v>0.875</v>
      </c>
      <c r="L86" s="829" t="s">
        <v>307</v>
      </c>
      <c r="M86" s="830"/>
    </row>
    <row r="87" spans="1:13" ht="20.149999999999999" customHeight="1" thickTop="1" x14ac:dyDescent="0.3">
      <c r="B87" s="927" t="s">
        <v>60</v>
      </c>
      <c r="D87" s="928">
        <f>IF(OR('MC Working'!K14='MC Working'!F108,'MC Working'!K14='MC Working'!F115),1,IF('MC Working'!K14='MC Working'!F100,0,IF('MC Working'!K14='MC Working'!F113,0,IF('MC Working'!K14='MC Working'!F98,'Rates (2)'!D98,0))))</f>
        <v>0</v>
      </c>
      <c r="E87" s="929"/>
      <c r="F87" s="928">
        <f>IF('MC Working'!K14='MC Working'!F100,10,IF('MC Working'!K14='MC Working'!F113,10,IF('MC Working'!K14='MC Working'!F98,'Rates (2)'!F98,15)))</f>
        <v>15</v>
      </c>
      <c r="I87" s="896"/>
      <c r="J87" s="906" t="s">
        <v>313</v>
      </c>
      <c r="K87" s="930">
        <v>1</v>
      </c>
      <c r="L87" s="829" t="s">
        <v>307</v>
      </c>
      <c r="M87" s="830"/>
    </row>
    <row r="88" spans="1:13" ht="20.149999999999999" customHeight="1" x14ac:dyDescent="0.3">
      <c r="B88" s="927" t="s">
        <v>413</v>
      </c>
      <c r="D88" s="928">
        <f>IF(OR('MC Working'!K14='MC Working'!F108,'MC Working'!K14='MC Working'!F115),0,IF('MC Working'!K14='MC Working'!F113,D92,IF(OR('MC Working'!K14='MC Working'!F103,'MC Working'!K14='MC Working'!F119),D104,0)))</f>
        <v>0</v>
      </c>
      <c r="E88" s="929"/>
      <c r="F88" s="928">
        <f>IF(OR('MC Working'!K14='MC Working'!F108,'MC Working'!K14='MC Working'!F115),15,IF('MC Working'!K14='MC Working'!F113,F92,IF(OR('MC Working'!K14='MC Working'!F103,'MC Working'!K14='MC Working'!F119),F104,15)))</f>
        <v>15</v>
      </c>
      <c r="I88" s="896"/>
      <c r="J88" s="906" t="s">
        <v>314</v>
      </c>
      <c r="K88" s="930">
        <v>1</v>
      </c>
      <c r="L88" s="829" t="s">
        <v>307</v>
      </c>
      <c r="M88" s="830"/>
    </row>
    <row r="89" spans="1:13" ht="20.149999999999999" customHeight="1" x14ac:dyDescent="0.3">
      <c r="I89" s="896"/>
      <c r="J89" s="906" t="s">
        <v>315</v>
      </c>
      <c r="K89" s="930">
        <v>1</v>
      </c>
      <c r="L89" s="829" t="s">
        <v>307</v>
      </c>
      <c r="M89" s="830"/>
    </row>
    <row r="90" spans="1:13" ht="20.149999999999999" customHeight="1" x14ac:dyDescent="0.3">
      <c r="B90" s="789"/>
      <c r="I90" s="896"/>
      <c r="J90" s="906" t="s">
        <v>303</v>
      </c>
      <c r="K90" s="930">
        <v>1</v>
      </c>
      <c r="L90" s="829" t="s">
        <v>307</v>
      </c>
      <c r="M90" s="830"/>
    </row>
    <row r="91" spans="1:13" ht="20.149999999999999" customHeight="1" x14ac:dyDescent="0.3">
      <c r="B91" s="931" t="s">
        <v>433</v>
      </c>
      <c r="C91" s="931"/>
      <c r="D91" s="932" t="s">
        <v>414</v>
      </c>
      <c r="E91" s="932"/>
      <c r="F91" s="932" t="s">
        <v>0</v>
      </c>
      <c r="I91" s="896"/>
      <c r="J91" s="906"/>
      <c r="K91" s="828"/>
      <c r="L91" s="829"/>
      <c r="M91" s="830"/>
    </row>
    <row r="92" spans="1:13" ht="20.149999999999999" customHeight="1" x14ac:dyDescent="0.3">
      <c r="B92" s="933" t="s">
        <v>434</v>
      </c>
      <c r="D92" s="928">
        <f>IF('MC Working'!H9="Hiring",'Rates (2)'!D95,'Rates (2)'!F95)</f>
        <v>10</v>
      </c>
      <c r="E92" s="929"/>
      <c r="F92" s="928">
        <f>IF('MC Working'!H9="Hiring",'Rates (2)'!D96,'Rates (2)'!F96)</f>
        <v>38.32</v>
      </c>
      <c r="I92" s="896"/>
      <c r="J92" s="906"/>
      <c r="K92" s="828"/>
      <c r="L92" s="829"/>
      <c r="M92" s="830"/>
    </row>
    <row r="93" spans="1:13" ht="20.149999999999999" customHeight="1" x14ac:dyDescent="0.3">
      <c r="I93" s="896"/>
      <c r="J93" s="906"/>
      <c r="K93" s="828"/>
      <c r="L93" s="829"/>
      <c r="M93" s="830"/>
    </row>
    <row r="94" spans="1:13" ht="20.149999999999999" customHeight="1" x14ac:dyDescent="0.3">
      <c r="D94" s="785" t="s">
        <v>41</v>
      </c>
      <c r="F94" s="785" t="s">
        <v>45</v>
      </c>
      <c r="I94" s="896"/>
      <c r="J94" s="906"/>
      <c r="K94" s="828"/>
      <c r="L94" s="829"/>
      <c r="M94" s="830"/>
    </row>
    <row r="95" spans="1:13" ht="20.149999999999999" customHeight="1" x14ac:dyDescent="0.25">
      <c r="B95" s="934" t="s">
        <v>414</v>
      </c>
      <c r="D95" s="785">
        <v>33.799999999999997</v>
      </c>
      <c r="F95" s="785">
        <v>10</v>
      </c>
    </row>
    <row r="96" spans="1:13" ht="20.149999999999999" customHeight="1" x14ac:dyDescent="0.25">
      <c r="B96" s="935" t="s">
        <v>0</v>
      </c>
      <c r="C96" s="936"/>
      <c r="D96" s="936">
        <v>65</v>
      </c>
      <c r="E96" s="936"/>
      <c r="F96" s="936">
        <v>38.32</v>
      </c>
    </row>
    <row r="97" spans="2:6" ht="20.149999999999999" customHeight="1" x14ac:dyDescent="0.3">
      <c r="B97" s="937" t="s">
        <v>437</v>
      </c>
      <c r="C97" s="931"/>
      <c r="D97" s="932" t="s">
        <v>414</v>
      </c>
      <c r="E97" s="932"/>
      <c r="F97" s="932" t="s">
        <v>0</v>
      </c>
    </row>
    <row r="98" spans="2:6" ht="20.149999999999999" customHeight="1" x14ac:dyDescent="0.3">
      <c r="B98" s="933" t="s">
        <v>436</v>
      </c>
      <c r="D98" s="928">
        <v>0</v>
      </c>
      <c r="E98" s="929"/>
      <c r="F98" s="928">
        <v>15</v>
      </c>
    </row>
    <row r="99" spans="2:6" ht="20.149999999999999" customHeight="1" x14ac:dyDescent="0.25">
      <c r="D99" s="938" t="s">
        <v>438</v>
      </c>
      <c r="F99" s="939" t="s">
        <v>439</v>
      </c>
    </row>
    <row r="100" spans="2:6" ht="20.149999999999999" customHeight="1" x14ac:dyDescent="0.25">
      <c r="B100" s="934" t="s">
        <v>444</v>
      </c>
      <c r="D100" s="785">
        <v>0</v>
      </c>
      <c r="F100" s="785">
        <v>0</v>
      </c>
    </row>
    <row r="101" spans="2:6" ht="20.149999999999999" customHeight="1" x14ac:dyDescent="0.25">
      <c r="B101" s="935" t="s">
        <v>445</v>
      </c>
      <c r="C101" s="936"/>
      <c r="D101" s="936">
        <v>15</v>
      </c>
      <c r="E101" s="936"/>
      <c r="F101" s="936">
        <v>15</v>
      </c>
    </row>
    <row r="102" spans="2:6" ht="20.149999999999999" customHeight="1" x14ac:dyDescent="0.25">
      <c r="B102" s="935"/>
      <c r="C102" s="936"/>
      <c r="D102" s="936"/>
      <c r="E102" s="936"/>
      <c r="F102" s="936"/>
    </row>
    <row r="103" spans="2:6" ht="23.25" customHeight="1" x14ac:dyDescent="0.3">
      <c r="B103" s="940" t="s">
        <v>442</v>
      </c>
      <c r="C103" s="931"/>
      <c r="D103" s="932" t="s">
        <v>414</v>
      </c>
      <c r="E103" s="932"/>
      <c r="F103" s="932" t="s">
        <v>0</v>
      </c>
    </row>
    <row r="104" spans="2:6" ht="20.149999999999999" customHeight="1" x14ac:dyDescent="0.3">
      <c r="B104" s="933" t="s">
        <v>434</v>
      </c>
      <c r="D104" s="928">
        <v>33</v>
      </c>
      <c r="E104" s="929"/>
      <c r="F104" s="928">
        <v>35</v>
      </c>
    </row>
  </sheetData>
  <mergeCells count="22">
    <mergeCell ref="F1:F2"/>
    <mergeCell ref="I2:J2"/>
    <mergeCell ref="N3:P3"/>
    <mergeCell ref="N4:P4"/>
    <mergeCell ref="N5:P5"/>
    <mergeCell ref="N6:P6"/>
    <mergeCell ref="N7:P7"/>
    <mergeCell ref="N8:P8"/>
    <mergeCell ref="N9:P9"/>
    <mergeCell ref="M19:N19"/>
    <mergeCell ref="F27:G27"/>
    <mergeCell ref="C28:D28"/>
    <mergeCell ref="B47:B48"/>
    <mergeCell ref="B55:D55"/>
    <mergeCell ref="A68:G69"/>
    <mergeCell ref="A72:G73"/>
    <mergeCell ref="C29:D29"/>
    <mergeCell ref="E29:F29"/>
    <mergeCell ref="G29:H29"/>
    <mergeCell ref="C38:E38"/>
    <mergeCell ref="C40:E40"/>
    <mergeCell ref="B43:B44"/>
  </mergeCells>
  <conditionalFormatting sqref="D59:D60">
    <cfRule type="cellIs" dxfId="223" priority="1" stopIfTrue="1" operator="equal">
      <formula>"No"</formula>
    </cfRule>
  </conditionalFormatting>
  <dataValidations count="17">
    <dataValidation operator="greaterThan" allowBlank="1" showInputMessage="1" showErrorMessage="1" sqref="Q6" xr:uid="{00000000-0002-0000-0600-000000000000}"/>
    <dataValidation type="decimal" allowBlank="1" showInputMessage="1" showErrorMessage="1" sqref="F87:F88 F104" xr:uid="{00000000-0002-0000-0600-000001000000}">
      <formula1>0</formula1>
      <formula2>65</formula2>
    </dataValidation>
    <dataValidation type="decimal" allowBlank="1" showInputMessage="1" showErrorMessage="1" sqref="F92 F98" xr:uid="{00000000-0002-0000-0600-000002000000}">
      <formula1>0</formula1>
      <formula2>80</formula2>
    </dataValidation>
    <dataValidation type="decimal" allowBlank="1" showInputMessage="1" showErrorMessage="1" sqref="D92 D87:D88 D98 D104" xr:uid="{00000000-0002-0000-0600-000003000000}">
      <formula1>0</formula1>
      <formula2>50</formula2>
    </dataValidation>
    <dataValidation type="decimal" allowBlank="1" showInputMessage="1" showErrorMessage="1" sqref="F81 D83" xr:uid="{00000000-0002-0000-0600-000004000000}">
      <formula1>0</formula1>
      <formula2>10000</formula2>
    </dataValidation>
    <dataValidation type="decimal" allowBlank="1" showInputMessage="1" showErrorMessage="1" sqref="F75" xr:uid="{00000000-0002-0000-0600-000005000000}">
      <formula1>0</formula1>
      <formula2>25</formula2>
    </dataValidation>
    <dataValidation type="decimal" allowBlank="1" showInputMessage="1" showErrorMessage="1" sqref="D59:D60" xr:uid="{00000000-0002-0000-0600-000006000000}">
      <formula1>0</formula1>
      <formula2>100</formula2>
    </dataValidation>
    <dataValidation type="decimal" operator="greaterThanOrEqual" allowBlank="1" showInputMessage="1" showErrorMessage="1" sqref="D19 D21" xr:uid="{00000000-0002-0000-0600-000007000000}">
      <formula1>0</formula1>
    </dataValidation>
    <dataValidation type="decimal" operator="greaterThan" allowBlank="1" showInputMessage="1" showErrorMessage="1" sqref="R8:R9 R4:R6" xr:uid="{00000000-0002-0000-0600-000008000000}">
      <formula1>0</formula1>
    </dataValidation>
    <dataValidation type="whole" allowBlank="1" showInputMessage="1" showErrorMessage="1" sqref="B55:D55" xr:uid="{00000000-0002-0000-0600-000009000000}">
      <formula1>0</formula1>
      <formula2>100000</formula2>
    </dataValidation>
    <dataValidation type="decimal" operator="greaterThan" allowBlank="1" showInputMessage="1" showErrorMessage="1" sqref="K4:K6 K78:K90" xr:uid="{00000000-0002-0000-0600-00000A000000}">
      <formula1>-1</formula1>
    </dataValidation>
    <dataValidation type="whole" operator="greaterThan" allowBlank="1" showInputMessage="1" showErrorMessage="1" sqref="K8:K15 K91:K94 K59:K76 K3 K53:K57 K42:K51 J38:K40 K34:K36 K27:K32 M27:M29 K23:K25 K17:K21 M17:M18" xr:uid="{00000000-0002-0000-0600-00000B000000}">
      <formula1>-1</formula1>
    </dataValidation>
    <dataValidation type="list" allowBlank="1" showInputMessage="1" showErrorMessage="1" sqref="C40:E40" xr:uid="{00000000-0002-0000-0600-00000C000000}">
      <formula1>"0,25000,50000,75000,100000,125000,150000,175000,200000"</formula1>
    </dataValidation>
    <dataValidation type="whole" operator="greaterThanOrEqual" allowBlank="1" showInputMessage="1" showErrorMessage="1" sqref="D42 G20:H20 D20" xr:uid="{00000000-0002-0000-0600-00000D000000}">
      <formula1>0</formula1>
    </dataValidation>
    <dataValidation type="whole" operator="greaterThan" allowBlank="1" showInputMessage="1" showErrorMessage="1" sqref="K7 R7 Q4:Q5 Q7:Q9" xr:uid="{00000000-0002-0000-0600-00000E000000}">
      <formula1>0</formula1>
    </dataValidation>
    <dataValidation type="list" allowBlank="1" showInputMessage="1" showErrorMessage="1" sqref="M14:M15 M21" xr:uid="{00000000-0002-0000-0600-00000F000000}">
      <formula1>"Free,Charge"</formula1>
    </dataValidation>
    <dataValidation type="list" allowBlank="1" showInputMessage="1" showErrorMessage="1" sqref="D63:D64 D58 O19 D47 D43 D41 C28 D39 D45 D50 F20 D52 D61 D67 D71 D75:D76 D79 D81" xr:uid="{00000000-0002-0000-0600-000010000000}">
      <formula1>"Yes,No"</formula1>
    </dataValidation>
  </dataValidations>
  <pageMargins left="0.25" right="0" top="0.25" bottom="0" header="0.5" footer="0"/>
  <pageSetup scale="69" orientation="portrait" verticalDpi="18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43"/>
  <sheetViews>
    <sheetView workbookViewId="0">
      <selection activeCell="Q16" sqref="Q16:R17"/>
    </sheetView>
  </sheetViews>
  <sheetFormatPr defaultColWidth="9.1796875" defaultRowHeight="20.149999999999999" customHeight="1" x14ac:dyDescent="0.25"/>
  <cols>
    <col min="1" max="1" width="5.1796875" style="943" customWidth="1"/>
    <col min="2" max="3" width="10.453125" style="943" customWidth="1"/>
    <col min="4" max="4" width="1.54296875" style="943" customWidth="1"/>
    <col min="5" max="5" width="3.54296875" style="943" customWidth="1"/>
    <col min="6" max="6" width="10.1796875" style="943" customWidth="1"/>
    <col min="7" max="7" width="5.453125" style="943" customWidth="1"/>
    <col min="8" max="8" width="4.1796875" style="943" customWidth="1"/>
    <col min="9" max="9" width="3.54296875" style="943" customWidth="1"/>
    <col min="10" max="10" width="10.1796875" style="943" customWidth="1"/>
    <col min="11" max="11" width="6.54296875" style="943" customWidth="1"/>
    <col min="12" max="12" width="9.54296875" style="943" customWidth="1"/>
    <col min="13" max="13" width="2.453125" style="943" customWidth="1"/>
    <col min="14" max="14" width="10.54296875" style="943" customWidth="1"/>
    <col min="15" max="15" width="13.54296875" style="943" customWidth="1"/>
    <col min="16" max="16" width="9.453125" style="943" bestFit="1" customWidth="1"/>
    <col min="17" max="19" width="9.1796875" style="943"/>
    <col min="20" max="20" width="11.453125" style="943" customWidth="1"/>
    <col min="21" max="21" width="10.453125" style="943" bestFit="1" customWidth="1"/>
    <col min="22" max="16384" width="9.1796875" style="943"/>
  </cols>
  <sheetData>
    <row r="1" spans="1:24" ht="20.149999999999999" customHeight="1" x14ac:dyDescent="0.3">
      <c r="A1" s="1669"/>
      <c r="B1" s="1670"/>
      <c r="C1" s="1670"/>
      <c r="D1" s="1670"/>
      <c r="E1" s="1670"/>
      <c r="F1" s="1670"/>
      <c r="G1" s="1670"/>
      <c r="H1" s="1670"/>
      <c r="I1" s="1670"/>
      <c r="J1" s="941"/>
      <c r="K1" s="941"/>
      <c r="L1" s="941"/>
      <c r="M1" s="942"/>
      <c r="R1" s="944" t="s">
        <v>327</v>
      </c>
      <c r="S1" s="944">
        <f>IF(O3&gt;DATE('MC Working'!I4,2,28),K3,'MC Working'!I4)</f>
        <v>2014</v>
      </c>
      <c r="T1" s="943">
        <f>IF(OR(S1=2008,S1=2012,S1=2016,S1=2020),366,365)</f>
        <v>365</v>
      </c>
      <c r="U1" s="945" t="s">
        <v>222</v>
      </c>
      <c r="V1" s="945" t="s">
        <v>328</v>
      </c>
      <c r="W1" s="946" t="s">
        <v>329</v>
      </c>
    </row>
    <row r="2" spans="1:24" ht="20.149999999999999" customHeight="1" thickBot="1" x14ac:dyDescent="0.3">
      <c r="A2" s="947"/>
      <c r="B2" s="948"/>
      <c r="C2" s="948"/>
      <c r="D2" s="948"/>
      <c r="E2" s="948"/>
      <c r="F2" s="948"/>
      <c r="G2" s="948"/>
      <c r="H2" s="944"/>
      <c r="I2" s="944"/>
      <c r="J2" s="944"/>
      <c r="K2" s="944"/>
      <c r="L2" s="944"/>
      <c r="M2" s="949"/>
      <c r="O2" s="946" t="s">
        <v>206</v>
      </c>
      <c r="P2" s="946" t="s">
        <v>205</v>
      </c>
      <c r="Q2" s="946"/>
      <c r="R2" s="943" t="s">
        <v>330</v>
      </c>
      <c r="S2" s="943">
        <f>IF(OR('MC Working'!I4=2008,'MC Working'!I4=2012,'MC Working'!I4=2016,'MC Working'!I4=2020),29,28)</f>
        <v>28</v>
      </c>
      <c r="T2" s="943">
        <f>IF(OR(K3=2008,K3=2012,K3=2016,K3=2020),29,28)</f>
        <v>28</v>
      </c>
      <c r="U2" s="946">
        <f>IF(AND('MC Working'!G4=1,'MC Working'!H4="January"),'MC Working'!I4,'MC Working'!I4+1)</f>
        <v>2014</v>
      </c>
      <c r="V2" s="943" t="str">
        <f>IF('MC Working'!G4-1=0,V4,'MC Working'!H4)</f>
        <v>August</v>
      </c>
      <c r="W2" s="943">
        <f>IF('MC Working'!G4-1=0,W4,'MC Working'!G4-1)</f>
        <v>23</v>
      </c>
    </row>
    <row r="3" spans="1:24" ht="15.75" customHeight="1" thickBot="1" x14ac:dyDescent="0.3">
      <c r="A3" s="947"/>
      <c r="B3" s="948"/>
      <c r="C3" s="948"/>
      <c r="D3" s="948"/>
      <c r="E3" s="948"/>
      <c r="F3" s="948"/>
      <c r="G3" s="948"/>
      <c r="H3" s="950" t="s">
        <v>331</v>
      </c>
      <c r="I3" s="951">
        <f>W2</f>
        <v>23</v>
      </c>
      <c r="J3" s="951" t="str">
        <f>V2</f>
        <v>August</v>
      </c>
      <c r="K3" s="951">
        <f>U2</f>
        <v>2014</v>
      </c>
      <c r="L3" s="944"/>
      <c r="M3" s="949"/>
      <c r="O3" s="952">
        <f>DATE('MC Working'!I4,P3,'MC Working'!G4)</f>
        <v>41510</v>
      </c>
      <c r="P3" s="943">
        <f>IF('MC Working'!H4="January",1,IF('MC Working'!H4="February",2,IF('MC Working'!H4="March",3,IF('MC Working'!H4="April",4,IF('MC Working'!H4="May",5,IF('MC Working'!H4="June",6,IF('MC Working'!H4="July",7,IF('MC Working'!H4="August",8,Q3))))))))</f>
        <v>8</v>
      </c>
      <c r="Q3" s="943">
        <f>IF('MC Working'!H4="September",9,IF('MC Working'!H4="October",10,IF('MC Working'!H4="November",11,12)))</f>
        <v>12</v>
      </c>
      <c r="R3" s="943" t="s">
        <v>332</v>
      </c>
      <c r="S3" s="943">
        <f>IF(AND(P3=2,'MC Working'!G4&gt;S2),0,IF(AND(P3=4,'MC Working'!G4&gt;30),0,IF(AND(P3=6,'MC Working'!G4&gt;30),0,IF(AND(P3=9,'MC Working'!G4&gt;30),0,IF(AND(P3=11,'MC Working'!G4&gt;30),0,1)))))</f>
        <v>1</v>
      </c>
    </row>
    <row r="4" spans="1:24" ht="15.75" customHeight="1" x14ac:dyDescent="0.25">
      <c r="A4" s="947"/>
      <c r="B4" s="948"/>
      <c r="C4" s="948"/>
      <c r="D4" s="948"/>
      <c r="E4" s="948"/>
      <c r="F4" s="948"/>
      <c r="G4" s="948"/>
      <c r="H4" s="944"/>
      <c r="I4" s="953"/>
      <c r="J4" s="953"/>
      <c r="K4" s="953"/>
      <c r="L4" s="953"/>
      <c r="M4" s="954"/>
      <c r="N4" s="955"/>
      <c r="O4" s="952">
        <f>DATE(K3,P4,I3)</f>
        <v>41874</v>
      </c>
      <c r="P4" s="943">
        <f>IF(J3="January",1,IF(J3="February",2,IF(J3="March",3,IF(J3="April",4,IF(J3="May",5,IF(J3="June",6,IF(J3="July",7,IF(J3="August",8,Q4))))))))</f>
        <v>8</v>
      </c>
      <c r="Q4" s="943">
        <f>IF(J3="September",9,IF(J3="October",10,IF(J3="November",11,12)))</f>
        <v>12</v>
      </c>
      <c r="R4" s="943" t="s">
        <v>332</v>
      </c>
      <c r="S4" s="943">
        <f>IF(AND(P4=2,I3&gt;S2),0,IF(AND(P4=4,I3&gt;30),0,IF(AND(P4=6,I3&gt;30),0,IF(AND(P4=9,I3&gt;30),0,IF(AND(P4=11,I3&gt;30),0,1)))))</f>
        <v>1</v>
      </c>
      <c r="T4" s="956" t="s">
        <v>333</v>
      </c>
      <c r="U4" s="943">
        <f>IF('MC Working'!$H$4="January",31,IF('MC Working'!$H$4="February",S2,IF('MC Working'!$H$4="March",31,IF('MC Working'!$H$4="April",30,IF('MC Working'!$H$4="May",31,IF('MC Working'!$H$4="June",30,IF('MC Working'!$H$4="July",31,IF('MC Working'!$H$4="August",31,U5))))))))</f>
        <v>31</v>
      </c>
      <c r="V4" s="943" t="str">
        <f>IF('MC Working'!$H$4="January","December",IF('MC Working'!$H$4="February","January",IF('MC Working'!$H$4="March","February",IF('MC Working'!$H$4="April","March",IF('MC Working'!$H$4="May","April",IF('MC Working'!$H$4="June","May",IF('MC Working'!$H$4="July","June",IF('MC Working'!$H$4="August","July",V5))))))))</f>
        <v>July</v>
      </c>
      <c r="W4" s="943">
        <f>IF(V4="January",31,IF(V4="February",T2,IF(V4="March",31,IF(V4="April",30,IF(V4="May",31,IF(V4="June",30,IF(V4="July",31,IF(V4="August",31,W5))))))))</f>
        <v>31</v>
      </c>
    </row>
    <row r="5" spans="1:24" ht="12.75" customHeight="1" thickBot="1" x14ac:dyDescent="0.3">
      <c r="A5" s="947"/>
      <c r="B5" s="948"/>
      <c r="C5" s="948"/>
      <c r="D5" s="948"/>
      <c r="E5" s="948"/>
      <c r="F5" s="948"/>
      <c r="G5" s="948"/>
      <c r="H5" s="957"/>
      <c r="I5" s="1671" t="str">
        <f>IF('MC Working'!H3="Short period","Period Used (only for Short Period)","")</f>
        <v/>
      </c>
      <c r="J5" s="1671"/>
      <c r="K5" s="1671"/>
      <c r="L5" s="1671"/>
      <c r="M5" s="954"/>
      <c r="N5" s="958"/>
      <c r="O5" s="952"/>
      <c r="U5" s="943">
        <f>IF('MC Working'!$H$4="September",30,IF('MC Working'!$H$4="October",31,IF('MC Working'!$H$4="November",30,31)))</f>
        <v>31</v>
      </c>
      <c r="V5" s="943" t="str">
        <f>IF('MC Working'!$H$4="September","August",IF('MC Working'!$H$4="October","September",IF('MC Working'!$H$4="November","October","November")))</f>
        <v>November</v>
      </c>
      <c r="W5" s="943">
        <f>IF(V4="September",30,IF(V4="October",31,IF(V4="November",30,31)))</f>
        <v>31</v>
      </c>
    </row>
    <row r="6" spans="1:24" ht="13.5" customHeight="1" thickBot="1" x14ac:dyDescent="0.3">
      <c r="A6" s="947"/>
      <c r="B6" s="948"/>
      <c r="C6" s="948"/>
      <c r="D6" s="948"/>
      <c r="E6" s="948"/>
      <c r="F6" s="948"/>
      <c r="G6" s="948"/>
      <c r="H6" s="959"/>
      <c r="I6" s="1672"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673"/>
      <c r="K6" s="1673"/>
      <c r="L6" s="1674"/>
      <c r="M6" s="949"/>
      <c r="O6" s="952">
        <f>DATE('MC Working'!I5,P6,'MC Working'!G5)</f>
        <v>41606</v>
      </c>
      <c r="P6" s="943">
        <f>IF('MC Working'!H5="January",1,IF('MC Working'!H5="February",2,IF('MC Working'!H5="March",3,IF('MC Working'!H5="April",4,IF('MC Working'!H5="May",5,IF('MC Working'!H5="June",6,IF('MC Working'!H5="July",7,IF('MC Working'!H5="August",8,Q6))))))))</f>
        <v>11</v>
      </c>
      <c r="Q6" s="943">
        <f>IF('MC Working'!H5="September",9,IF('MC Working'!H5="October",10,IF('MC Working'!H5="November",11,12)))</f>
        <v>11</v>
      </c>
      <c r="R6" s="943" t="s">
        <v>332</v>
      </c>
      <c r="S6" s="943">
        <f>IF(AND(P6=2,'MC Working'!G5&gt;S2),0,IF(AND(P6=4,'MC Working'!G5&gt;30),0,IF(AND(P6=6,'MC Working'!G5&gt;30),0,IF(AND(P6=9,'MC Working'!G5&gt;30),0,IF(AND(P6=11,'MC Working'!G5&gt;30),0,1)))))</f>
        <v>1</v>
      </c>
    </row>
    <row r="7" spans="1:24" ht="15" customHeight="1" thickBot="1" x14ac:dyDescent="0.3">
      <c r="A7" s="947"/>
      <c r="B7" s="948"/>
      <c r="C7" s="948"/>
      <c r="D7" s="948"/>
      <c r="E7" s="948"/>
      <c r="F7" s="948"/>
      <c r="G7" s="948"/>
      <c r="H7" s="959"/>
      <c r="I7" s="944"/>
      <c r="J7" s="959"/>
      <c r="K7" s="944"/>
      <c r="L7" s="944"/>
      <c r="M7" s="949"/>
      <c r="O7" s="946" t="s">
        <v>335</v>
      </c>
    </row>
    <row r="8" spans="1:24" ht="16.5" customHeight="1" thickBot="1" x14ac:dyDescent="0.3">
      <c r="A8" s="947"/>
      <c r="B8" s="948"/>
      <c r="C8" s="948"/>
      <c r="D8" s="960"/>
      <c r="E8" s="960" t="s">
        <v>336</v>
      </c>
      <c r="F8" s="944"/>
      <c r="G8" s="959"/>
      <c r="H8" s="961">
        <f>T1-P8</f>
        <v>268</v>
      </c>
      <c r="I8" s="960" t="s">
        <v>337</v>
      </c>
      <c r="J8" s="959"/>
      <c r="K8" s="944"/>
      <c r="L8" s="944"/>
      <c r="M8" s="949"/>
      <c r="O8" s="962">
        <f>((O4-O3))*S3*S4</f>
        <v>364</v>
      </c>
      <c r="P8" s="962">
        <f>(O6-O3)+1</f>
        <v>97</v>
      </c>
    </row>
    <row r="9" spans="1:24" ht="14.25" customHeight="1" thickBot="1" x14ac:dyDescent="0.3">
      <c r="A9" s="947"/>
      <c r="B9" s="948"/>
      <c r="C9" s="948"/>
      <c r="D9" s="944"/>
      <c r="E9" s="960" t="s">
        <v>356</v>
      </c>
      <c r="F9" s="959"/>
      <c r="G9" s="959"/>
      <c r="H9" s="963">
        <f>P8</f>
        <v>97</v>
      </c>
      <c r="I9" s="960"/>
      <c r="J9" s="964">
        <f>IF('MC Working'!H3="Short Period",'Calculation (2)'!O12,'Calculation (2)'!O14)*'Calculation (2)'!S3*'Calculation (2)'!S4*'Calculation (2)'!S6*'Calculation (2)'!N11</f>
        <v>0.26575342465753427</v>
      </c>
      <c r="K9" s="944"/>
      <c r="L9" s="944"/>
      <c r="M9" s="949"/>
      <c r="N9" s="965" t="s">
        <v>332</v>
      </c>
      <c r="O9" s="943">
        <f>IF(OR(O8&lt;1,O8&gt;90),0,1)</f>
        <v>0</v>
      </c>
      <c r="V9" s="946" t="s">
        <v>204</v>
      </c>
      <c r="W9" s="943" t="s">
        <v>205</v>
      </c>
      <c r="X9" s="943" t="s">
        <v>206</v>
      </c>
    </row>
    <row r="10" spans="1:24" ht="20.149999999999999" customHeight="1" x14ac:dyDescent="0.25">
      <c r="A10" s="947"/>
      <c r="B10" s="966"/>
      <c r="C10" s="966"/>
      <c r="D10" s="948"/>
      <c r="E10" s="948"/>
      <c r="F10" s="948"/>
      <c r="G10" s="948"/>
      <c r="H10" s="948"/>
      <c r="I10" s="948"/>
      <c r="J10" s="948"/>
      <c r="K10" s="944"/>
      <c r="L10" s="944"/>
      <c r="M10" s="949"/>
      <c r="T10" s="943" t="s">
        <v>338</v>
      </c>
      <c r="U10" s="952">
        <f>O3+6</f>
        <v>41516</v>
      </c>
    </row>
    <row r="11" spans="1:24" ht="15" customHeight="1" x14ac:dyDescent="0.25">
      <c r="A11" s="947"/>
      <c r="B11" s="948"/>
      <c r="C11" s="948"/>
      <c r="D11" s="948"/>
      <c r="E11" s="948"/>
      <c r="F11" s="948"/>
      <c r="G11" s="948"/>
      <c r="H11" s="948"/>
      <c r="I11" s="948"/>
      <c r="J11" s="948"/>
      <c r="K11" s="948"/>
      <c r="L11" s="948"/>
      <c r="M11" s="948"/>
      <c r="N11" s="943">
        <f>IF(OR(S6=0,OR(O6&lt;O3,O6&gt;=O4)),0,1)</f>
        <v>1</v>
      </c>
      <c r="O11" s="967"/>
      <c r="T11" s="943" t="s">
        <v>339</v>
      </c>
      <c r="U11" s="952">
        <f>DATE(YEAR($O$3),MONTH($O$3)+1,DAY($O$3))</f>
        <v>41541</v>
      </c>
      <c r="V11" s="943">
        <v>2008</v>
      </c>
      <c r="W11" s="946">
        <f>MONTH(O3)</f>
        <v>8</v>
      </c>
      <c r="X11" s="968">
        <f>IF('MC Working'!G4-1=0,W2,'MC Working'!G4-1)</f>
        <v>23</v>
      </c>
    </row>
    <row r="12" spans="1:24" ht="15" customHeight="1" x14ac:dyDescent="0.25">
      <c r="A12" s="947"/>
      <c r="B12" s="948"/>
      <c r="C12" s="948"/>
      <c r="D12" s="948"/>
      <c r="E12" s="948"/>
      <c r="F12" s="948"/>
      <c r="G12" s="948"/>
      <c r="H12" s="948"/>
      <c r="I12" s="948"/>
      <c r="J12" s="948"/>
      <c r="K12" s="948"/>
      <c r="L12" s="948"/>
      <c r="M12" s="948"/>
      <c r="N12" s="1675" t="s">
        <v>340</v>
      </c>
      <c r="O12" s="1676">
        <f>IF(I6="Not Exceeding 1 week",1/8,IF(I6="Not Exceeding 1 Month",1/4,IF(I6="Not Exceeding 2 Months",3/8,IF(I6="Not Exceeding 3 Months",1/2,IF(I6="Not Exceeding 4 Months",5/8,IF(I6="Not Exceeding 6 Months",3/4,IF(I6="Not Exceeding 8 Months",7/8,1)))))))</f>
        <v>0.625</v>
      </c>
      <c r="P12" s="943" t="s">
        <v>341</v>
      </c>
      <c r="Q12" s="968">
        <v>31</v>
      </c>
      <c r="T12" s="943" t="s">
        <v>342</v>
      </c>
      <c r="U12" s="952">
        <f>DATE(YEAR($O$3),MONTH($O$3)+2,DAY($O$3))</f>
        <v>41571</v>
      </c>
    </row>
    <row r="13" spans="1:24" ht="15" customHeight="1" x14ac:dyDescent="0.25">
      <c r="A13" s="947"/>
      <c r="B13" s="948"/>
      <c r="C13" s="948"/>
      <c r="D13" s="948"/>
      <c r="E13" s="948"/>
      <c r="F13" s="948"/>
      <c r="G13" s="948"/>
      <c r="H13" s="948"/>
      <c r="I13" s="948"/>
      <c r="J13" s="948"/>
      <c r="K13" s="948"/>
      <c r="L13" s="948"/>
      <c r="M13" s="948"/>
      <c r="N13" s="1675"/>
      <c r="O13" s="1676"/>
      <c r="P13" s="943" t="s">
        <v>330</v>
      </c>
      <c r="Q13" s="968">
        <f>S2</f>
        <v>28</v>
      </c>
      <c r="T13" s="943" t="s">
        <v>343</v>
      </c>
      <c r="U13" s="952">
        <f>DATE(YEAR($O$3),MONTH($O$3)+3,DAY($O$3))</f>
        <v>41602</v>
      </c>
    </row>
    <row r="14" spans="1:24" ht="15" customHeight="1" x14ac:dyDescent="0.25">
      <c r="A14" s="947"/>
      <c r="B14" s="948"/>
      <c r="C14" s="948"/>
      <c r="D14" s="948"/>
      <c r="E14" s="948"/>
      <c r="F14" s="948"/>
      <c r="G14" s="948"/>
      <c r="H14" s="948"/>
      <c r="I14" s="948"/>
      <c r="J14" s="948"/>
      <c r="K14" s="948"/>
      <c r="L14" s="948"/>
      <c r="M14" s="948"/>
      <c r="N14" s="1675" t="s">
        <v>344</v>
      </c>
      <c r="O14" s="1677">
        <f>P8/365</f>
        <v>0.26575342465753427</v>
      </c>
      <c r="P14" s="943" t="s">
        <v>322</v>
      </c>
      <c r="Q14" s="968">
        <v>31</v>
      </c>
      <c r="T14" s="943" t="s">
        <v>345</v>
      </c>
      <c r="U14" s="952">
        <f>DATE(YEAR($O$3),MONTH($O$3)+4,DAY($O$3))</f>
        <v>41632</v>
      </c>
    </row>
    <row r="15" spans="1:24" ht="15" customHeight="1" x14ac:dyDescent="0.25">
      <c r="A15" s="947"/>
      <c r="B15" s="948"/>
      <c r="C15" s="948"/>
      <c r="D15" s="948"/>
      <c r="E15" s="948"/>
      <c r="F15" s="948"/>
      <c r="G15" s="948"/>
      <c r="H15" s="948"/>
      <c r="I15" s="948"/>
      <c r="J15" s="948"/>
      <c r="K15" s="948"/>
      <c r="L15" s="948"/>
      <c r="M15" s="948"/>
      <c r="N15" s="1675"/>
      <c r="O15" s="1677"/>
      <c r="P15" s="943" t="s">
        <v>346</v>
      </c>
      <c r="Q15" s="968">
        <v>30</v>
      </c>
      <c r="T15" s="943" t="s">
        <v>347</v>
      </c>
      <c r="U15" s="952">
        <f>DATE(YEAR($O$3),MONTH($O$3)+6,DAY($O$3))</f>
        <v>41694</v>
      </c>
    </row>
    <row r="16" spans="1:24" ht="15" customHeight="1" x14ac:dyDescent="0.25">
      <c r="A16" s="947"/>
      <c r="B16" s="948"/>
      <c r="C16" s="948"/>
      <c r="D16" s="948"/>
      <c r="E16" s="948"/>
      <c r="F16" s="948"/>
      <c r="G16" s="948"/>
      <c r="H16" s="948"/>
      <c r="I16" s="948"/>
      <c r="J16" s="948"/>
      <c r="K16" s="948"/>
      <c r="L16" s="948"/>
      <c r="M16" s="948"/>
      <c r="O16" s="967"/>
      <c r="P16" s="943" t="s">
        <v>348</v>
      </c>
      <c r="Q16" s="968">
        <v>31</v>
      </c>
      <c r="T16" s="943" t="s">
        <v>349</v>
      </c>
      <c r="U16" s="952">
        <f>DATE(YEAR($O$3),MONTH($O$3)+8,DAY($O$3))</f>
        <v>41753</v>
      </c>
    </row>
    <row r="17" spans="1:21" ht="15" customHeight="1" x14ac:dyDescent="0.25">
      <c r="A17" s="947"/>
      <c r="B17" s="948"/>
      <c r="C17" s="948"/>
      <c r="D17" s="948"/>
      <c r="E17" s="948"/>
      <c r="F17" s="948"/>
      <c r="G17" s="948"/>
      <c r="H17" s="948"/>
      <c r="I17" s="948"/>
      <c r="J17" s="948"/>
      <c r="K17" s="948"/>
      <c r="L17" s="948"/>
      <c r="M17" s="948"/>
      <c r="O17" s="967"/>
      <c r="P17" s="943" t="s">
        <v>350</v>
      </c>
      <c r="Q17" s="968">
        <v>30</v>
      </c>
    </row>
    <row r="18" spans="1:21" ht="15" customHeight="1" x14ac:dyDescent="0.25">
      <c r="A18" s="947"/>
      <c r="B18" s="948"/>
      <c r="C18" s="948"/>
      <c r="D18" s="948"/>
      <c r="E18" s="948"/>
      <c r="F18" s="948"/>
      <c r="G18" s="948"/>
      <c r="H18" s="948"/>
      <c r="I18" s="948"/>
      <c r="J18" s="948"/>
      <c r="K18" s="948"/>
      <c r="L18" s="948"/>
      <c r="M18" s="948"/>
      <c r="N18" s="965"/>
      <c r="O18" s="967"/>
      <c r="P18" s="943" t="s">
        <v>334</v>
      </c>
      <c r="Q18" s="968">
        <v>31</v>
      </c>
      <c r="U18" s="943" t="str">
        <f>IF(AND(O6&gt;U16,O6&lt;=O4),"Exceeding 8 Months","Out of Period")</f>
        <v>Out of Period</v>
      </c>
    </row>
    <row r="19" spans="1:21" ht="15" customHeight="1" x14ac:dyDescent="0.25">
      <c r="A19" s="947"/>
      <c r="B19" s="948"/>
      <c r="C19" s="948"/>
      <c r="D19" s="948"/>
      <c r="E19" s="948"/>
      <c r="F19" s="948"/>
      <c r="G19" s="948"/>
      <c r="H19" s="948"/>
      <c r="I19" s="948"/>
      <c r="J19" s="948"/>
      <c r="K19" s="944"/>
      <c r="L19" s="944">
        <f>100-L18</f>
        <v>100</v>
      </c>
      <c r="M19" s="949"/>
      <c r="N19" s="965"/>
      <c r="O19" s="967"/>
      <c r="P19" s="943" t="s">
        <v>351</v>
      </c>
      <c r="Q19" s="968">
        <v>31</v>
      </c>
    </row>
    <row r="20" spans="1:21" ht="15" customHeight="1" x14ac:dyDescent="0.25">
      <c r="A20" s="947"/>
      <c r="B20" s="948"/>
      <c r="C20" s="948"/>
      <c r="D20" s="948"/>
      <c r="E20" s="948"/>
      <c r="F20" s="948"/>
      <c r="G20" s="948"/>
      <c r="H20" s="948"/>
      <c r="I20" s="948"/>
      <c r="J20" s="948"/>
      <c r="K20" s="944"/>
      <c r="L20" s="944"/>
      <c r="M20" s="949"/>
      <c r="O20" s="967"/>
      <c r="P20" s="943" t="s">
        <v>352</v>
      </c>
      <c r="Q20" s="968">
        <v>30</v>
      </c>
    </row>
    <row r="21" spans="1:21" ht="15" customHeight="1" x14ac:dyDescent="0.25">
      <c r="A21" s="947"/>
      <c r="B21" s="948"/>
      <c r="C21" s="948"/>
      <c r="D21" s="948"/>
      <c r="E21" s="948"/>
      <c r="F21" s="948"/>
      <c r="G21" s="948"/>
      <c r="H21" s="948"/>
      <c r="I21" s="948"/>
      <c r="J21" s="948"/>
      <c r="K21" s="944"/>
      <c r="L21" s="944"/>
      <c r="M21" s="949"/>
      <c r="O21" s="967"/>
      <c r="P21" s="943" t="s">
        <v>353</v>
      </c>
      <c r="Q21" s="968">
        <v>31</v>
      </c>
    </row>
    <row r="22" spans="1:21" ht="15" customHeight="1" x14ac:dyDescent="0.25">
      <c r="A22" s="947"/>
      <c r="B22" s="948"/>
      <c r="C22" s="948"/>
      <c r="D22" s="948"/>
      <c r="E22" s="948"/>
      <c r="F22" s="948"/>
      <c r="G22" s="948"/>
      <c r="H22" s="948"/>
      <c r="I22" s="948"/>
      <c r="J22" s="948"/>
      <c r="K22" s="944"/>
      <c r="L22" s="944"/>
      <c r="M22" s="949"/>
      <c r="P22" s="943" t="s">
        <v>354</v>
      </c>
      <c r="Q22" s="968">
        <v>30</v>
      </c>
    </row>
    <row r="23" spans="1:21" ht="15" customHeight="1" x14ac:dyDescent="0.25">
      <c r="A23" s="947"/>
      <c r="B23" s="948"/>
      <c r="C23" s="948"/>
      <c r="D23" s="948"/>
      <c r="E23" s="948"/>
      <c r="F23" s="948"/>
      <c r="G23" s="948"/>
      <c r="H23" s="948"/>
      <c r="I23" s="948"/>
      <c r="J23" s="948"/>
      <c r="K23" s="944"/>
      <c r="L23" s="944"/>
      <c r="M23" s="949"/>
      <c r="P23" s="943" t="s">
        <v>355</v>
      </c>
      <c r="Q23" s="968">
        <v>31</v>
      </c>
    </row>
    <row r="24" spans="1:21" ht="15" customHeight="1" x14ac:dyDescent="0.25">
      <c r="A24" s="947"/>
      <c r="B24" s="948"/>
      <c r="C24" s="948"/>
      <c r="D24" s="948"/>
      <c r="E24" s="948"/>
      <c r="F24" s="948"/>
      <c r="G24" s="948"/>
      <c r="H24" s="948"/>
      <c r="I24" s="948"/>
      <c r="J24" s="948"/>
      <c r="K24" s="957"/>
      <c r="L24" s="944"/>
      <c r="M24" s="949"/>
    </row>
    <row r="25" spans="1:21" ht="15" customHeight="1" x14ac:dyDescent="0.25">
      <c r="A25" s="947"/>
      <c r="B25" s="948"/>
      <c r="C25" s="948"/>
      <c r="D25" s="948"/>
      <c r="E25" s="948"/>
      <c r="F25" s="948"/>
      <c r="G25" s="948"/>
      <c r="H25" s="948"/>
      <c r="I25" s="948"/>
      <c r="J25" s="948"/>
      <c r="K25" s="957"/>
      <c r="L25" s="944"/>
      <c r="M25" s="949"/>
    </row>
    <row r="26" spans="1:21" ht="15" customHeight="1" x14ac:dyDescent="0.25">
      <c r="A26" s="947"/>
      <c r="B26" s="948"/>
      <c r="C26" s="948"/>
      <c r="D26" s="948"/>
      <c r="E26" s="948"/>
      <c r="F26" s="948"/>
      <c r="G26" s="948"/>
      <c r="H26" s="948"/>
      <c r="I26" s="948"/>
      <c r="J26" s="948"/>
      <c r="K26" s="944"/>
      <c r="L26" s="944"/>
      <c r="M26" s="949"/>
    </row>
    <row r="27" spans="1:21" ht="15" customHeight="1" x14ac:dyDescent="0.25">
      <c r="A27" s="947"/>
      <c r="B27" s="948"/>
      <c r="C27" s="948"/>
      <c r="D27" s="948"/>
      <c r="E27" s="948"/>
      <c r="F27" s="948"/>
      <c r="G27" s="948"/>
      <c r="H27" s="948"/>
      <c r="I27" s="948"/>
      <c r="J27" s="948"/>
      <c r="K27" s="944"/>
      <c r="L27" s="944"/>
      <c r="M27" s="949"/>
    </row>
    <row r="28" spans="1:21" ht="15" customHeight="1" x14ac:dyDescent="0.25">
      <c r="A28" s="947"/>
      <c r="B28" s="948"/>
      <c r="C28" s="948"/>
      <c r="D28" s="948"/>
      <c r="E28" s="948"/>
      <c r="F28" s="948"/>
      <c r="G28" s="948"/>
      <c r="H28" s="948"/>
      <c r="I28" s="948"/>
      <c r="J28" s="948"/>
      <c r="K28" s="944"/>
      <c r="L28" s="944"/>
      <c r="M28" s="949"/>
    </row>
    <row r="29" spans="1:21" ht="15" customHeight="1" x14ac:dyDescent="0.25">
      <c r="A29" s="947"/>
      <c r="B29" s="948"/>
      <c r="C29" s="948"/>
      <c r="D29" s="948"/>
      <c r="E29" s="948"/>
      <c r="F29" s="948"/>
      <c r="G29" s="948"/>
      <c r="H29" s="948"/>
      <c r="I29" s="948"/>
      <c r="J29" s="948"/>
      <c r="K29" s="944"/>
      <c r="L29" s="944"/>
      <c r="M29" s="949"/>
    </row>
    <row r="30" spans="1:21" ht="15" customHeight="1" x14ac:dyDescent="0.25">
      <c r="A30" s="947"/>
      <c r="B30" s="948"/>
      <c r="C30" s="948"/>
      <c r="D30" s="948"/>
      <c r="E30" s="948"/>
      <c r="F30" s="948"/>
      <c r="G30" s="948"/>
      <c r="H30" s="948"/>
      <c r="I30" s="948"/>
      <c r="J30" s="948"/>
      <c r="K30" s="944"/>
      <c r="L30" s="944"/>
      <c r="M30" s="949"/>
    </row>
    <row r="31" spans="1:21" ht="15" customHeight="1" x14ac:dyDescent="0.25">
      <c r="A31" s="947"/>
      <c r="B31" s="948"/>
      <c r="C31" s="948"/>
      <c r="D31" s="948"/>
      <c r="E31" s="948"/>
      <c r="F31" s="948"/>
      <c r="G31" s="948"/>
      <c r="H31" s="948"/>
      <c r="I31" s="948"/>
      <c r="J31" s="948"/>
      <c r="K31" s="944"/>
      <c r="L31" s="944"/>
      <c r="M31" s="949"/>
    </row>
    <row r="32" spans="1:21" ht="15" customHeight="1" x14ac:dyDescent="0.25">
      <c r="A32" s="947"/>
      <c r="B32" s="948"/>
      <c r="C32" s="948"/>
      <c r="D32" s="948"/>
      <c r="E32" s="948"/>
      <c r="F32" s="948"/>
      <c r="G32" s="948"/>
      <c r="H32" s="948"/>
      <c r="I32" s="948"/>
      <c r="J32" s="948"/>
      <c r="K32" s="944"/>
      <c r="L32" s="944"/>
      <c r="M32" s="949"/>
    </row>
    <row r="33" spans="1:13" ht="15" customHeight="1" x14ac:dyDescent="0.25">
      <c r="A33" s="947"/>
      <c r="B33" s="948"/>
      <c r="C33" s="948"/>
      <c r="D33" s="948"/>
      <c r="E33" s="948"/>
      <c r="F33" s="948"/>
      <c r="G33" s="948"/>
      <c r="H33" s="948"/>
      <c r="I33" s="948"/>
      <c r="J33" s="948"/>
      <c r="K33" s="944"/>
      <c r="L33" s="944"/>
      <c r="M33" s="949"/>
    </row>
    <row r="34" spans="1:13" ht="15" customHeight="1" x14ac:dyDescent="0.25">
      <c r="A34" s="947"/>
      <c r="B34" s="948"/>
      <c r="C34" s="948"/>
      <c r="D34" s="948"/>
      <c r="E34" s="948"/>
      <c r="F34" s="948"/>
      <c r="G34" s="948"/>
      <c r="H34" s="948"/>
      <c r="I34" s="948"/>
      <c r="J34" s="948"/>
      <c r="K34" s="944"/>
      <c r="L34" s="944"/>
      <c r="M34" s="949"/>
    </row>
    <row r="35" spans="1:13" ht="15" customHeight="1" x14ac:dyDescent="0.25">
      <c r="A35" s="947"/>
      <c r="B35" s="948"/>
      <c r="C35" s="948"/>
      <c r="D35" s="948"/>
      <c r="E35" s="948"/>
      <c r="F35" s="948"/>
      <c r="G35" s="948"/>
      <c r="H35" s="948"/>
      <c r="I35" s="948"/>
      <c r="J35" s="948"/>
      <c r="K35" s="944"/>
      <c r="L35" s="944"/>
      <c r="M35" s="949"/>
    </row>
    <row r="36" spans="1:13" ht="15" customHeight="1" x14ac:dyDescent="0.25">
      <c r="A36" s="947"/>
      <c r="B36" s="948"/>
      <c r="C36" s="948"/>
      <c r="D36" s="948"/>
      <c r="E36" s="948"/>
      <c r="F36" s="948"/>
      <c r="G36" s="948"/>
      <c r="H36" s="948"/>
      <c r="I36" s="948"/>
      <c r="J36" s="948"/>
      <c r="K36" s="944"/>
      <c r="L36" s="944"/>
      <c r="M36" s="949"/>
    </row>
    <row r="37" spans="1:13" ht="15" customHeight="1" x14ac:dyDescent="0.25">
      <c r="A37" s="947"/>
      <c r="B37" s="948"/>
      <c r="C37" s="948"/>
      <c r="D37" s="948"/>
      <c r="E37" s="948"/>
      <c r="F37" s="948"/>
      <c r="G37" s="948"/>
      <c r="H37" s="948"/>
      <c r="I37" s="948"/>
      <c r="J37" s="948"/>
      <c r="K37" s="944"/>
      <c r="L37" s="944"/>
      <c r="M37" s="949"/>
    </row>
    <row r="38" spans="1:13" ht="15" customHeight="1" x14ac:dyDescent="0.25">
      <c r="A38" s="947"/>
      <c r="B38" s="948"/>
      <c r="C38" s="948"/>
      <c r="D38" s="948"/>
      <c r="E38" s="948"/>
      <c r="F38" s="948"/>
      <c r="G38" s="948"/>
      <c r="H38" s="948"/>
      <c r="I38" s="948"/>
      <c r="J38" s="948"/>
      <c r="K38" s="944"/>
      <c r="L38" s="944"/>
      <c r="M38" s="949"/>
    </row>
    <row r="39" spans="1:13" ht="15" customHeight="1" x14ac:dyDescent="0.25">
      <c r="A39" s="947"/>
      <c r="B39" s="948"/>
      <c r="C39" s="948"/>
      <c r="D39" s="948"/>
      <c r="E39" s="948"/>
      <c r="F39" s="948"/>
      <c r="G39" s="948"/>
      <c r="H39" s="948"/>
      <c r="I39" s="948"/>
      <c r="J39" s="948"/>
      <c r="K39" s="960"/>
      <c r="L39" s="1678"/>
      <c r="M39" s="1679"/>
    </row>
    <row r="40" spans="1:13" ht="20.25" customHeight="1" x14ac:dyDescent="0.25">
      <c r="A40" s="947"/>
      <c r="B40" s="948"/>
      <c r="C40" s="948"/>
      <c r="D40" s="948"/>
      <c r="E40" s="948"/>
      <c r="F40" s="948"/>
      <c r="G40" s="948"/>
      <c r="H40" s="948"/>
      <c r="I40" s="948"/>
      <c r="J40" s="948"/>
      <c r="K40" s="1660"/>
      <c r="L40" s="1660"/>
      <c r="M40" s="1661"/>
    </row>
    <row r="41" spans="1:13" ht="15" customHeight="1" x14ac:dyDescent="0.25">
      <c r="A41" s="947"/>
      <c r="B41" s="948"/>
      <c r="C41" s="948"/>
      <c r="D41" s="948"/>
      <c r="E41" s="948"/>
      <c r="F41" s="948"/>
      <c r="G41" s="948"/>
      <c r="H41" s="948"/>
      <c r="I41" s="948"/>
      <c r="J41" s="948"/>
      <c r="K41" s="1662"/>
      <c r="L41" s="1662"/>
      <c r="M41" s="1663"/>
    </row>
    <row r="42" spans="1:13" ht="15" customHeight="1" x14ac:dyDescent="0.25">
      <c r="A42" s="947"/>
      <c r="B42" s="948"/>
      <c r="C42" s="948"/>
      <c r="D42" s="948"/>
      <c r="E42" s="948"/>
      <c r="F42" s="948"/>
      <c r="G42" s="948"/>
      <c r="H42" s="948"/>
      <c r="I42" s="948"/>
      <c r="J42" s="948"/>
      <c r="K42" s="1664"/>
      <c r="L42" s="1664"/>
      <c r="M42" s="1665"/>
    </row>
    <row r="43" spans="1:13" ht="20.149999999999999" customHeight="1" x14ac:dyDescent="0.25">
      <c r="A43" s="969"/>
      <c r="B43" s="970"/>
      <c r="C43" s="970"/>
      <c r="D43" s="970"/>
      <c r="E43" s="970"/>
      <c r="F43" s="970"/>
      <c r="G43" s="970"/>
      <c r="H43" s="970"/>
      <c r="I43" s="970"/>
      <c r="J43" s="970"/>
      <c r="K43" s="1666"/>
      <c r="L43" s="1667"/>
      <c r="M43" s="1668"/>
    </row>
  </sheetData>
  <sheetProtection password="9298" sheet="1" objects="1" scenarios="1"/>
  <mergeCells count="12">
    <mergeCell ref="N12:N13"/>
    <mergeCell ref="O12:O13"/>
    <mergeCell ref="N14:N15"/>
    <mergeCell ref="O14:O15"/>
    <mergeCell ref="L39:M39"/>
    <mergeCell ref="K40:M40"/>
    <mergeCell ref="K41:M41"/>
    <mergeCell ref="K42:M42"/>
    <mergeCell ref="K43:M43"/>
    <mergeCell ref="A1:I1"/>
    <mergeCell ref="I5:L5"/>
    <mergeCell ref="I6:L6"/>
  </mergeCells>
  <conditionalFormatting sqref="H8">
    <cfRule type="cellIs" dxfId="222" priority="1" stopIfTrue="1" operator="greaterThan">
      <formula>T1</formula>
    </cfRule>
    <cfRule type="cellIs" dxfId="221" priority="2" stopIfTrue="1" operator="lessThan">
      <formula>0</formula>
    </cfRule>
  </conditionalFormatting>
  <conditionalFormatting sqref="H9">
    <cfRule type="cellIs" dxfId="220" priority="3" stopIfTrue="1" operator="greaterThan">
      <formula>T1</formula>
    </cfRule>
    <cfRule type="cellIs" dxfId="219" priority="4" stopIfTrue="1" operator="lessThan">
      <formula>0</formula>
    </cfRule>
  </conditionalFormatting>
  <conditionalFormatting sqref="I6:L6">
    <cfRule type="expression" dxfId="218"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indexed="44"/>
    <pageSetUpPr fitToPage="1"/>
  </sheetPr>
  <dimension ref="A1:IU173"/>
  <sheetViews>
    <sheetView showGridLines="0" tabSelected="1" showOutlineSymbols="0" zoomScale="80" zoomScaleNormal="80" workbookViewId="0">
      <selection activeCell="O3" sqref="O3"/>
    </sheetView>
  </sheetViews>
  <sheetFormatPr defaultColWidth="0" defaultRowHeight="12.5" zeroHeight="1" x14ac:dyDescent="0.25"/>
  <cols>
    <col min="1" max="1" width="2.453125" style="142" customWidth="1"/>
    <col min="2" max="2" width="1.453125" style="142" customWidth="1"/>
    <col min="3" max="3" width="4.453125" style="142" customWidth="1"/>
    <col min="4" max="4" width="10.453125" style="142" customWidth="1"/>
    <col min="5" max="5" width="4.453125" style="142" customWidth="1"/>
    <col min="6" max="6" width="13.453125" style="142" customWidth="1"/>
    <col min="7" max="7" width="4.4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54296875" style="142" customWidth="1"/>
    <col min="16" max="16" width="3.54296875" style="142" customWidth="1"/>
    <col min="17" max="17" width="7.453125" style="142" customWidth="1"/>
    <col min="18" max="18" width="24.81640625" style="142" customWidth="1"/>
    <col min="19" max="19" width="4.54296875" style="142" customWidth="1"/>
    <col min="20" max="20" width="8.5429687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54296875" style="142" hidden="1" customWidth="1"/>
    <col min="255" max="255" width="5.1796875" style="142" hidden="1" customWidth="1"/>
    <col min="256" max="16384" width="0.1796875" style="142" hidden="1"/>
  </cols>
  <sheetData>
    <row r="1" spans="1:28" ht="45" customHeight="1" thickTop="1" x14ac:dyDescent="0.25">
      <c r="A1" s="2"/>
      <c r="B1" s="119"/>
      <c r="C1" s="3"/>
      <c r="D1" s="3"/>
      <c r="E1" s="3"/>
      <c r="F1" s="3"/>
      <c r="G1" s="3"/>
      <c r="H1" s="3"/>
      <c r="I1" s="3"/>
      <c r="J1" s="3"/>
      <c r="K1" s="3"/>
      <c r="L1" s="3"/>
      <c r="M1" s="1683" t="str">
        <f ca="1">CONCATENATE(Working!H2," - (QI Code - ", X4,"-",W4,"-",Y4,"-",Z4,"-",AA4,"-", AB4)</f>
        <v>GUD/2019/SRC/001 - (QI Code - 0-50-000-154.284-0-ATI)</v>
      </c>
      <c r="N1" s="1683"/>
      <c r="O1" s="1683"/>
      <c r="P1" s="1683"/>
      <c r="Q1" s="1683"/>
      <c r="R1" s="1683"/>
      <c r="S1" s="1684"/>
      <c r="U1" s="139"/>
      <c r="V1" s="633"/>
      <c r="W1" s="633"/>
      <c r="X1" s="633"/>
      <c r="Y1" s="633"/>
      <c r="Z1" s="633"/>
      <c r="AA1" s="633"/>
      <c r="AB1" s="633"/>
    </row>
    <row r="2" spans="1:28" ht="33.75" customHeight="1" x14ac:dyDescent="0.25">
      <c r="A2" s="120"/>
      <c r="B2" s="15"/>
      <c r="C2" s="16"/>
      <c r="D2" s="16"/>
      <c r="E2" s="16"/>
      <c r="F2" s="16"/>
      <c r="G2" s="16"/>
      <c r="H2" s="16"/>
      <c r="I2" s="16"/>
      <c r="J2" s="16"/>
      <c r="K2" s="16"/>
      <c r="L2" s="16"/>
      <c r="M2" s="1685" t="str">
        <f>IF(U3=0,CONCATENATE("Print  ",Working!Y48,"  Sheet"),"")</f>
        <v/>
      </c>
      <c r="N2" s="1685"/>
      <c r="O2" s="1685"/>
      <c r="P2" s="1685"/>
      <c r="Q2" s="1685"/>
      <c r="R2" s="1685"/>
      <c r="S2" s="121"/>
      <c r="U2" s="139"/>
      <c r="V2" s="633"/>
      <c r="W2" s="633"/>
      <c r="X2" s="633"/>
      <c r="Y2" s="633"/>
      <c r="Z2" s="633"/>
      <c r="AA2" s="633"/>
      <c r="AB2" s="633"/>
    </row>
    <row r="3" spans="1:28" ht="13" customHeight="1" x14ac:dyDescent="0.25">
      <c r="A3" s="120"/>
      <c r="B3" s="15"/>
      <c r="C3" s="16"/>
      <c r="D3" s="16"/>
      <c r="E3" s="16"/>
      <c r="F3" s="16"/>
      <c r="G3" s="16"/>
      <c r="H3" s="16"/>
      <c r="I3" s="16"/>
      <c r="J3" s="16"/>
      <c r="K3" s="16"/>
      <c r="L3" s="16"/>
      <c r="M3" s="323"/>
      <c r="N3" s="323"/>
      <c r="O3" s="323"/>
      <c r="P3" s="323"/>
      <c r="Q3" s="323"/>
      <c r="R3" s="323"/>
      <c r="S3" s="121"/>
      <c r="U3" s="142">
        <v>1</v>
      </c>
      <c r="V3" s="633"/>
      <c r="W3" s="633"/>
      <c r="X3" s="633"/>
      <c r="Y3" s="633"/>
      <c r="Z3" s="633"/>
      <c r="AA3" s="633"/>
      <c r="AB3" s="633"/>
    </row>
    <row r="4" spans="1:28" ht="20.25" customHeight="1" x14ac:dyDescent="0.35">
      <c r="A4" s="120"/>
      <c r="B4" s="7"/>
      <c r="C4" s="335" t="s">
        <v>529</v>
      </c>
      <c r="D4" s="9"/>
      <c r="E4" s="295"/>
      <c r="F4" s="355"/>
      <c r="G4" s="7"/>
      <c r="H4" s="9"/>
      <c r="I4" s="9"/>
      <c r="J4" s="9"/>
      <c r="K4" s="9"/>
      <c r="L4" s="11"/>
      <c r="M4" s="326"/>
      <c r="N4" s="326"/>
      <c r="O4" s="335"/>
      <c r="P4" s="1693">
        <f ca="1">TODAY()</f>
        <v>45346</v>
      </c>
      <c r="Q4" s="1693"/>
      <c r="R4" s="1693"/>
      <c r="S4" s="122"/>
      <c r="W4" s="634">
        <f ca="1">IF(Working!$M$37&lt;0,Working!$G$37*2,0)</f>
        <v>50</v>
      </c>
      <c r="X4" s="634">
        <f ca="1">IF(Working!$M$36&lt;0,Working!$H$36*2,0)</f>
        <v>0</v>
      </c>
      <c r="Y4" s="635" t="str">
        <f>IF(Working!$B$21="Free","000","111")</f>
        <v>000</v>
      </c>
      <c r="Z4" s="636">
        <f ca="1">IF(Working!$M$23&lt;0,Working!$H$23*2,0)</f>
        <v>154.28399999999999</v>
      </c>
      <c r="AA4" s="637">
        <f>Working!$N$60</f>
        <v>0</v>
      </c>
      <c r="AB4" s="559" t="str">
        <f>IF(Working!$C$2="Yes","GUD)","ATI)")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3"/>
      <c r="X5" s="638"/>
      <c r="Y5" s="639"/>
      <c r="Z5" s="640"/>
      <c r="AA5" s="641"/>
      <c r="AB5" s="633"/>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297</v>
      </c>
      <c r="D7" s="80"/>
      <c r="E7" s="80"/>
      <c r="F7" s="80"/>
      <c r="G7" s="80"/>
      <c r="H7" s="80"/>
      <c r="I7" s="80"/>
      <c r="J7" s="80"/>
      <c r="K7" s="9"/>
      <c r="L7" s="280" t="s">
        <v>25</v>
      </c>
      <c r="M7" s="262"/>
      <c r="N7" s="9"/>
      <c r="O7" s="105"/>
      <c r="P7" s="726" t="str">
        <f>IF(AND(U3=1,Working!U2=1),UPPER(Working!H8),"")</f>
        <v>THREE WHEELER</v>
      </c>
      <c r="Q7" s="724"/>
      <c r="R7" s="724"/>
      <c r="S7" s="725"/>
    </row>
    <row r="8" spans="1:28" ht="18" customHeight="1" x14ac:dyDescent="0.25">
      <c r="A8" s="120"/>
      <c r="B8" s="7"/>
      <c r="C8" s="1686" t="s">
        <v>526</v>
      </c>
      <c r="D8" s="1687"/>
      <c r="E8" s="1687"/>
      <c r="F8" s="1687"/>
      <c r="G8" s="1687"/>
      <c r="H8" s="1687"/>
      <c r="I8" s="1687"/>
      <c r="J8" s="1688"/>
      <c r="K8" s="273"/>
      <c r="L8" s="280" t="s">
        <v>108</v>
      </c>
      <c r="M8" s="104"/>
      <c r="N8" s="105"/>
      <c r="O8" s="105"/>
      <c r="P8" s="1686" t="s">
        <v>526</v>
      </c>
      <c r="Q8" s="1687"/>
      <c r="R8" s="1688"/>
      <c r="S8" s="353"/>
    </row>
    <row r="9" spans="1:28" ht="18" customHeight="1" x14ac:dyDescent="0.3">
      <c r="A9" s="120"/>
      <c r="B9" s="7"/>
      <c r="C9" s="476" t="str">
        <f>IF(AND(Working!H12="HYBRID",Working!H14="No",Working!B12="Corporate"),CONCATENATE("(",Working!B12," CUSTOMER)"),"")</f>
        <v/>
      </c>
      <c r="D9" s="457"/>
      <c r="E9" s="457"/>
      <c r="F9" s="457"/>
      <c r="G9" s="457"/>
      <c r="H9" s="457"/>
      <c r="I9" s="457"/>
      <c r="J9" s="457"/>
      <c r="K9" s="273"/>
      <c r="L9" s="280" t="s">
        <v>377</v>
      </c>
      <c r="M9" s="258"/>
      <c r="N9" s="105"/>
      <c r="O9" s="105"/>
      <c r="P9" s="1686" t="s">
        <v>522</v>
      </c>
      <c r="Q9" s="1687"/>
      <c r="R9" s="1688"/>
      <c r="S9" s="645"/>
    </row>
    <row r="10" spans="1:28" ht="18" customHeight="1" x14ac:dyDescent="0.3">
      <c r="A10" s="120"/>
      <c r="B10" s="7"/>
      <c r="C10" s="331" t="s">
        <v>296</v>
      </c>
      <c r="D10" s="80"/>
      <c r="E10" s="80"/>
      <c r="F10" s="80"/>
      <c r="G10" s="348"/>
      <c r="H10" s="348"/>
      <c r="I10" s="348"/>
      <c r="J10" s="348"/>
      <c r="K10" s="103"/>
      <c r="L10" s="280" t="s">
        <v>357</v>
      </c>
      <c r="M10" s="258"/>
      <c r="N10" s="106"/>
      <c r="O10" s="106"/>
      <c r="P10" s="1704" t="s">
        <v>525</v>
      </c>
      <c r="Q10" s="1712"/>
      <c r="R10" s="1712"/>
      <c r="S10" s="350"/>
      <c r="X10" s="708" t="s">
        <v>527</v>
      </c>
    </row>
    <row r="11" spans="1:28" ht="18" customHeight="1" x14ac:dyDescent="0.25">
      <c r="A11" s="120"/>
      <c r="B11" s="7"/>
      <c r="C11" s="1686" t="s">
        <v>526</v>
      </c>
      <c r="D11" s="1687"/>
      <c r="E11" s="1687"/>
      <c r="F11" s="1687"/>
      <c r="G11" s="1687"/>
      <c r="H11" s="1687"/>
      <c r="I11" s="1687"/>
      <c r="J11" s="1688"/>
      <c r="K11" s="273"/>
      <c r="L11" s="280" t="s">
        <v>34</v>
      </c>
      <c r="M11" s="104"/>
      <c r="N11" s="107"/>
      <c r="O11" s="106"/>
      <c r="P11" s="1686" t="s">
        <v>528</v>
      </c>
      <c r="Q11" s="1687"/>
      <c r="R11" s="1688"/>
      <c r="S11" s="351"/>
    </row>
    <row r="12" spans="1:28" ht="18" customHeight="1" x14ac:dyDescent="0.3">
      <c r="A12" s="120"/>
      <c r="B12" s="7"/>
      <c r="C12" s="332" t="s">
        <v>298</v>
      </c>
      <c r="D12" s="80"/>
      <c r="E12" s="80"/>
      <c r="F12" s="80"/>
      <c r="G12" s="349"/>
      <c r="H12" s="349"/>
      <c r="I12" s="349"/>
      <c r="J12" s="349"/>
      <c r="K12" s="125"/>
      <c r="L12" s="280" t="s">
        <v>35</v>
      </c>
      <c r="M12" s="104"/>
      <c r="N12" s="108"/>
      <c r="O12" s="108"/>
      <c r="P12" s="1696" t="str">
        <f>IF(Working!U2=1,UPPER(V12),"")</f>
        <v>HIRING</v>
      </c>
      <c r="Q12" s="1696"/>
      <c r="R12" s="1696"/>
      <c r="S12" s="352"/>
      <c r="V12" s="559" t="str">
        <f>IF(Working!H9="Private Use","Private Use Only",Working!H9)</f>
        <v>Hiring</v>
      </c>
    </row>
    <row r="13" spans="1:28" ht="22.5" customHeight="1" x14ac:dyDescent="0.3">
      <c r="A13" s="120"/>
      <c r="B13" s="704">
        <f>IF(OR(C13=I86,C13=I87,C13=I88,C13=I89,C13=I90,C13=I91,C13=I92,C13=I93,C13=I94,C13=I95,C13=I96,C13=I97,C13=I98),1,0)</f>
        <v>0</v>
      </c>
      <c r="C13" s="1699" t="s">
        <v>575</v>
      </c>
      <c r="D13" s="1700"/>
      <c r="E13" s="1700"/>
      <c r="F13" s="1700"/>
      <c r="G13" s="1700"/>
      <c r="H13" s="1700"/>
      <c r="I13" s="1700"/>
      <c r="J13" s="1701"/>
      <c r="K13" s="274"/>
      <c r="L13" s="280" t="s">
        <v>408</v>
      </c>
      <c r="M13" s="104"/>
      <c r="N13" s="108"/>
      <c r="O13" s="108"/>
      <c r="P13" s="1704">
        <v>2021</v>
      </c>
      <c r="Q13" s="1705"/>
      <c r="R13" s="310">
        <f>IF(U3=1,Working!T12,"")</f>
        <v>4</v>
      </c>
      <c r="S13" s="352"/>
      <c r="T13" s="706">
        <f>IF(I13="Ijarah","Ijarah",I13)</f>
        <v>0</v>
      </c>
      <c r="V13" s="559" t="str">
        <f>IF(AND(Working!K14="",Working!B21="No"),"NOT APPLICABLE",IF(AND(Working!K14="",OR(Working!B21="Yes",Working!B21="Free")),"APPLICABLE  - TO BE ADVISED",Working!K14))</f>
        <v>FINTREX FINANCE</v>
      </c>
    </row>
    <row r="14" spans="1:28" ht="14.5" customHeight="1" x14ac:dyDescent="0.3">
      <c r="A14" s="120"/>
      <c r="B14" s="7"/>
      <c r="C14" s="19"/>
      <c r="D14" s="19"/>
      <c r="E14" s="19"/>
      <c r="F14" s="19"/>
      <c r="G14" s="19"/>
      <c r="H14" s="19"/>
      <c r="I14" s="705"/>
      <c r="J14" s="20"/>
      <c r="K14" s="20"/>
      <c r="L14" s="19"/>
      <c r="M14" s="19"/>
      <c r="N14" s="19"/>
      <c r="O14" s="19"/>
      <c r="P14" s="19"/>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4" customHeight="1" x14ac:dyDescent="0.3">
      <c r="A16" s="120"/>
      <c r="B16" s="7"/>
      <c r="C16" s="385" t="s">
        <v>301</v>
      </c>
      <c r="D16" s="7"/>
      <c r="E16" s="7"/>
      <c r="F16" s="190" t="str">
        <f>IF(Working!H3="One Year",": One Year",CONCATENATE(": ",Calculation!H9," Days"))</f>
        <v>: One Year</v>
      </c>
      <c r="G16" s="7"/>
      <c r="H16" s="7"/>
      <c r="I16" s="276" t="str">
        <f>IF(Working!H3="One Year","",CONCATENATE("(",Working!H3," Basis)"))</f>
        <v/>
      </c>
      <c r="J16" s="9"/>
      <c r="K16" s="9"/>
      <c r="L16" s="7"/>
      <c r="M16" s="7"/>
      <c r="N16" s="7"/>
      <c r="O16" s="7"/>
      <c r="P16" s="709"/>
      <c r="Q16" s="1706">
        <v>1000000</v>
      </c>
      <c r="R16" s="1707"/>
      <c r="S16" s="127"/>
    </row>
    <row r="17" spans="1:32" ht="13.4" customHeight="1" thickBot="1" x14ac:dyDescent="0.35">
      <c r="A17" s="120"/>
      <c r="B17" s="7"/>
      <c r="C17" s="1711" t="str">
        <f>IF(Working!H3="One Year","",CONCATENATE("(From ",Working!G4," ",Working!H4," ",Working!I4," to ",Working!G5," ",Working!H5," ",Working!I5,")"))</f>
        <v/>
      </c>
      <c r="D17" s="1711"/>
      <c r="E17" s="1711"/>
      <c r="F17" s="1711"/>
      <c r="G17" s="1711"/>
      <c r="H17" s="1711"/>
      <c r="I17" s="1711"/>
      <c r="J17" s="9"/>
      <c r="K17" s="9"/>
      <c r="L17" s="710" t="s">
        <v>168</v>
      </c>
      <c r="M17" s="258"/>
      <c r="N17" s="7"/>
      <c r="O17" s="7"/>
      <c r="P17" s="709"/>
      <c r="Q17" s="1708"/>
      <c r="R17" s="1709"/>
      <c r="S17" s="127"/>
    </row>
    <row r="18" spans="1:32" ht="17.149999999999999" customHeight="1" x14ac:dyDescent="0.3">
      <c r="A18" s="120"/>
      <c r="B18" s="7"/>
      <c r="C18" s="1711"/>
      <c r="D18" s="1711"/>
      <c r="E18" s="1711"/>
      <c r="F18" s="1711"/>
      <c r="G18" s="1711"/>
      <c r="H18" s="1711"/>
      <c r="I18" s="1711"/>
      <c r="J18" s="9"/>
      <c r="K18" s="9"/>
      <c r="L18" s="77" t="s">
        <v>13</v>
      </c>
      <c r="M18" s="7"/>
      <c r="N18" s="7"/>
      <c r="O18" s="7"/>
      <c r="P18" s="7"/>
      <c r="Q18" s="261" t="s">
        <v>26</v>
      </c>
      <c r="R18" s="266">
        <f ca="1">'TW Working'!C6-'TW Working'!H11-'TW Working'!H10</f>
        <v>8195</v>
      </c>
      <c r="S18" s="127"/>
    </row>
    <row r="19" spans="1:32" ht="15" customHeight="1" x14ac:dyDescent="0.3">
      <c r="A19" s="120"/>
      <c r="B19" s="7"/>
      <c r="C19" s="713" t="s">
        <v>518</v>
      </c>
      <c r="D19" s="711"/>
      <c r="E19" s="711"/>
      <c r="F19" s="711"/>
      <c r="G19" s="711"/>
      <c r="H19" s="711"/>
      <c r="I19" s="711"/>
      <c r="J19" s="9"/>
      <c r="K19" s="9"/>
      <c r="L19" s="77" t="s">
        <v>23</v>
      </c>
      <c r="M19" s="258"/>
      <c r="N19" s="7"/>
      <c r="O19" s="7"/>
      <c r="P19" s="7"/>
      <c r="Q19" s="261" t="s">
        <v>26</v>
      </c>
      <c r="R19" s="266">
        <f ca="1">'TW Working'!H10*Administration!IR9</f>
        <v>2500</v>
      </c>
      <c r="S19" s="127"/>
      <c r="T19" s="646" t="s">
        <v>58</v>
      </c>
    </row>
    <row r="20" spans="1:32" ht="17.149999999999999" customHeight="1" x14ac:dyDescent="0.3">
      <c r="A20" s="120"/>
      <c r="B20" s="7"/>
      <c r="C20" s="1710" t="s">
        <v>519</v>
      </c>
      <c r="D20" s="1710"/>
      <c r="E20" s="1710"/>
      <c r="F20" s="1710"/>
      <c r="G20" s="1710"/>
      <c r="H20" s="1710"/>
      <c r="I20" s="1710"/>
      <c r="J20" s="1710"/>
      <c r="K20" s="9"/>
      <c r="L20" s="265" t="s">
        <v>24</v>
      </c>
      <c r="M20" s="7"/>
      <c r="N20" s="7"/>
      <c r="O20" s="7"/>
      <c r="P20" s="7"/>
      <c r="Q20" s="261" t="s">
        <v>26</v>
      </c>
      <c r="R20" s="266">
        <f ca="1">'TW Working'!H11*Administration!IR9</f>
        <v>625</v>
      </c>
      <c r="S20" s="127"/>
      <c r="T20" s="647" t="s">
        <v>78</v>
      </c>
    </row>
    <row r="21" spans="1:32" ht="17.149999999999999" customHeight="1" x14ac:dyDescent="0.3">
      <c r="A21" s="120"/>
      <c r="B21" s="7"/>
      <c r="C21" s="1710"/>
      <c r="D21" s="1710"/>
      <c r="E21" s="1710"/>
      <c r="F21" s="1710"/>
      <c r="G21" s="1710"/>
      <c r="H21" s="1710"/>
      <c r="I21" s="1710"/>
      <c r="J21" s="1710"/>
      <c r="K21" s="9"/>
      <c r="L21" s="265" t="s">
        <v>146</v>
      </c>
      <c r="M21" s="7"/>
      <c r="N21" s="7"/>
      <c r="O21" s="7"/>
      <c r="P21" s="7"/>
      <c r="Q21" s="261" t="s">
        <v>26</v>
      </c>
      <c r="R21" s="266">
        <f ca="1">'TW Working'!C7+'TW Working'!C8+'TW Working'!C9</f>
        <v>3358</v>
      </c>
      <c r="S21" s="127"/>
      <c r="T21" s="646" t="str">
        <f>IF(Q16&gt;=700000,"Terrorism","")</f>
        <v>Terrorism</v>
      </c>
    </row>
    <row r="22" spans="1:32" ht="17.149999999999999" customHeight="1" thickBot="1" x14ac:dyDescent="0.35">
      <c r="A22" s="120"/>
      <c r="B22" s="7"/>
      <c r="C22" s="1710"/>
      <c r="D22" s="1710"/>
      <c r="E22" s="1710"/>
      <c r="F22" s="1710"/>
      <c r="G22" s="1710"/>
      <c r="H22" s="1710"/>
      <c r="I22" s="1710"/>
      <c r="J22" s="1710"/>
      <c r="K22" s="9"/>
      <c r="L22" s="265" t="str">
        <f>IF(Rates!$F$20="Yes","Nation Building Levy (NBL)","VAT")</f>
        <v>VAT</v>
      </c>
      <c r="M22" s="7"/>
      <c r="N22" s="7"/>
      <c r="O22" s="7"/>
      <c r="P22" s="7"/>
      <c r="Q22" s="261" t="s">
        <v>26</v>
      </c>
      <c r="R22" s="266">
        <f ca="1">'TW Working'!C10</f>
        <v>2642.04</v>
      </c>
      <c r="S22" s="127"/>
      <c r="T22" s="756" t="str">
        <f>IF(Q16&lt;700000,T20,"Yes")</f>
        <v>Yes</v>
      </c>
    </row>
    <row r="23" spans="1:32" ht="17.149999999999999" customHeight="1" thickTop="1" thickBot="1" x14ac:dyDescent="0.35">
      <c r="A23" s="120"/>
      <c r="B23" s="7"/>
      <c r="C23" s="1710"/>
      <c r="D23" s="1710"/>
      <c r="E23" s="1710"/>
      <c r="F23" s="1710"/>
      <c r="G23" s="1710"/>
      <c r="H23" s="1710"/>
      <c r="I23" s="1710"/>
      <c r="J23" s="1710"/>
      <c r="K23" s="9"/>
      <c r="L23" s="77" t="str">
        <f>IF(Rates!$F$20="Yes","VAT","Total Contribution")</f>
        <v>Total Contribution</v>
      </c>
      <c r="M23" s="7"/>
      <c r="N23" s="7"/>
      <c r="O23" s="7"/>
      <c r="P23" s="7"/>
      <c r="Q23" s="261" t="s">
        <v>26</v>
      </c>
      <c r="R23" s="723">
        <f ca="1">SUM(R18:R22)*Administration!IR9</f>
        <v>17320.04</v>
      </c>
      <c r="S23" s="127"/>
      <c r="Y23" s="642"/>
    </row>
    <row r="24" spans="1:32" ht="17.149999999999999" customHeight="1" thickTop="1" x14ac:dyDescent="0.3">
      <c r="A24" s="120"/>
      <c r="B24" s="7"/>
      <c r="C24" s="1710"/>
      <c r="D24" s="1710"/>
      <c r="E24" s="1710"/>
      <c r="F24" s="1710"/>
      <c r="G24" s="1710"/>
      <c r="H24" s="1710"/>
      <c r="I24" s="1710"/>
      <c r="J24" s="1710"/>
      <c r="K24" s="9"/>
      <c r="L24" s="1713" t="str">
        <f ca="1">IF(Administration!IR9=1,CONCATENATE("         ** Special Leasing Promotion      -  Exclusively for ",C13),"Quotation Expired")</f>
        <v xml:space="preserve">         ** Special Leasing Promotion      -  Exclusively for FINTREX FINANCE</v>
      </c>
      <c r="M24" s="1713"/>
      <c r="N24" s="1713"/>
      <c r="O24" s="1713"/>
      <c r="P24" s="1713"/>
      <c r="Q24" s="1713"/>
      <c r="R24" s="1713"/>
      <c r="S24" s="127"/>
    </row>
    <row r="25" spans="1:32" ht="25.4" customHeight="1" x14ac:dyDescent="0.3">
      <c r="A25" s="120"/>
      <c r="B25" s="7"/>
      <c r="C25" s="712"/>
      <c r="D25" s="712"/>
      <c r="E25" s="712"/>
      <c r="F25" s="712"/>
      <c r="G25" s="712"/>
      <c r="H25" s="712"/>
      <c r="I25" s="712"/>
      <c r="J25" s="712"/>
      <c r="K25" s="9"/>
      <c r="L25" s="1713"/>
      <c r="M25" s="1713"/>
      <c r="N25" s="1713"/>
      <c r="O25" s="1713"/>
      <c r="P25" s="1713"/>
      <c r="Q25" s="1713"/>
      <c r="R25" s="1713"/>
      <c r="S25" s="740"/>
      <c r="X25" s="642"/>
      <c r="AB25" s="643"/>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293</v>
      </c>
      <c r="D28" s="333"/>
      <c r="E28" s="333"/>
      <c r="F28" s="333"/>
      <c r="G28" s="333"/>
      <c r="H28" s="333"/>
      <c r="I28" s="333"/>
      <c r="J28" s="333"/>
      <c r="K28" s="333"/>
      <c r="L28" s="333"/>
      <c r="M28" s="333"/>
      <c r="N28" s="333"/>
      <c r="O28" s="333"/>
      <c r="P28" s="333"/>
      <c r="Q28" s="333"/>
      <c r="R28" s="652"/>
      <c r="S28" s="129"/>
      <c r="V28" s="715"/>
      <c r="W28" s="715"/>
      <c r="X28" s="715"/>
      <c r="Y28" s="715"/>
      <c r="Z28" s="715"/>
      <c r="AA28" s="715"/>
      <c r="AB28" s="715"/>
      <c r="AC28" s="715"/>
      <c r="AD28" s="545"/>
      <c r="AE28" s="545"/>
      <c r="AF28" s="545"/>
    </row>
    <row r="29" spans="1:32" ht="18" customHeight="1" x14ac:dyDescent="0.3">
      <c r="A29" s="120"/>
      <c r="B29" s="7"/>
      <c r="C29" s="327" t="s">
        <v>291</v>
      </c>
      <c r="D29" s="329" t="s">
        <v>319</v>
      </c>
      <c r="E29" s="334"/>
      <c r="F29" s="334"/>
      <c r="G29" s="334"/>
      <c r="H29" s="334"/>
      <c r="I29" s="334"/>
      <c r="J29" s="334"/>
      <c r="K29" s="334"/>
      <c r="L29" s="334"/>
      <c r="M29" s="334"/>
      <c r="N29" s="334"/>
      <c r="O29" s="334"/>
      <c r="P29" s="334"/>
      <c r="Q29" s="334"/>
      <c r="R29" s="653"/>
      <c r="S29" s="129"/>
      <c r="V29" s="715"/>
      <c r="W29" s="716"/>
      <c r="X29" s="715"/>
      <c r="Y29" s="715"/>
      <c r="Z29" s="715"/>
      <c r="AA29" s="715"/>
      <c r="AB29" s="717"/>
      <c r="AC29" s="715"/>
      <c r="AD29" s="545"/>
      <c r="AE29" s="545"/>
      <c r="AF29" s="545"/>
    </row>
    <row r="30" spans="1:32" ht="18" customHeight="1" x14ac:dyDescent="0.3">
      <c r="A30" s="120"/>
      <c r="B30" s="7"/>
      <c r="C30" s="327" t="s">
        <v>292</v>
      </c>
      <c r="D30" s="329" t="str">
        <f>CONCATENATE("Third Party Liability"," (Property Damage limited to Rs.",FIXED(MAX(Rates!B55,R33),0),")")</f>
        <v>Third Party Liability (Property Damage limited to Rs.300,000)</v>
      </c>
      <c r="E30" s="334"/>
      <c r="F30" s="334"/>
      <c r="G30" s="334"/>
      <c r="H30" s="334"/>
      <c r="I30" s="334"/>
      <c r="J30" s="334"/>
      <c r="K30" s="334"/>
      <c r="L30" s="334"/>
      <c r="M30" s="334"/>
      <c r="N30" s="334"/>
      <c r="O30" s="334"/>
      <c r="P30" s="334"/>
      <c r="Q30" s="334"/>
      <c r="R30" s="653"/>
      <c r="S30" s="129"/>
      <c r="V30" s="715"/>
      <c r="W30" s="715"/>
      <c r="X30" s="715"/>
      <c r="Y30" s="715"/>
      <c r="Z30" s="715"/>
      <c r="AA30" s="715"/>
      <c r="AB30" s="715"/>
      <c r="AC30" s="715"/>
      <c r="AD30" s="545"/>
      <c r="AE30" s="545"/>
      <c r="AF30" s="545"/>
    </row>
    <row r="31" spans="1:32" ht="18" customHeight="1" x14ac:dyDescent="0.3">
      <c r="A31" s="120"/>
      <c r="B31" s="7"/>
      <c r="C31" s="327" t="s">
        <v>290</v>
      </c>
      <c r="D31" s="329" t="s">
        <v>299</v>
      </c>
      <c r="E31" s="334"/>
      <c r="F31" s="334"/>
      <c r="G31" s="334"/>
      <c r="H31" s="334"/>
      <c r="I31" s="334"/>
      <c r="J31" s="334"/>
      <c r="K31" s="334"/>
      <c r="L31" s="334"/>
      <c r="M31" s="334"/>
      <c r="N31" s="334"/>
      <c r="O31" s="334"/>
      <c r="P31" s="334"/>
      <c r="Q31" s="334"/>
      <c r="R31" s="720"/>
      <c r="S31" s="129"/>
      <c r="V31" s="715"/>
      <c r="W31" s="715"/>
      <c r="X31" s="715"/>
      <c r="Y31" s="715"/>
      <c r="Z31" s="715"/>
      <c r="AA31" s="715"/>
      <c r="AB31" s="715"/>
      <c r="AC31" s="715"/>
      <c r="AD31" s="545"/>
      <c r="AE31" s="545"/>
      <c r="AF31" s="545"/>
    </row>
    <row r="32" spans="1:32" ht="19" customHeight="1" thickBot="1" x14ac:dyDescent="0.45">
      <c r="A32" s="120"/>
      <c r="B32" s="7"/>
      <c r="C32" s="649"/>
      <c r="D32" s="605"/>
      <c r="E32" s="631"/>
      <c r="F32" s="631"/>
      <c r="G32" s="290"/>
      <c r="H32" s="632" t="str">
        <f>IF(Working!B21="Free","FREE",IF(Working!B21="No","N/A","Yes"))</f>
        <v>FREE</v>
      </c>
      <c r="I32" s="607"/>
      <c r="J32" s="279"/>
      <c r="K32" s="9"/>
      <c r="L32" s="648"/>
      <c r="M32" s="605"/>
      <c r="N32" s="24"/>
      <c r="O32" s="79"/>
      <c r="P32" s="9"/>
      <c r="Q32" s="7"/>
      <c r="R32" s="605"/>
      <c r="S32" s="128"/>
      <c r="T32" s="655" t="s">
        <v>520</v>
      </c>
      <c r="U32" s="281" t="str">
        <f>Working!B21</f>
        <v>Free</v>
      </c>
      <c r="V32" s="715" t="s">
        <v>17</v>
      </c>
      <c r="W32" s="714">
        <f>IF(OR(Working!R25=2,Working!AA25=1),1,0)</f>
        <v>0</v>
      </c>
      <c r="X32" s="715"/>
      <c r="Y32" s="715"/>
      <c r="Z32" s="718">
        <f>IF(AND(Working!AA25=1,Working!R25=2),MAX(Working!H25,Rates!C40),IF(AND(Working!AA25=1,Working!R25&lt;2),Rates!C40,IF(AND(Working!AA25=0,Working!R25=2),Working!H25,0)))</f>
        <v>0</v>
      </c>
      <c r="AA32" s="715"/>
      <c r="AB32" s="715"/>
      <c r="AC32" s="715"/>
      <c r="AD32" s="545"/>
      <c r="AE32" s="545"/>
      <c r="AF32" s="545"/>
    </row>
    <row r="33" spans="1:32" ht="19" customHeight="1" thickBot="1" x14ac:dyDescent="0.4">
      <c r="A33" s="120"/>
      <c r="B33" s="7"/>
      <c r="C33" s="21" t="s">
        <v>9</v>
      </c>
      <c r="D33" s="77" t="s">
        <v>530</v>
      </c>
      <c r="E33" s="10"/>
      <c r="F33" s="10"/>
      <c r="G33" s="10"/>
      <c r="H33" s="9"/>
      <c r="I33" s="9"/>
      <c r="J33" s="279"/>
      <c r="K33" s="9"/>
      <c r="L33" s="21" t="s">
        <v>9</v>
      </c>
      <c r="M33" s="609" t="s">
        <v>6</v>
      </c>
      <c r="N33" s="8"/>
      <c r="O33" s="11"/>
      <c r="P33" s="11"/>
      <c r="Q33" s="11"/>
      <c r="R33" s="697">
        <v>300000</v>
      </c>
      <c r="S33" s="126"/>
      <c r="T33" s="656" t="s">
        <v>0</v>
      </c>
      <c r="U33" s="287" t="str">
        <f>Working!B39</f>
        <v>Yes</v>
      </c>
      <c r="V33" s="715" t="s">
        <v>38</v>
      </c>
      <c r="W33" s="714">
        <f>Working!R29</f>
        <v>1</v>
      </c>
      <c r="X33" s="715"/>
      <c r="Y33" s="715"/>
      <c r="Z33" s="715"/>
      <c r="AA33" s="715"/>
      <c r="AB33" s="715"/>
      <c r="AC33" s="715"/>
      <c r="AD33" s="545"/>
      <c r="AE33" s="545"/>
      <c r="AF33" s="545"/>
    </row>
    <row r="34" spans="1:32" ht="19" customHeight="1" thickBot="1" x14ac:dyDescent="0.4">
      <c r="A34" s="120"/>
      <c r="B34" s="7"/>
      <c r="C34" s="21" t="s">
        <v>9</v>
      </c>
      <c r="D34" s="77" t="s">
        <v>265</v>
      </c>
      <c r="E34" s="10"/>
      <c r="F34" s="10"/>
      <c r="G34" s="10"/>
      <c r="H34" s="9"/>
      <c r="I34" s="9"/>
      <c r="J34" s="279"/>
      <c r="K34" s="9"/>
      <c r="L34" s="21" t="s">
        <v>9</v>
      </c>
      <c r="M34" s="609" t="s">
        <v>535</v>
      </c>
      <c r="N34" s="11"/>
      <c r="O34" s="11"/>
      <c r="P34" s="117"/>
      <c r="Q34" s="11"/>
      <c r="R34" s="699">
        <v>0</v>
      </c>
      <c r="S34" s="126"/>
      <c r="T34" s="721">
        <v>0</v>
      </c>
      <c r="U34" s="281" t="str">
        <f>Working!B40</f>
        <v>Yes</v>
      </c>
      <c r="V34" s="715" t="s">
        <v>37</v>
      </c>
      <c r="W34" s="714">
        <f>Working!T48</f>
        <v>1</v>
      </c>
      <c r="X34" s="715"/>
      <c r="Y34" s="715"/>
      <c r="Z34" s="715"/>
      <c r="AA34" s="715"/>
      <c r="AB34" s="715"/>
      <c r="AC34" s="715"/>
      <c r="AD34" s="545"/>
      <c r="AE34" s="545"/>
      <c r="AF34" s="545"/>
    </row>
    <row r="35" spans="1:32" ht="19" customHeight="1" thickBot="1" x14ac:dyDescent="0.4">
      <c r="A35" s="120"/>
      <c r="B35" s="7"/>
      <c r="C35" s="21" t="s">
        <v>9</v>
      </c>
      <c r="D35" s="77" t="s">
        <v>266</v>
      </c>
      <c r="E35" s="291"/>
      <c r="F35" s="76"/>
      <c r="G35" s="69"/>
      <c r="H35" s="22"/>
      <c r="I35" s="69"/>
      <c r="J35" s="279"/>
      <c r="K35" s="9"/>
      <c r="L35" s="762" t="s">
        <v>114</v>
      </c>
      <c r="M35" s="77" t="s">
        <v>553</v>
      </c>
      <c r="N35" s="11"/>
      <c r="O35" s="11"/>
      <c r="P35" s="11"/>
      <c r="Q35" s="11"/>
      <c r="R35" s="651"/>
      <c r="S35" s="126"/>
      <c r="U35" s="281">
        <f>IF(Working!Y42&gt;0,1,0)</f>
        <v>0</v>
      </c>
      <c r="V35" s="715" t="s">
        <v>18</v>
      </c>
      <c r="W35" s="714">
        <f>IF(Working!Z42&gt;0,1,0)</f>
        <v>0</v>
      </c>
      <c r="X35" s="715" t="s">
        <v>16</v>
      </c>
      <c r="Y35" s="714">
        <f>IF(Working!X42&gt;0,1,0)</f>
        <v>0</v>
      </c>
      <c r="Z35" s="715" t="s">
        <v>33</v>
      </c>
      <c r="AA35" s="714">
        <f>IF(Working!T47=0,0,Working!O47)</f>
        <v>1</v>
      </c>
      <c r="AB35" s="715"/>
      <c r="AC35" s="715"/>
      <c r="AD35" s="545"/>
      <c r="AE35" s="545"/>
      <c r="AF35" s="545"/>
    </row>
    <row r="36" spans="1:32" ht="19" customHeight="1" thickBot="1" x14ac:dyDescent="0.4">
      <c r="A36" s="120"/>
      <c r="B36" s="7"/>
      <c r="C36" s="21" t="s">
        <v>9</v>
      </c>
      <c r="D36" s="116" t="str">
        <f ca="1">IF(AND(Working!$M$36&lt;0,Working!$I$38="Reveal"),CONCATENATE(K38," - ",MIN(Working!$H$36%,Working!$R$36%)*100,"%"),K38)</f>
        <v>No Claim Bonus (*)</v>
      </c>
      <c r="E36" s="629"/>
      <c r="F36" s="76"/>
      <c r="G36" s="630"/>
      <c r="H36" s="22"/>
      <c r="I36" s="75" t="str">
        <f>IF(I12="Ijarah Leasing","NCB Protection","")</f>
        <v/>
      </c>
      <c r="J36" s="279"/>
      <c r="K36" s="9"/>
      <c r="L36" s="21" t="s">
        <v>9</v>
      </c>
      <c r="M36" s="609" t="s">
        <v>47</v>
      </c>
      <c r="N36" s="11"/>
      <c r="O36" s="11"/>
      <c r="P36" s="11"/>
      <c r="Q36" s="11"/>
      <c r="R36" s="699">
        <v>0</v>
      </c>
      <c r="S36" s="129"/>
      <c r="U36" s="281" t="str">
        <f>Working!B41</f>
        <v>Yes</v>
      </c>
      <c r="V36" s="715" t="s">
        <v>32</v>
      </c>
      <c r="W36" s="714">
        <f>Working!O52</f>
        <v>0</v>
      </c>
      <c r="X36" s="715"/>
      <c r="Y36" s="714"/>
      <c r="Z36" s="715"/>
      <c r="AA36" s="714"/>
      <c r="AB36" s="715"/>
      <c r="AC36" s="715"/>
      <c r="AD36" s="545"/>
      <c r="AE36" s="545"/>
      <c r="AF36" s="545"/>
    </row>
    <row r="37" spans="1:32" ht="19" hidden="1" customHeight="1" x14ac:dyDescent="0.35">
      <c r="A37" s="120"/>
      <c r="B37" s="7"/>
      <c r="C37" s="77"/>
      <c r="D37" s="77"/>
      <c r="E37" s="77"/>
      <c r="F37" s="77"/>
      <c r="G37" s="707" t="s">
        <v>9</v>
      </c>
      <c r="H37" s="707" t="s">
        <v>9</v>
      </c>
      <c r="I37" s="75" t="str">
        <f>IF(I13="Ijarah Leasing","NCB Protection","")</f>
        <v/>
      </c>
      <c r="J37" s="279"/>
      <c r="K37" s="9"/>
      <c r="L37" s="21" t="s">
        <v>9</v>
      </c>
      <c r="M37" s="582"/>
      <c r="N37" s="123"/>
      <c r="O37" s="9"/>
      <c r="P37" s="9"/>
      <c r="Q37" s="74"/>
      <c r="R37" s="376"/>
      <c r="S37" s="129"/>
      <c r="U37" s="281">
        <f>IF(Working!Y43&gt;0,1,0)</f>
        <v>0</v>
      </c>
      <c r="V37" s="715" t="s">
        <v>18</v>
      </c>
      <c r="W37" s="714">
        <f>IF(Working!Z43&gt;0,1,0)</f>
        <v>0</v>
      </c>
      <c r="X37" s="715" t="s">
        <v>16</v>
      </c>
      <c r="Y37" s="714">
        <f>IF(Working!X43&gt;0,1,0)</f>
        <v>0</v>
      </c>
      <c r="Z37" s="715" t="s">
        <v>31</v>
      </c>
      <c r="AA37" s="714">
        <f>IF(OR(Working!Q49&gt;0,Working!H49&gt;0),1,0)</f>
        <v>1</v>
      </c>
      <c r="AB37" s="715">
        <f>IF(AND(Working!T47=1,Working!H49&lt;7500),7500,Working!H49)</f>
        <v>7500</v>
      </c>
      <c r="AC37" s="715"/>
      <c r="AD37" s="545"/>
      <c r="AE37" s="545"/>
      <c r="AF37" s="545"/>
    </row>
    <row r="38" spans="1:32" ht="19" hidden="1" customHeight="1" x14ac:dyDescent="0.35">
      <c r="A38" s="120"/>
      <c r="B38" s="7"/>
      <c r="C38" s="77"/>
      <c r="D38" s="77"/>
      <c r="E38" s="77"/>
      <c r="F38" s="77"/>
      <c r="G38" s="10"/>
      <c r="H38" s="9"/>
      <c r="I38" s="9"/>
      <c r="J38" s="279"/>
      <c r="K38" s="23" t="str">
        <f ca="1">IF(Working!M37&lt;0,"No Claim Bonus (*)","Earned NCB")</f>
        <v>No Claim Bonus (*)</v>
      </c>
      <c r="L38" s="21" t="s">
        <v>9</v>
      </c>
      <c r="M38" s="77"/>
      <c r="N38" s="123"/>
      <c r="O38" s="607"/>
      <c r="P38" s="607"/>
      <c r="Q38" s="606"/>
      <c r="R38" s="650"/>
      <c r="S38" s="129"/>
      <c r="U38" s="281">
        <f>Working!O50</f>
        <v>0</v>
      </c>
      <c r="V38" s="714" t="s">
        <v>30</v>
      </c>
      <c r="W38" s="714">
        <f ca="1">Working!P23</f>
        <v>1</v>
      </c>
      <c r="X38" s="715"/>
      <c r="Y38" s="715"/>
      <c r="Z38" s="715"/>
      <c r="AA38" s="715"/>
      <c r="AB38" s="715"/>
      <c r="AC38" s="715"/>
      <c r="AD38" s="545"/>
      <c r="AE38" s="545"/>
      <c r="AF38" s="545"/>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Working!O51</f>
        <v>0</v>
      </c>
      <c r="V39" s="715" t="s">
        <v>29</v>
      </c>
      <c r="W39" s="714">
        <f>Working!O22</f>
        <v>0</v>
      </c>
      <c r="X39" s="715"/>
      <c r="Y39" s="715"/>
      <c r="Z39" s="715"/>
      <c r="AA39" s="715"/>
      <c r="AB39" s="715"/>
      <c r="AC39" s="715"/>
      <c r="AD39" s="545"/>
      <c r="AE39" s="545"/>
      <c r="AF39" s="545"/>
    </row>
    <row r="40" spans="1:32" ht="19" hidden="1" customHeight="1" x14ac:dyDescent="0.35">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5"/>
      <c r="W40" s="714"/>
      <c r="X40" s="715"/>
      <c r="Y40" s="715"/>
      <c r="Z40" s="715"/>
      <c r="AA40" s="715"/>
      <c r="AB40" s="715"/>
      <c r="AC40" s="715"/>
      <c r="AD40" s="545"/>
      <c r="AE40" s="545"/>
      <c r="AF40" s="545"/>
    </row>
    <row r="41" spans="1:32" ht="18" hidden="1" customHeight="1" x14ac:dyDescent="0.35">
      <c r="A41" s="120"/>
      <c r="B41" s="7"/>
      <c r="C41" s="7"/>
      <c r="D41" s="1703"/>
      <c r="E41" s="1703"/>
      <c r="F41" s="7"/>
      <c r="G41" s="7"/>
      <c r="H41" s="7"/>
      <c r="I41" s="7"/>
      <c r="J41" s="9"/>
      <c r="K41" s="9"/>
      <c r="L41" s="11"/>
      <c r="M41" s="11"/>
      <c r="N41" s="11"/>
      <c r="O41" s="11"/>
      <c r="P41" s="11"/>
      <c r="Q41" s="11"/>
      <c r="R41" s="74"/>
      <c r="S41" s="129"/>
      <c r="T41" s="142" t="s">
        <v>27</v>
      </c>
      <c r="U41" s="281">
        <f>Working!O54</f>
        <v>0</v>
      </c>
      <c r="V41" s="719" t="s">
        <v>0</v>
      </c>
      <c r="W41" s="714">
        <f ca="1">Working!O36</f>
        <v>1</v>
      </c>
      <c r="X41" s="715"/>
      <c r="Y41" s="715"/>
      <c r="Z41" s="715"/>
      <c r="AA41" s="715"/>
      <c r="AB41" s="715"/>
    </row>
    <row r="42" spans="1:32" ht="12" customHeight="1" x14ac:dyDescent="0.3">
      <c r="A42" s="120"/>
      <c r="B42" s="7"/>
      <c r="C42" s="651"/>
      <c r="D42" s="651"/>
      <c r="E42" s="651"/>
      <c r="F42" s="651"/>
      <c r="G42" s="651"/>
      <c r="H42" s="651"/>
      <c r="I42" s="651"/>
      <c r="J42" s="651"/>
      <c r="K42" s="651"/>
      <c r="L42" s="651"/>
      <c r="M42" s="651"/>
      <c r="N42" s="651"/>
      <c r="O42" s="651"/>
      <c r="P42" s="651"/>
      <c r="Q42" s="651"/>
      <c r="R42" s="651"/>
      <c r="S42" s="126"/>
      <c r="T42" s="142" t="s">
        <v>43</v>
      </c>
      <c r="U42" s="281">
        <f>IF(Working!B55="Yes",1,0)</f>
        <v>0</v>
      </c>
      <c r="V42" s="715" t="s">
        <v>41</v>
      </c>
      <c r="W42" s="714">
        <v>1</v>
      </c>
      <c r="X42" s="715" t="s">
        <v>42</v>
      </c>
      <c r="Y42" s="715">
        <f>Working!O45</f>
        <v>0</v>
      </c>
      <c r="Z42" s="715"/>
      <c r="AA42" s="715"/>
      <c r="AB42" s="715"/>
    </row>
    <row r="43" spans="1:32" ht="13.5" customHeight="1" x14ac:dyDescent="0.3">
      <c r="A43" s="120"/>
      <c r="B43" s="7"/>
      <c r="C43" s="1698" t="s">
        <v>453</v>
      </c>
      <c r="D43" s="1698"/>
      <c r="E43" s="1698"/>
      <c r="F43" s="1698"/>
      <c r="G43" s="1698"/>
      <c r="H43" s="1698"/>
      <c r="I43" s="1698"/>
      <c r="J43" s="1698"/>
      <c r="K43" s="1698"/>
      <c r="L43" s="1698"/>
      <c r="M43" s="1698"/>
      <c r="N43" s="1698"/>
      <c r="O43" s="1698"/>
      <c r="P43" s="1698"/>
      <c r="Q43" s="1698"/>
      <c r="R43" s="1698"/>
      <c r="S43" s="126"/>
      <c r="T43" s="142" t="s">
        <v>16</v>
      </c>
      <c r="U43" s="281">
        <f>Working!O30</f>
        <v>0</v>
      </c>
      <c r="V43" s="715" t="s">
        <v>44</v>
      </c>
      <c r="W43" s="714">
        <f>Working!E34</f>
        <v>1</v>
      </c>
      <c r="X43" s="715" t="s">
        <v>48</v>
      </c>
      <c r="Y43" s="715" t="str">
        <f>Working!B46</f>
        <v>No</v>
      </c>
      <c r="Z43" s="715" t="s">
        <v>48</v>
      </c>
      <c r="AA43" s="715">
        <f>IF(Working!Q48=0,1,Working!T46)</f>
        <v>0</v>
      </c>
      <c r="AB43" s="715">
        <f>IF(AND(Working!M8="Motor Coach",Working!H9="SLTB Route"),1,0)</f>
        <v>0</v>
      </c>
    </row>
    <row r="44" spans="1:32" ht="18" customHeight="1" x14ac:dyDescent="0.3">
      <c r="A44" s="120"/>
      <c r="B44" s="7"/>
      <c r="C44" s="268" t="s">
        <v>324</v>
      </c>
      <c r="D44" s="292"/>
      <c r="E44" s="292"/>
      <c r="F44" s="292"/>
      <c r="G44" s="80" t="s">
        <v>325</v>
      </c>
      <c r="H44" s="292"/>
      <c r="I44" s="292"/>
      <c r="J44" s="292"/>
      <c r="K44" s="292"/>
      <c r="L44" s="292"/>
      <c r="M44" s="292"/>
      <c r="N44" s="292"/>
      <c r="O44" s="292"/>
      <c r="P44" s="292"/>
      <c r="Q44" s="292"/>
      <c r="R44" s="292"/>
      <c r="S44" s="126"/>
      <c r="U44" s="281"/>
      <c r="V44" s="715"/>
      <c r="W44" s="714"/>
      <c r="X44" s="715"/>
      <c r="Y44" s="715"/>
      <c r="Z44" s="715"/>
      <c r="AA44" s="715"/>
      <c r="AB44" s="715"/>
    </row>
    <row r="45" spans="1:32" ht="18" customHeight="1" x14ac:dyDescent="0.3">
      <c r="A45" s="120"/>
      <c r="B45" s="7">
        <f>IF(AND(Rates!D71="Yes",Working!H12="Hybrid"),1,0)</f>
        <v>0</v>
      </c>
      <c r="C45" s="535" t="s">
        <v>406</v>
      </c>
      <c r="D45" s="292"/>
      <c r="E45" s="292"/>
      <c r="F45" s="292"/>
      <c r="G45" s="292"/>
      <c r="H45" s="271" t="s">
        <v>51</v>
      </c>
      <c r="I45" s="293" t="str">
        <f>IF(P13&lt;2011,"Rs.3,000/-","Rs.1,000/-")</f>
        <v>Rs.1,000/-</v>
      </c>
      <c r="J45" s="357"/>
      <c r="K45" s="292"/>
      <c r="L45" s="739" t="str">
        <f>IF(P10="Electric","• Excess on Inverter &amp; Battery : 20%","")</f>
        <v/>
      </c>
      <c r="M45" s="292"/>
      <c r="N45" s="292"/>
      <c r="O45" s="292"/>
      <c r="P45" s="292"/>
      <c r="Q45" s="711"/>
      <c r="R45" s="711"/>
      <c r="S45" s="126"/>
      <c r="U45" s="281"/>
      <c r="W45" s="608"/>
    </row>
    <row r="46" spans="1:32" ht="18" customHeight="1" x14ac:dyDescent="0.3">
      <c r="A46" s="120"/>
      <c r="B46" s="7"/>
      <c r="C46" s="294" t="str">
        <f>IF(U33="Yes","• Flood &amp; Natural Disaster","")</f>
        <v>• Flood &amp; Natural Disaster</v>
      </c>
      <c r="D46" s="711"/>
      <c r="E46" s="736"/>
      <c r="F46" s="736"/>
      <c r="G46" s="736"/>
      <c r="H46" s="292" t="str">
        <f>IF(U33="Yes","-","")</f>
        <v>-</v>
      </c>
      <c r="I46" s="293" t="str">
        <f>IF(C13="ABANS FINANCE","Nil","Rs.5,000/-")</f>
        <v>Rs.5,000/-</v>
      </c>
      <c r="J46" s="357"/>
      <c r="K46" s="292"/>
      <c r="L46" s="735" t="s">
        <v>532</v>
      </c>
      <c r="M46" s="736"/>
      <c r="N46" s="295"/>
      <c r="O46" s="295"/>
      <c r="P46" s="292"/>
      <c r="Q46" s="737" t="s">
        <v>51</v>
      </c>
      <c r="R46" s="738" t="s">
        <v>533</v>
      </c>
      <c r="S46" s="126"/>
      <c r="U46" s="281"/>
      <c r="W46" s="608"/>
    </row>
    <row r="47" spans="1:32" ht="18" customHeight="1" x14ac:dyDescent="0.3">
      <c r="A47" s="120"/>
      <c r="B47" s="7"/>
      <c r="C47" s="711"/>
      <c r="D47" s="529"/>
      <c r="E47" s="529"/>
      <c r="F47" s="529"/>
      <c r="G47" s="529"/>
      <c r="H47" s="529"/>
      <c r="I47" s="529"/>
      <c r="J47" s="530"/>
      <c r="K47" s="484"/>
      <c r="L47" s="484"/>
      <c r="M47" s="484"/>
      <c r="N47" s="484"/>
      <c r="O47" s="484"/>
      <c r="P47" s="484"/>
      <c r="Q47" s="292"/>
      <c r="R47" s="292"/>
      <c r="S47" s="126"/>
      <c r="U47" s="281"/>
      <c r="W47" s="608"/>
    </row>
    <row r="48" spans="1:32" ht="18" customHeight="1" x14ac:dyDescent="0.3">
      <c r="A48" s="120"/>
      <c r="B48" s="7"/>
      <c r="C48" s="1691" t="s">
        <v>300</v>
      </c>
      <c r="D48" s="1692"/>
      <c r="E48" s="1692"/>
      <c r="F48" s="1692"/>
      <c r="G48" s="1692"/>
      <c r="H48" s="1692"/>
      <c r="I48" s="1692"/>
      <c r="J48" s="1692"/>
      <c r="K48" s="1692"/>
      <c r="L48" s="1692"/>
      <c r="M48" s="1692"/>
      <c r="N48" s="1692"/>
      <c r="O48" s="1692"/>
      <c r="P48" s="1692"/>
      <c r="Q48" s="1692"/>
      <c r="R48" s="1692"/>
      <c r="S48" s="126"/>
      <c r="U48" s="281"/>
      <c r="W48" s="608"/>
    </row>
    <row r="49" spans="1:24" ht="16.5" customHeight="1" x14ac:dyDescent="0.3">
      <c r="A49" s="120"/>
      <c r="B49" s="7"/>
      <c r="C49" s="729" t="s">
        <v>536</v>
      </c>
      <c r="D49" s="730"/>
      <c r="E49" s="730"/>
      <c r="F49" s="730"/>
      <c r="G49" s="730"/>
      <c r="H49" s="730"/>
      <c r="I49" s="731"/>
      <c r="J49" s="731"/>
      <c r="K49" s="731"/>
      <c r="L49" s="731"/>
      <c r="M49" s="731"/>
      <c r="N49" s="731"/>
      <c r="O49" s="731"/>
      <c r="P49" s="731"/>
      <c r="Q49" s="731"/>
      <c r="R49" s="731"/>
      <c r="S49" s="126"/>
      <c r="T49" s="142" t="s">
        <v>132</v>
      </c>
      <c r="U49" s="282">
        <f>IF(AND(Working!M8="Motor Coach",Working!H9="SLTB Route"),1,0)</f>
        <v>0</v>
      </c>
      <c r="V49" s="559" t="s">
        <v>28</v>
      </c>
      <c r="W49" s="608">
        <f>Working!O56</f>
        <v>0</v>
      </c>
      <c r="X49" s="559" t="str">
        <f ca="1">IF(Working!M36&lt;0,"NCB allowed is subject to documentary evidence.","")</f>
        <v/>
      </c>
    </row>
    <row r="50" spans="1:24" ht="24" customHeight="1" x14ac:dyDescent="0.3">
      <c r="A50" s="120"/>
      <c r="B50" s="7"/>
      <c r="C50" s="732" t="s">
        <v>537</v>
      </c>
      <c r="D50" s="733"/>
      <c r="E50" s="733"/>
      <c r="F50" s="733"/>
      <c r="G50" s="733"/>
      <c r="H50" s="733"/>
      <c r="I50" s="734"/>
      <c r="J50" s="734"/>
      <c r="K50" s="734"/>
      <c r="L50" s="734"/>
      <c r="M50" s="734"/>
      <c r="N50" s="734"/>
      <c r="O50" s="734"/>
      <c r="P50" s="734"/>
      <c r="Q50" s="734"/>
      <c r="R50" s="734"/>
      <c r="S50" s="126"/>
    </row>
    <row r="51" spans="1:24" ht="28.5" customHeight="1" x14ac:dyDescent="0.3">
      <c r="A51" s="120"/>
      <c r="B51" s="7"/>
      <c r="C51" s="1702" t="s">
        <v>538</v>
      </c>
      <c r="D51" s="1702"/>
      <c r="E51" s="1702"/>
      <c r="F51" s="1702"/>
      <c r="G51" s="1702"/>
      <c r="H51" s="1702"/>
      <c r="I51" s="1702"/>
      <c r="J51" s="1702"/>
      <c r="K51" s="1702"/>
      <c r="L51" s="1702"/>
      <c r="M51" s="1702"/>
      <c r="N51" s="1702"/>
      <c r="O51" s="1702"/>
      <c r="P51" s="1702"/>
      <c r="Q51" s="1702"/>
      <c r="R51" s="1702"/>
      <c r="S51" s="126"/>
    </row>
    <row r="52" spans="1:24" ht="47.25" customHeight="1" x14ac:dyDescent="0.3">
      <c r="A52" s="120"/>
      <c r="B52" s="7"/>
      <c r="C52" s="1680" t="s">
        <v>576</v>
      </c>
      <c r="D52" s="1681"/>
      <c r="E52" s="1681"/>
      <c r="F52" s="1681"/>
      <c r="G52" s="1681"/>
      <c r="H52" s="1681"/>
      <c r="I52" s="1681"/>
      <c r="J52" s="1681"/>
      <c r="K52" s="1681"/>
      <c r="L52" s="1681"/>
      <c r="M52" s="1681"/>
      <c r="N52" s="1681"/>
      <c r="O52" s="1681"/>
      <c r="P52" s="1681"/>
      <c r="Q52" s="1681"/>
      <c r="R52" s="1681"/>
      <c r="S52" s="129"/>
    </row>
    <row r="53" spans="1:24" ht="20.149999999999999" customHeight="1" x14ac:dyDescent="0.3">
      <c r="A53" s="120"/>
      <c r="B53" s="7"/>
      <c r="C53" s="728"/>
      <c r="D53" s="275"/>
      <c r="E53" s="275"/>
      <c r="F53" s="275"/>
      <c r="G53" s="275"/>
      <c r="H53" s="275"/>
      <c r="I53" s="275"/>
      <c r="J53" s="228"/>
      <c r="K53" s="228"/>
      <c r="L53" s="228"/>
      <c r="M53" s="228"/>
      <c r="N53" s="228"/>
      <c r="O53" s="228"/>
      <c r="P53" s="228"/>
      <c r="Q53" s="228"/>
      <c r="R53" s="228"/>
      <c r="S53" s="129"/>
    </row>
    <row r="54" spans="1:24" ht="29.25" customHeight="1" x14ac:dyDescent="0.3">
      <c r="A54" s="120"/>
      <c r="B54" s="7"/>
      <c r="C54" s="1694"/>
      <c r="D54" s="1695"/>
      <c r="E54" s="1695"/>
      <c r="F54" s="1695"/>
      <c r="G54" s="1695"/>
      <c r="H54" s="1695"/>
      <c r="I54" s="1695"/>
      <c r="J54" s="1695"/>
      <c r="K54" s="1695"/>
      <c r="L54" s="1695"/>
      <c r="M54" s="1695"/>
      <c r="N54" s="278"/>
      <c r="O54" s="278"/>
      <c r="P54" s="278"/>
      <c r="Q54" s="278"/>
      <c r="R54" s="278"/>
      <c r="S54" s="129"/>
    </row>
    <row r="55" spans="1:24" ht="26.25" customHeight="1" x14ac:dyDescent="0.3">
      <c r="A55" s="120"/>
      <c r="B55" s="7"/>
      <c r="C55" s="1695"/>
      <c r="D55" s="1695"/>
      <c r="E55" s="1695"/>
      <c r="F55" s="1695"/>
      <c r="G55" s="1695"/>
      <c r="H55" s="1695"/>
      <c r="I55" s="1695"/>
      <c r="J55" s="1695"/>
      <c r="K55" s="1695"/>
      <c r="L55" s="1695"/>
      <c r="M55" s="1695"/>
      <c r="N55" s="278"/>
      <c r="O55" s="278"/>
      <c r="P55" s="278"/>
      <c r="Q55" s="278"/>
      <c r="R55" s="278"/>
      <c r="S55" s="129"/>
      <c r="V55" s="559">
        <f>IF(OR(Working!E61=0,Working!E61=""),1,0)</f>
        <v>1</v>
      </c>
    </row>
    <row r="56" spans="1:24" ht="18" customHeight="1" x14ac:dyDescent="0.3">
      <c r="A56" s="120"/>
      <c r="B56" s="7"/>
      <c r="C56" s="378"/>
      <c r="D56" s="322"/>
      <c r="E56" s="322"/>
      <c r="F56" s="322"/>
      <c r="G56" s="322"/>
      <c r="H56" s="322"/>
      <c r="I56" s="322"/>
      <c r="J56" s="322"/>
      <c r="K56" s="322"/>
      <c r="L56" s="322"/>
      <c r="M56" s="322"/>
      <c r="N56" s="1697"/>
      <c r="O56" s="1697"/>
      <c r="P56" s="1697"/>
      <c r="Q56" s="1697"/>
      <c r="R56" s="1697"/>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1690"/>
      <c r="D58" s="1690"/>
      <c r="E58" s="1690"/>
      <c r="F58" s="1690"/>
      <c r="G58" s="1690"/>
      <c r="H58" s="1690"/>
      <c r="I58" s="1690"/>
      <c r="J58" s="264"/>
      <c r="K58" s="264"/>
      <c r="L58" s="264"/>
      <c r="M58" s="14"/>
      <c r="N58" s="295"/>
      <c r="O58" s="295"/>
      <c r="P58" s="295"/>
      <c r="Q58" s="295"/>
      <c r="R58" s="295"/>
      <c r="S58" s="130"/>
    </row>
    <row r="59" spans="1:24" ht="27" customHeight="1" x14ac:dyDescent="0.3">
      <c r="A59" s="120"/>
      <c r="B59" s="7"/>
      <c r="C59" s="1689" t="str">
        <f ca="1">CONCATENATE("MNI - ",ROUND('TW Working'!F3*100,3)," - ",ROUND('TW Working'!F7*100,3)," - ",'TW Working'!C8)</f>
        <v>MNI - -6.204 - -65 - 2000</v>
      </c>
      <c r="D59" s="1689"/>
      <c r="E59" s="1689"/>
      <c r="F59" s="1689"/>
      <c r="G59" s="1689"/>
      <c r="H59" s="1689"/>
      <c r="I59" s="1689"/>
      <c r="J59" s="7"/>
      <c r="K59" s="7"/>
      <c r="L59" s="14"/>
      <c r="M59" s="14"/>
      <c r="N59" s="131"/>
      <c r="O59" s="131"/>
      <c r="P59" s="131"/>
      <c r="Q59" s="131"/>
      <c r="R59" s="131"/>
      <c r="S59" s="130"/>
    </row>
    <row r="60" spans="1:24" ht="2.25" customHeight="1" thickBot="1" x14ac:dyDescent="0.3">
      <c r="A60" s="574"/>
      <c r="B60" s="575"/>
      <c r="C60" s="576"/>
      <c r="D60" s="575"/>
      <c r="E60" s="575"/>
      <c r="F60" s="575"/>
      <c r="G60" s="575"/>
      <c r="H60" s="575"/>
      <c r="I60" s="575"/>
      <c r="J60" s="575"/>
      <c r="K60" s="575"/>
      <c r="L60" s="575"/>
      <c r="M60" s="575"/>
      <c r="N60" s="575"/>
      <c r="O60" s="577"/>
      <c r="P60" s="578"/>
      <c r="Q60" s="579"/>
      <c r="R60" s="580"/>
      <c r="S60" s="581"/>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1682" t="s">
        <v>401</v>
      </c>
      <c r="B65" s="1682"/>
      <c r="C65" s="1682"/>
      <c r="D65" s="1682"/>
      <c r="E65" s="1682"/>
      <c r="F65" s="1682"/>
      <c r="G65" s="1682"/>
      <c r="H65" s="1682"/>
      <c r="I65" s="1682"/>
      <c r="J65" s="1682"/>
      <c r="K65" s="1682"/>
      <c r="L65" s="1682"/>
      <c r="M65" s="1682"/>
      <c r="N65" s="1682"/>
      <c r="O65" s="1682"/>
      <c r="P65" s="1682"/>
      <c r="Q65" s="1682"/>
      <c r="R65" s="1682"/>
      <c r="S65" s="1682"/>
    </row>
    <row r="66" spans="1:19" hidden="1" x14ac:dyDescent="0.25">
      <c r="A66" s="1682"/>
      <c r="B66" s="1682"/>
      <c r="C66" s="1682"/>
      <c r="D66" s="1682"/>
      <c r="E66" s="1682"/>
      <c r="F66" s="1682"/>
      <c r="G66" s="1682"/>
      <c r="H66" s="1682"/>
      <c r="I66" s="1682"/>
      <c r="J66" s="1682"/>
      <c r="K66" s="1682"/>
      <c r="L66" s="1682"/>
      <c r="M66" s="1682"/>
      <c r="N66" s="1682"/>
      <c r="O66" s="1682"/>
      <c r="P66" s="1682"/>
      <c r="Q66" s="1682"/>
      <c r="R66" s="1682"/>
      <c r="S66" s="1682"/>
    </row>
    <row r="67" spans="1:19" hidden="1" x14ac:dyDescent="0.25">
      <c r="A67" s="1682"/>
      <c r="B67" s="1682"/>
      <c r="C67" s="1682"/>
      <c r="D67" s="1682"/>
      <c r="E67" s="1682"/>
      <c r="F67" s="1682"/>
      <c r="G67" s="1682"/>
      <c r="H67" s="1682"/>
      <c r="I67" s="1682"/>
      <c r="J67" s="1682"/>
      <c r="K67" s="1682"/>
      <c r="L67" s="1682"/>
      <c r="M67" s="1682"/>
      <c r="N67" s="1682"/>
      <c r="O67" s="1682"/>
      <c r="P67" s="1682"/>
      <c r="Q67" s="1682"/>
      <c r="R67" s="1682"/>
      <c r="S67" s="1682"/>
    </row>
    <row r="68" spans="1:19" hidden="1" x14ac:dyDescent="0.25">
      <c r="A68" s="1682"/>
      <c r="B68" s="1682"/>
      <c r="C68" s="1682"/>
      <c r="D68" s="1682"/>
      <c r="E68" s="1682"/>
      <c r="F68" s="1682"/>
      <c r="G68" s="1682"/>
      <c r="H68" s="1682"/>
      <c r="I68" s="1682"/>
      <c r="J68" s="1682"/>
      <c r="K68" s="1682"/>
      <c r="L68" s="1682"/>
      <c r="M68" s="1682"/>
      <c r="N68" s="1682"/>
      <c r="O68" s="1682"/>
      <c r="P68" s="1682"/>
      <c r="Q68" s="1682"/>
      <c r="R68" s="1682"/>
      <c r="S68" s="1682"/>
    </row>
    <row r="69" spans="1:19" hidden="1" x14ac:dyDescent="0.25">
      <c r="A69" s="1682"/>
      <c r="B69" s="1682"/>
      <c r="C69" s="1682"/>
      <c r="D69" s="1682"/>
      <c r="E69" s="1682"/>
      <c r="F69" s="1682"/>
      <c r="G69" s="1682"/>
      <c r="H69" s="1682"/>
      <c r="I69" s="1682"/>
      <c r="J69" s="1682"/>
      <c r="K69" s="1682"/>
      <c r="L69" s="1682"/>
      <c r="M69" s="1682"/>
      <c r="N69" s="1682"/>
      <c r="O69" s="1682"/>
      <c r="P69" s="1682"/>
      <c r="Q69" s="1682"/>
      <c r="R69" s="1682"/>
      <c r="S69" s="1682"/>
    </row>
    <row r="70" spans="1:19" hidden="1" x14ac:dyDescent="0.25">
      <c r="A70" s="1682"/>
      <c r="B70" s="1682"/>
      <c r="C70" s="1682"/>
      <c r="D70" s="1682"/>
      <c r="E70" s="1682"/>
      <c r="F70" s="1682"/>
      <c r="G70" s="1682"/>
      <c r="H70" s="1682"/>
      <c r="I70" s="1682"/>
      <c r="J70" s="1682"/>
      <c r="K70" s="1682"/>
      <c r="L70" s="1682"/>
      <c r="M70" s="1682"/>
      <c r="N70" s="1682"/>
      <c r="O70" s="1682"/>
      <c r="P70" s="1682"/>
      <c r="Q70" s="1682"/>
      <c r="R70" s="1682"/>
      <c r="S70" s="1682"/>
    </row>
    <row r="71" spans="1:19" hidden="1" x14ac:dyDescent="0.25">
      <c r="A71" s="1682"/>
      <c r="B71" s="1682"/>
      <c r="C71" s="1682"/>
      <c r="D71" s="1682"/>
      <c r="E71" s="1682"/>
      <c r="F71" s="1682"/>
      <c r="G71" s="1682"/>
      <c r="H71" s="1682"/>
      <c r="I71" s="1682"/>
      <c r="J71" s="1682"/>
      <c r="K71" s="1682"/>
      <c r="L71" s="1682"/>
      <c r="M71" s="1682"/>
      <c r="N71" s="1682"/>
      <c r="O71" s="1682"/>
      <c r="P71" s="1682"/>
      <c r="Q71" s="1682"/>
      <c r="R71" s="1682"/>
      <c r="S71" s="1682"/>
    </row>
    <row r="86" spans="6:18" ht="14" hidden="1" x14ac:dyDescent="0.25">
      <c r="I86" s="486" t="s">
        <v>455</v>
      </c>
    </row>
    <row r="87" spans="6:18" ht="14" hidden="1" x14ac:dyDescent="0.25">
      <c r="F87" s="545" t="s">
        <v>458</v>
      </c>
      <c r="I87" s="545" t="s">
        <v>458</v>
      </c>
      <c r="R87" s="486" t="s">
        <v>454</v>
      </c>
    </row>
    <row r="88" spans="6:18" ht="14" hidden="1" x14ac:dyDescent="0.25">
      <c r="I88" s="545" t="s">
        <v>461</v>
      </c>
      <c r="R88" s="486" t="s">
        <v>524</v>
      </c>
    </row>
    <row r="89" spans="6:18" ht="14" hidden="1" x14ac:dyDescent="0.25">
      <c r="I89" s="545" t="s">
        <v>469</v>
      </c>
      <c r="R89" s="486" t="s">
        <v>455</v>
      </c>
    </row>
    <row r="90" spans="6:18" ht="14" hidden="1" x14ac:dyDescent="0.25">
      <c r="I90" s="545" t="s">
        <v>523</v>
      </c>
      <c r="R90" s="486" t="s">
        <v>382</v>
      </c>
    </row>
    <row r="91" spans="6:18" ht="14" hidden="1" x14ac:dyDescent="0.25">
      <c r="I91" s="545" t="s">
        <v>472</v>
      </c>
      <c r="R91" s="486" t="s">
        <v>455</v>
      </c>
    </row>
    <row r="92" spans="6:18" ht="14" hidden="1" x14ac:dyDescent="0.25">
      <c r="I92" s="545" t="s">
        <v>480</v>
      </c>
      <c r="R92" s="486" t="s">
        <v>456</v>
      </c>
    </row>
    <row r="93" spans="6:18" ht="14" hidden="1" x14ac:dyDescent="0.25">
      <c r="I93" s="545" t="s">
        <v>481</v>
      </c>
      <c r="R93" s="486" t="s">
        <v>457</v>
      </c>
    </row>
    <row r="94" spans="6:18" ht="14" hidden="1" x14ac:dyDescent="0.25">
      <c r="I94" s="545" t="s">
        <v>485</v>
      </c>
      <c r="R94" s="486" t="s">
        <v>383</v>
      </c>
    </row>
    <row r="95" spans="6:18" ht="14" hidden="1" x14ac:dyDescent="0.25">
      <c r="I95" s="545" t="s">
        <v>491</v>
      </c>
      <c r="R95" s="486" t="s">
        <v>459</v>
      </c>
    </row>
    <row r="96" spans="6:18" ht="14" hidden="1" x14ac:dyDescent="0.25">
      <c r="I96" s="545" t="s">
        <v>498</v>
      </c>
      <c r="R96" s="486" t="s">
        <v>390</v>
      </c>
    </row>
    <row r="97" spans="9:18" ht="28" hidden="1" x14ac:dyDescent="0.25">
      <c r="I97" s="545" t="s">
        <v>501</v>
      </c>
      <c r="R97" s="486" t="s">
        <v>460</v>
      </c>
    </row>
    <row r="98" spans="9:18" ht="14" hidden="1" x14ac:dyDescent="0.25">
      <c r="I98" s="545" t="s">
        <v>506</v>
      </c>
      <c r="R98" s="486" t="s">
        <v>431</v>
      </c>
    </row>
    <row r="99" spans="9:18" ht="14" hidden="1" x14ac:dyDescent="0.25">
      <c r="R99" s="486" t="s">
        <v>462</v>
      </c>
    </row>
    <row r="100" spans="9:18" ht="28" hidden="1" x14ac:dyDescent="0.25">
      <c r="I100" s="545">
        <f>IF(OR(F87=I86,F87=I87,F87=I88,F87=I89,F87=I90,F87=I91,F87=I92,F87=I93,F87=I94,F87=I95,F87=I96,F87=I97,F87=I98),1,0)</f>
        <v>1</v>
      </c>
      <c r="R100" s="486" t="s">
        <v>463</v>
      </c>
    </row>
    <row r="101" spans="9:18" ht="28" hidden="1" x14ac:dyDescent="0.25">
      <c r="R101" s="486" t="s">
        <v>464</v>
      </c>
    </row>
    <row r="102" spans="9:18" ht="14" hidden="1" x14ac:dyDescent="0.25">
      <c r="R102" s="486" t="s">
        <v>465</v>
      </c>
    </row>
    <row r="103" spans="9:18" ht="28" hidden="1" x14ac:dyDescent="0.25">
      <c r="R103" s="486" t="s">
        <v>466</v>
      </c>
    </row>
    <row r="104" spans="9:18" ht="28" hidden="1" x14ac:dyDescent="0.25">
      <c r="R104" s="486" t="s">
        <v>467</v>
      </c>
    </row>
    <row r="105" spans="9:18" ht="14" hidden="1" x14ac:dyDescent="0.25">
      <c r="R105" s="486" t="s">
        <v>468</v>
      </c>
    </row>
    <row r="106" spans="9:18" ht="28" hidden="1" x14ac:dyDescent="0.25">
      <c r="R106" s="486" t="s">
        <v>384</v>
      </c>
    </row>
    <row r="107" spans="9:18" ht="28" hidden="1" x14ac:dyDescent="0.25">
      <c r="R107" s="486" t="s">
        <v>470</v>
      </c>
    </row>
    <row r="108" spans="9:18" ht="28" hidden="1" x14ac:dyDescent="0.25">
      <c r="R108" s="486" t="s">
        <v>471</v>
      </c>
    </row>
    <row r="109" spans="9:18" ht="14" hidden="1" x14ac:dyDescent="0.25">
      <c r="R109" s="486" t="s">
        <v>416</v>
      </c>
    </row>
    <row r="110" spans="9:18" ht="28" hidden="1" x14ac:dyDescent="0.25">
      <c r="R110" s="486" t="s">
        <v>473</v>
      </c>
    </row>
    <row r="111" spans="9:18" ht="28" hidden="1" x14ac:dyDescent="0.25">
      <c r="R111" s="486" t="s">
        <v>474</v>
      </c>
    </row>
    <row r="112" spans="9:18" ht="14" hidden="1" x14ac:dyDescent="0.25">
      <c r="R112" s="486" t="s">
        <v>475</v>
      </c>
    </row>
    <row r="113" spans="18:18" ht="14" hidden="1" x14ac:dyDescent="0.25">
      <c r="R113" s="486" t="s">
        <v>476</v>
      </c>
    </row>
    <row r="114" spans="18:18" ht="14" hidden="1" x14ac:dyDescent="0.25">
      <c r="R114" s="486" t="s">
        <v>477</v>
      </c>
    </row>
    <row r="115" spans="18:18" ht="28" hidden="1" x14ac:dyDescent="0.25">
      <c r="R115" s="486" t="s">
        <v>478</v>
      </c>
    </row>
    <row r="116" spans="18:18" ht="14" hidden="1" x14ac:dyDescent="0.25">
      <c r="R116" s="486" t="s">
        <v>479</v>
      </c>
    </row>
    <row r="117" spans="18:18" ht="14" hidden="1" x14ac:dyDescent="0.25">
      <c r="R117" s="486" t="s">
        <v>391</v>
      </c>
    </row>
    <row r="118" spans="18:18" ht="14" hidden="1" x14ac:dyDescent="0.25">
      <c r="R118" s="486" t="s">
        <v>392</v>
      </c>
    </row>
    <row r="119" spans="18:18" ht="14" hidden="1" x14ac:dyDescent="0.25">
      <c r="R119" s="486" t="s">
        <v>385</v>
      </c>
    </row>
    <row r="120" spans="18:18" ht="14" hidden="1" x14ac:dyDescent="0.25">
      <c r="R120" s="486" t="s">
        <v>393</v>
      </c>
    </row>
    <row r="121" spans="18:18" ht="14" hidden="1" x14ac:dyDescent="0.25">
      <c r="R121" s="486" t="s">
        <v>386</v>
      </c>
    </row>
    <row r="122" spans="18:18" ht="14" hidden="1" x14ac:dyDescent="0.25">
      <c r="R122" s="486" t="s">
        <v>387</v>
      </c>
    </row>
    <row r="123" spans="18:18" ht="28" hidden="1" x14ac:dyDescent="0.25">
      <c r="R123" s="486" t="s">
        <v>482</v>
      </c>
    </row>
    <row r="124" spans="18:18" ht="14" hidden="1" x14ac:dyDescent="0.25">
      <c r="R124" s="486" t="s">
        <v>483</v>
      </c>
    </row>
    <row r="125" spans="18:18" ht="14" hidden="1" x14ac:dyDescent="0.25">
      <c r="R125" s="486" t="s">
        <v>484</v>
      </c>
    </row>
    <row r="126" spans="18:18" ht="14" hidden="1" x14ac:dyDescent="0.25">
      <c r="R126" s="486" t="s">
        <v>486</v>
      </c>
    </row>
    <row r="127" spans="18:18" ht="14" hidden="1" x14ac:dyDescent="0.25">
      <c r="R127" s="486" t="s">
        <v>487</v>
      </c>
    </row>
    <row r="128" spans="18:18" ht="28" hidden="1" x14ac:dyDescent="0.25">
      <c r="R128" s="486" t="s">
        <v>388</v>
      </c>
    </row>
    <row r="129" spans="18:18" ht="28" hidden="1" x14ac:dyDescent="0.25">
      <c r="R129" s="486" t="s">
        <v>423</v>
      </c>
    </row>
    <row r="130" spans="18:18" ht="28" hidden="1" x14ac:dyDescent="0.25">
      <c r="R130" s="486" t="s">
        <v>422</v>
      </c>
    </row>
    <row r="131" spans="18:18" ht="14" hidden="1" x14ac:dyDescent="0.25">
      <c r="R131" s="486" t="s">
        <v>488</v>
      </c>
    </row>
    <row r="132" spans="18:18" ht="28" hidden="1" x14ac:dyDescent="0.25">
      <c r="R132" s="486" t="s">
        <v>489</v>
      </c>
    </row>
    <row r="133" spans="18:18" ht="14" hidden="1" x14ac:dyDescent="0.25">
      <c r="R133" s="486" t="s">
        <v>490</v>
      </c>
    </row>
    <row r="134" spans="18:18" ht="28" hidden="1" x14ac:dyDescent="0.25">
      <c r="R134" s="486" t="s">
        <v>492</v>
      </c>
    </row>
    <row r="135" spans="18:18" ht="14" hidden="1" x14ac:dyDescent="0.25">
      <c r="R135" s="486" t="s">
        <v>493</v>
      </c>
    </row>
    <row r="136" spans="18:18" ht="28" hidden="1" x14ac:dyDescent="0.25">
      <c r="R136" s="486" t="s">
        <v>494</v>
      </c>
    </row>
    <row r="137" spans="18:18" ht="28" hidden="1" x14ac:dyDescent="0.25">
      <c r="R137" s="486" t="s">
        <v>495</v>
      </c>
    </row>
    <row r="138" spans="18:18" ht="14" hidden="1" x14ac:dyDescent="0.25">
      <c r="R138" s="486" t="s">
        <v>496</v>
      </c>
    </row>
    <row r="139" spans="18:18" ht="14" hidden="1" x14ac:dyDescent="0.25">
      <c r="R139" s="486" t="s">
        <v>497</v>
      </c>
    </row>
    <row r="140" spans="18:18" ht="28" hidden="1" x14ac:dyDescent="0.25">
      <c r="R140" s="486" t="s">
        <v>394</v>
      </c>
    </row>
    <row r="141" spans="18:18" ht="28" hidden="1" x14ac:dyDescent="0.25">
      <c r="R141" s="486" t="s">
        <v>499</v>
      </c>
    </row>
    <row r="142" spans="18:18" ht="28" hidden="1" x14ac:dyDescent="0.25">
      <c r="R142" s="486" t="s">
        <v>500</v>
      </c>
    </row>
    <row r="143" spans="18:18" ht="14" hidden="1" x14ac:dyDescent="0.25">
      <c r="R143" s="486" t="s">
        <v>502</v>
      </c>
    </row>
    <row r="144" spans="18:18" ht="28" hidden="1" x14ac:dyDescent="0.25">
      <c r="R144" s="486" t="s">
        <v>503</v>
      </c>
    </row>
    <row r="145" spans="18:18" ht="14" hidden="1" x14ac:dyDescent="0.25">
      <c r="R145" s="486" t="s">
        <v>504</v>
      </c>
    </row>
    <row r="146" spans="18:18" ht="14" hidden="1" x14ac:dyDescent="0.25">
      <c r="R146" s="486" t="s">
        <v>505</v>
      </c>
    </row>
    <row r="147" spans="18:18" ht="28" hidden="1" x14ac:dyDescent="0.25">
      <c r="R147" s="486" t="s">
        <v>418</v>
      </c>
    </row>
    <row r="148" spans="18:18" ht="14" hidden="1" x14ac:dyDescent="0.25">
      <c r="R148" s="486" t="s">
        <v>507</v>
      </c>
    </row>
    <row r="149" spans="18:18" ht="14" hidden="1" x14ac:dyDescent="0.25">
      <c r="R149" s="486" t="s">
        <v>508</v>
      </c>
    </row>
    <row r="150" spans="18:18" ht="14" hidden="1" x14ac:dyDescent="0.25">
      <c r="R150" s="486" t="s">
        <v>509</v>
      </c>
    </row>
    <row r="151" spans="18:18" ht="14" hidden="1" x14ac:dyDescent="0.25">
      <c r="R151" s="486" t="s">
        <v>510</v>
      </c>
    </row>
    <row r="152" spans="18:18" ht="14" hidden="1" x14ac:dyDescent="0.25">
      <c r="R152" s="486" t="s">
        <v>428</v>
      </c>
    </row>
    <row r="153" spans="18:18" ht="28" hidden="1" x14ac:dyDescent="0.25">
      <c r="R153" s="486" t="s">
        <v>511</v>
      </c>
    </row>
    <row r="154" spans="18:18" ht="28" hidden="1" x14ac:dyDescent="0.25">
      <c r="R154" s="486" t="s">
        <v>512</v>
      </c>
    </row>
    <row r="155" spans="18:18" ht="28" hidden="1" x14ac:dyDescent="0.25">
      <c r="R155" s="486" t="s">
        <v>513</v>
      </c>
    </row>
    <row r="156" spans="18:18" ht="14" hidden="1" x14ac:dyDescent="0.25">
      <c r="R156" s="486" t="s">
        <v>514</v>
      </c>
    </row>
    <row r="157" spans="18:18" ht="28" hidden="1" x14ac:dyDescent="0.25">
      <c r="R157" s="486" t="s">
        <v>515</v>
      </c>
    </row>
    <row r="158" spans="18:18" ht="28" hidden="1" x14ac:dyDescent="0.25">
      <c r="R158" s="486" t="s">
        <v>516</v>
      </c>
    </row>
    <row r="159" spans="18:18" ht="28" hidden="1" x14ac:dyDescent="0.25">
      <c r="R159" s="486" t="s">
        <v>517</v>
      </c>
    </row>
    <row r="160" spans="18:18" ht="14" hidden="1" x14ac:dyDescent="0.25">
      <c r="R160" s="486" t="s">
        <v>389</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password="F6CE" sheet="1" objects="1" scenarios="1"/>
  <dataConsolidate/>
  <mergeCells count="26">
    <mergeCell ref="C51:R51"/>
    <mergeCell ref="P11:R11"/>
    <mergeCell ref="D41:E41"/>
    <mergeCell ref="P13:Q13"/>
    <mergeCell ref="P9:R9"/>
    <mergeCell ref="Q16:R17"/>
    <mergeCell ref="C20:J24"/>
    <mergeCell ref="C17:I18"/>
    <mergeCell ref="P10:R10"/>
    <mergeCell ref="L24:R25"/>
    <mergeCell ref="C52:R52"/>
    <mergeCell ref="A65:S71"/>
    <mergeCell ref="M1:S1"/>
    <mergeCell ref="M2:R2"/>
    <mergeCell ref="C11:J11"/>
    <mergeCell ref="C8:J8"/>
    <mergeCell ref="P8:R8"/>
    <mergeCell ref="C59:I59"/>
    <mergeCell ref="C58:I58"/>
    <mergeCell ref="C48:R48"/>
    <mergeCell ref="P4:R4"/>
    <mergeCell ref="C54:M55"/>
    <mergeCell ref="P12:R12"/>
    <mergeCell ref="N56:R56"/>
    <mergeCell ref="C43:R43"/>
    <mergeCell ref="C13:J13"/>
  </mergeCells>
  <phoneticPr fontId="0" type="noConversion"/>
  <conditionalFormatting sqref="X32">
    <cfRule type="expression" dxfId="217" priority="41" stopIfTrue="1">
      <formula>E32&gt;9%</formula>
    </cfRule>
  </conditionalFormatting>
  <conditionalFormatting sqref="X49">
    <cfRule type="expression" dxfId="216" priority="42" stopIfTrue="1">
      <formula>T42=1</formula>
    </cfRule>
  </conditionalFormatting>
  <conditionalFormatting sqref="M34">
    <cfRule type="expression" dxfId="215" priority="45" stopIfTrue="1">
      <formula>W32=1</formula>
    </cfRule>
  </conditionalFormatting>
  <conditionalFormatting sqref="F36">
    <cfRule type="expression" dxfId="214" priority="46" stopIfTrue="1">
      <formula>W37=3</formula>
    </cfRule>
  </conditionalFormatting>
  <conditionalFormatting sqref="Q37">
    <cfRule type="expression" dxfId="213" priority="47" stopIfTrue="1">
      <formula>X42=1</formula>
    </cfRule>
  </conditionalFormatting>
  <conditionalFormatting sqref="L39">
    <cfRule type="expression" dxfId="212" priority="49" stopIfTrue="1">
      <formula>U42=1</formula>
    </cfRule>
  </conditionalFormatting>
  <conditionalFormatting sqref="C33:C34">
    <cfRule type="expression" dxfId="211" priority="50" stopIfTrue="1">
      <formula>U33="Yes"</formula>
    </cfRule>
  </conditionalFormatting>
  <conditionalFormatting sqref="X25">
    <cfRule type="expression" dxfId="210" priority="51" stopIfTrue="1">
      <formula>W38=1</formula>
    </cfRule>
  </conditionalFormatting>
  <conditionalFormatting sqref="M33">
    <cfRule type="expression" dxfId="209" priority="52" stopIfTrue="1">
      <formula>W34=1</formula>
    </cfRule>
  </conditionalFormatting>
  <conditionalFormatting sqref="L33">
    <cfRule type="expression" dxfId="208" priority="54" stopIfTrue="1">
      <formula>W34=1</formula>
    </cfRule>
  </conditionalFormatting>
  <conditionalFormatting sqref="D33:D34">
    <cfRule type="expression" dxfId="207" priority="55" stopIfTrue="1">
      <formula>U33="Yes"</formula>
    </cfRule>
  </conditionalFormatting>
  <conditionalFormatting sqref="C35">
    <cfRule type="expression" dxfId="206" priority="56" stopIfTrue="1">
      <formula>AND(U36="Yes",U34="Yes")</formula>
    </cfRule>
  </conditionalFormatting>
  <conditionalFormatting sqref="D35">
    <cfRule type="expression" dxfId="205" priority="57" stopIfTrue="1">
      <formula>AND(U36="Yes",U34="Yes")</formula>
    </cfRule>
  </conditionalFormatting>
  <conditionalFormatting sqref="L34">
    <cfRule type="expression" dxfId="204" priority="58" stopIfTrue="1">
      <formula>W32=1</formula>
    </cfRule>
  </conditionalFormatting>
  <conditionalFormatting sqref="M39">
    <cfRule type="expression" dxfId="203" priority="60" stopIfTrue="1">
      <formula>U42=1</formula>
    </cfRule>
  </conditionalFormatting>
  <conditionalFormatting sqref="Y23">
    <cfRule type="expression" dxfId="202" priority="64" stopIfTrue="1">
      <formula>AA37=1</formula>
    </cfRule>
  </conditionalFormatting>
  <conditionalFormatting sqref="W29">
    <cfRule type="expression" dxfId="201" priority="66" stopIfTrue="1">
      <formula>W39=1</formula>
    </cfRule>
  </conditionalFormatting>
  <conditionalFormatting sqref="E36">
    <cfRule type="expression" dxfId="200" priority="68" stopIfTrue="1">
      <formula>U37=1</formula>
    </cfRule>
  </conditionalFormatting>
  <conditionalFormatting sqref="D36">
    <cfRule type="expression" dxfId="199" priority="70" stopIfTrue="1">
      <formula>W41=1</formula>
    </cfRule>
  </conditionalFormatting>
  <conditionalFormatting sqref="C36">
    <cfRule type="expression" dxfId="198" priority="71" stopIfTrue="1">
      <formula>W41=1</formula>
    </cfRule>
  </conditionalFormatting>
  <conditionalFormatting sqref="C40">
    <cfRule type="expression" dxfId="197" priority="74" stopIfTrue="1">
      <formula>T40=1</formula>
    </cfRule>
  </conditionalFormatting>
  <conditionalFormatting sqref="L40">
    <cfRule type="expression" dxfId="196" priority="75" stopIfTrue="1">
      <formula>U40=1</formula>
    </cfRule>
  </conditionalFormatting>
  <conditionalFormatting sqref="D40">
    <cfRule type="expression" dxfId="195" priority="76" stopIfTrue="1">
      <formula>T40=1</formula>
    </cfRule>
  </conditionalFormatting>
  <conditionalFormatting sqref="M40">
    <cfRule type="expression" dxfId="194" priority="77" stopIfTrue="1">
      <formula>U40=1</formula>
    </cfRule>
  </conditionalFormatting>
  <conditionalFormatting sqref="I16">
    <cfRule type="expression" dxfId="193" priority="82" stopIfTrue="1">
      <formula>T18="One Year"</formula>
    </cfRule>
  </conditionalFormatting>
  <conditionalFormatting sqref="U49">
    <cfRule type="cellIs" dxfId="192" priority="84" stopIfTrue="1" operator="equal">
      <formula>"."</formula>
    </cfRule>
  </conditionalFormatting>
  <conditionalFormatting sqref="X39:X40">
    <cfRule type="expression" dxfId="191" priority="86" stopIfTrue="1">
      <formula>#REF!&gt;1</formula>
    </cfRule>
  </conditionalFormatting>
  <conditionalFormatting sqref="D41:E41">
    <cfRule type="cellIs" dxfId="190" priority="87" stopIfTrue="1" operator="equal">
      <formula>"-"</formula>
    </cfRule>
  </conditionalFormatting>
  <conditionalFormatting sqref="G39:G40 E35 C9">
    <cfRule type="cellIs" dxfId="189" priority="88" stopIfTrue="1" operator="equal">
      <formula>0</formula>
    </cfRule>
  </conditionalFormatting>
  <conditionalFormatting sqref="H36">
    <cfRule type="expression" dxfId="188" priority="89" stopIfTrue="1">
      <formula>#REF!&gt;1000</formula>
    </cfRule>
  </conditionalFormatting>
  <conditionalFormatting sqref="I39:I40">
    <cfRule type="expression" dxfId="187" priority="91" stopIfTrue="1">
      <formula>#REF!=0</formula>
    </cfRule>
  </conditionalFormatting>
  <conditionalFormatting sqref="R5 P4">
    <cfRule type="cellIs" dxfId="186" priority="93" stopIfTrue="1" operator="equal">
      <formula>0</formula>
    </cfRule>
  </conditionalFormatting>
  <conditionalFormatting sqref="L23">
    <cfRule type="cellIs" dxfId="185" priority="95" stopIfTrue="1" operator="equal">
      <formula>"Total Contribution"</formula>
    </cfRule>
  </conditionalFormatting>
  <conditionalFormatting sqref="C8">
    <cfRule type="cellIs" dxfId="184" priority="34" stopIfTrue="1" operator="equal">
      <formula>0</formula>
    </cfRule>
  </conditionalFormatting>
  <conditionalFormatting sqref="Q38">
    <cfRule type="expression" dxfId="183" priority="30" stopIfTrue="1">
      <formula>V42=1</formula>
    </cfRule>
  </conditionalFormatting>
  <conditionalFormatting sqref="R38">
    <cfRule type="expression" dxfId="182" priority="29" stopIfTrue="1">
      <formula>AA43=1</formula>
    </cfRule>
  </conditionalFormatting>
  <conditionalFormatting sqref="G36">
    <cfRule type="expression" dxfId="181" priority="297" stopIfTrue="1">
      <formula>W35=1</formula>
    </cfRule>
  </conditionalFormatting>
  <conditionalFormatting sqref="F35">
    <cfRule type="expression" dxfId="180" priority="24" stopIfTrue="1">
      <formula>W35=3</formula>
    </cfRule>
  </conditionalFormatting>
  <conditionalFormatting sqref="G35">
    <cfRule type="expression" dxfId="179" priority="25" stopIfTrue="1">
      <formula>W35=1</formula>
    </cfRule>
  </conditionalFormatting>
  <conditionalFormatting sqref="H35">
    <cfRule type="expression" dxfId="178" priority="26" stopIfTrue="1">
      <formula>#REF!&gt;1000</formula>
    </cfRule>
  </conditionalFormatting>
  <conditionalFormatting sqref="M35">
    <cfRule type="expression" dxfId="177" priority="28" stopIfTrue="1">
      <formula>L35="Yes"</formula>
    </cfRule>
  </conditionalFormatting>
  <conditionalFormatting sqref="G37">
    <cfRule type="expression" dxfId="176" priority="20" stopIfTrue="1">
      <formula>AND(B13=1,I13="Ijarah Leasing")</formula>
    </cfRule>
  </conditionalFormatting>
  <conditionalFormatting sqref="H37">
    <cfRule type="expression" dxfId="175" priority="19" stopIfTrue="1">
      <formula>AND(C13=1,J13="Ijarah")</formula>
    </cfRule>
  </conditionalFormatting>
  <conditionalFormatting sqref="L37:L38">
    <cfRule type="expression" dxfId="174" priority="12" stopIfTrue="1">
      <formula>AND(AD35="Yes",AD33="Yes")</formula>
    </cfRule>
  </conditionalFormatting>
  <conditionalFormatting sqref="C11">
    <cfRule type="cellIs" dxfId="173" priority="9" stopIfTrue="1" operator="equal">
      <formula>0</formula>
    </cfRule>
  </conditionalFormatting>
  <conditionalFormatting sqref="I35">
    <cfRule type="expression" dxfId="172" priority="8" stopIfTrue="1">
      <formula>Y35=1</formula>
    </cfRule>
  </conditionalFormatting>
  <conditionalFormatting sqref="V41">
    <cfRule type="expression" dxfId="171" priority="298" stopIfTrue="1">
      <formula>$E$36&gt;0</formula>
    </cfRule>
  </conditionalFormatting>
  <conditionalFormatting sqref="C13">
    <cfRule type="cellIs" dxfId="170" priority="7" stopIfTrue="1" operator="equal">
      <formula>0</formula>
    </cfRule>
  </conditionalFormatting>
  <conditionalFormatting sqref="M36">
    <cfRule type="expression" dxfId="169" priority="6" stopIfTrue="1">
      <formula>W33=2</formula>
    </cfRule>
  </conditionalFormatting>
  <conditionalFormatting sqref="L36">
    <cfRule type="expression" dxfId="168" priority="5" stopIfTrue="1">
      <formula>W33=2</formula>
    </cfRule>
  </conditionalFormatting>
  <conditionalFormatting sqref="C53">
    <cfRule type="expression" dxfId="167" priority="4" stopIfTrue="1">
      <formula>V55&lt;&gt;0</formula>
    </cfRule>
  </conditionalFormatting>
  <conditionalFormatting sqref="T20">
    <cfRule type="expression" dxfId="166" priority="3" stopIfTrue="1">
      <formula>Q16&gt;=700000</formula>
    </cfRule>
  </conditionalFormatting>
  <conditionalFormatting sqref="T19">
    <cfRule type="expression" dxfId="165" priority="2" stopIfTrue="1">
      <formula>Q16&gt;=700000</formula>
    </cfRule>
  </conditionalFormatting>
  <conditionalFormatting sqref="T22">
    <cfRule type="expression" dxfId="164" priority="1" stopIfTrue="1">
      <formula>Q16&lt;700000</formula>
    </cfRule>
  </conditionalFormatting>
  <dataValidations count="11">
    <dataValidation type="whole" allowBlank="1" showInputMessage="1" showErrorMessage="1" sqref="E36 Q38 G35:H37 I35 C33:C36 C40 L33:L34 L36:L40" xr:uid="{00000000-0002-0000-0800-000000000000}">
      <formula1>0</formula1>
      <formula2>1</formula2>
    </dataValidation>
    <dataValidation type="list" allowBlank="1" showInputMessage="1" showErrorMessage="1" sqref="P13:Q13" xr:uid="{00000000-0002-0000-0800-000001000000}">
      <formula1>"2005,2006,2007,2008,2009,2010,2011,2012,2013,2014,2015,2016,2017,2018,2019,2020,2021"</formula1>
    </dataValidation>
    <dataValidation type="decimal" allowBlank="1" showInputMessage="1" showErrorMessage="1" error="Maximum 65% NCB_x000a_" sqref="T34" xr:uid="{00000000-0002-0000-0800-000002000000}">
      <formula1>0</formula1>
      <formula2>65</formula2>
    </dataValidation>
    <dataValidation type="list" operator="notBetween" allowBlank="1" showInputMessage="1" showErrorMessage="1" sqref="R33" xr:uid="{00000000-0002-0000-0800-000003000000}">
      <formula1>"300000,500000,1000000"</formula1>
    </dataValidation>
    <dataValidation type="list" allowBlank="1" showInputMessage="1" showErrorMessage="1" sqref="T13" xr:uid="{00000000-0002-0000-0800-000004000000}">
      <formula1>"Ijarah,Murabaha,D/Musharaka"</formula1>
    </dataValidation>
    <dataValidation type="list" allowBlank="1" showInputMessage="1" showErrorMessage="1" sqref="P10" xr:uid="{00000000-0002-0000-0800-000005000000}">
      <formula1>"PETROL,ELECTRIC"</formula1>
    </dataValidation>
    <dataValidation type="list" allowBlank="1" showInputMessage="1" showErrorMessage="1" sqref="X10" xr:uid="{00000000-0002-0000-0800-000006000000}">
      <formula1>"Above 250cc,Below 250cc"</formula1>
    </dataValidation>
    <dataValidation type="list" allowBlank="1" showInputMessage="1" showErrorMessage="1" sqref="R34" xr:uid="{00000000-0002-0000-0800-000007000000}">
      <formula1>"0,25000,50000,75000,100000,125000,150000,175000,200000,225000,250000,275000,300000,350000,400000,450000,500000,1000000"</formula1>
    </dataValidation>
    <dataValidation type="list" allowBlank="1" showInputMessage="1" showErrorMessage="1" sqref="R36" xr:uid="{00000000-0002-0000-0800-000008000000}">
      <formula1>"0,2000,10000,20000,50000,100000,200000,500000"</formula1>
    </dataValidation>
    <dataValidation type="decimal" allowBlank="1" showInputMessage="1" showErrorMessage="1" sqref="Q16:R17" xr:uid="{00000000-0002-0000-0800-000009000000}">
      <formula1>400000</formula1>
      <formula2>2000000</formula2>
    </dataValidation>
    <dataValidation type="list" allowBlank="1" showInputMessage="1" showErrorMessage="1" sqref="T20 L35" xr:uid="{00000000-0002-0000-08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20</vt:i4>
      </vt:variant>
    </vt:vector>
  </HeadingPairs>
  <TitlesOfParts>
    <vt:vector size="31" baseType="lpstr">
      <vt:lpstr>Administration</vt:lpstr>
      <vt:lpstr>Rates</vt:lpstr>
      <vt:lpstr>Calculation</vt:lpstr>
      <vt:lpstr>Working</vt:lpstr>
      <vt:lpstr>TW Working</vt:lpstr>
      <vt:lpstr>Administration (2)</vt:lpstr>
      <vt:lpstr>Rates (2)</vt:lpstr>
      <vt:lpstr>Calculation (2)</vt:lpstr>
      <vt:lpstr>TW</vt:lpstr>
      <vt:lpstr>MC</vt:lpstr>
      <vt:lpstr>MC Working</vt:lpstr>
      <vt:lpstr>Branch</vt:lpstr>
      <vt:lpstr>BRANCHES</vt:lpstr>
      <vt:lpstr>Date</vt:lpstr>
      <vt:lpstr>Month</vt:lpstr>
      <vt:lpstr>PAB</vt:lpstr>
      <vt:lpstr>Administration!Print_Area</vt:lpstr>
      <vt:lpstr>'Administration (2)'!Print_Area</vt:lpstr>
      <vt:lpstr>Calculation!Print_Area</vt:lpstr>
      <vt:lpstr>'Calculation (2)'!Print_Area</vt:lpstr>
      <vt:lpstr>MC!Print_Area</vt:lpstr>
      <vt:lpstr>'MC Working'!Print_Area</vt:lpstr>
      <vt:lpstr>Rates!Print_Area</vt:lpstr>
      <vt:lpstr>'Rates (2)'!Print_Area</vt:lpstr>
      <vt:lpstr>TW!Print_Area</vt:lpstr>
      <vt:lpstr>Working!Print_Area</vt:lpstr>
      <vt:lpstr>usage</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2022-08-23T05:49:37Z</cp:lastPrinted>
  <dcterms:created xsi:type="dcterms:W3CDTF">2002-11-28T09:30:00Z</dcterms:created>
  <dcterms:modified xsi:type="dcterms:W3CDTF">2024-02-24T16:06:39Z</dcterms:modified>
</cp:coreProperties>
</file>