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172.30.20.100\Branch Folders\Quotation_Formats\Leasing-Broker (MC &amp; TW) - [Dont Share]\HNB Finance\"/>
    </mc:Choice>
  </mc:AlternateContent>
  <xr:revisionPtr revIDLastSave="0" documentId="13_ncr:1_{ABF3DFE0-97B9-4D40-A724-E43D2171F9AC}" xr6:coauthVersionLast="36" xr6:coauthVersionMax="47" xr10:uidLastSave="{00000000-0000-0000-0000-000000000000}"/>
  <workbookProtection workbookPassword="F6CE" lockStructure="1"/>
  <bookViews>
    <workbookView xWindow="0" yWindow="0" windowWidth="15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OLE_LINK1" localSheetId="10">'MC Working'!$G$17</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A16" i="23" l="1"/>
  <c r="F17" i="23" s="1"/>
  <c r="A16" i="17"/>
  <c r="C4" i="23"/>
  <c r="P9" i="17"/>
  <c r="P10" i="17" s="1"/>
  <c r="P11" i="17" s="1"/>
  <c r="P12" i="17" s="1"/>
  <c r="P13" i="17" s="1"/>
  <c r="P14" i="17" s="1"/>
  <c r="P15" i="17" s="1"/>
  <c r="P16" i="17" s="1"/>
  <c r="P17" i="17" s="1"/>
  <c r="P18" i="17" s="1"/>
  <c r="H23" i="23"/>
  <c r="B35" i="21" s="1"/>
  <c r="B34" i="21"/>
  <c r="B34" i="13"/>
  <c r="H6" i="23"/>
  <c r="H15" i="23"/>
  <c r="O5" i="23"/>
  <c r="O6" i="23"/>
  <c r="O7" i="23" s="1"/>
  <c r="O9" i="23" s="1"/>
  <c r="O10" i="23" s="1"/>
  <c r="O11" i="23"/>
  <c r="O12" i="23" s="1"/>
  <c r="O13" i="23" s="1"/>
  <c r="O14" i="23" s="1"/>
  <c r="O15" i="23"/>
  <c r="O16" i="23" s="1"/>
  <c r="O17" i="23" s="1"/>
  <c r="O18" i="23" s="1"/>
  <c r="O19" i="23" s="1"/>
  <c r="O20" i="23" s="1"/>
  <c r="O21" i="23" s="1"/>
  <c r="O22" i="23" s="1"/>
  <c r="O23" i="23" s="1"/>
  <c r="O24" i="23" s="1"/>
  <c r="N5" i="23"/>
  <c r="N6" i="23" s="1"/>
  <c r="N7" i="23"/>
  <c r="N9" i="23" s="1"/>
  <c r="N10" i="23" s="1"/>
  <c r="N11" i="23" s="1"/>
  <c r="N12" i="23"/>
  <c r="N13" i="23" s="1"/>
  <c r="N14" i="23" s="1"/>
  <c r="N15" i="23" s="1"/>
  <c r="N16" i="23" s="1"/>
  <c r="N17" i="23" s="1"/>
  <c r="N18" i="23" s="1"/>
  <c r="N19" i="23" s="1"/>
  <c r="N20" i="23" s="1"/>
  <c r="N21" i="23" s="1"/>
  <c r="N22" i="23" s="1"/>
  <c r="N23" i="23" s="1"/>
  <c r="N24" i="23" s="1"/>
  <c r="P14" i="13"/>
  <c r="M64" i="22"/>
  <c r="R59" i="21"/>
  <c r="R60" i="13"/>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AW46" i="22" s="1"/>
  <c r="AU43" i="22" s="1"/>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K65" i="22"/>
  <c r="K62" i="22"/>
  <c r="Q61" i="22"/>
  <c r="O59" i="22"/>
  <c r="U40" i="21" s="1"/>
  <c r="M40" i="21" s="1"/>
  <c r="M59" i="22"/>
  <c r="H59" i="22"/>
  <c r="O58" i="22"/>
  <c r="M58" i="22"/>
  <c r="H58" i="22"/>
  <c r="B56" i="22"/>
  <c r="Q56" i="22" s="1"/>
  <c r="B55" i="22"/>
  <c r="Q55" i="22" s="1"/>
  <c r="O54" i="22"/>
  <c r="U41" i="21"/>
  <c r="P53" i="22"/>
  <c r="O53" i="22"/>
  <c r="Q52" i="22"/>
  <c r="P52" i="22"/>
  <c r="B52" i="22"/>
  <c r="Q51" i="22"/>
  <c r="O51" i="22"/>
  <c r="U39" i="21"/>
  <c r="O50" i="22"/>
  <c r="U38" i="21" s="1"/>
  <c r="H49" i="22"/>
  <c r="H48" i="22"/>
  <c r="O48" i="22" s="1"/>
  <c r="O47" i="22"/>
  <c r="B46" i="22"/>
  <c r="O46" i="22"/>
  <c r="R45" i="22"/>
  <c r="O45" i="22"/>
  <c r="Y42" i="21"/>
  <c r="B45" i="22"/>
  <c r="R44" i="22"/>
  <c r="W43" i="22"/>
  <c r="T43" i="22"/>
  <c r="Q43" i="22"/>
  <c r="W42" i="22"/>
  <c r="T42" i="22"/>
  <c r="Q42" i="22"/>
  <c r="C42" i="22"/>
  <c r="K41" i="22"/>
  <c r="H41" i="22"/>
  <c r="B40" i="22"/>
  <c r="U34" i="21" s="1"/>
  <c r="B39" i="22"/>
  <c r="H36" i="22"/>
  <c r="C36" i="22"/>
  <c r="E34" i="22"/>
  <c r="E33" i="22"/>
  <c r="Q33" i="22"/>
  <c r="Q32" i="22" s="1"/>
  <c r="W32" i="22"/>
  <c r="E32" i="22"/>
  <c r="U32" i="22"/>
  <c r="T32" i="22" s="1"/>
  <c r="Q31" i="22"/>
  <c r="O31" i="22"/>
  <c r="T30" i="22"/>
  <c r="O30" i="22"/>
  <c r="U43" i="21" s="1"/>
  <c r="L26" i="22"/>
  <c r="L27" i="22"/>
  <c r="G26" i="22"/>
  <c r="E26" i="22"/>
  <c r="Y25" i="22"/>
  <c r="H25" i="22"/>
  <c r="F26" i="22" s="1"/>
  <c r="C24" i="22"/>
  <c r="Q23" i="22"/>
  <c r="I22" i="22"/>
  <c r="AM17" i="22"/>
  <c r="Z15" i="22"/>
  <c r="H15" i="22"/>
  <c r="K14" i="22"/>
  <c r="H14" i="22"/>
  <c r="H13" i="22"/>
  <c r="M12" i="22"/>
  <c r="J12" i="22"/>
  <c r="C12" i="22"/>
  <c r="M11" i="22"/>
  <c r="H11" i="22"/>
  <c r="O16" i="22"/>
  <c r="L10" i="22"/>
  <c r="H10" i="22"/>
  <c r="AU9" i="22"/>
  <c r="AU10" i="22"/>
  <c r="AU11" i="22"/>
  <c r="AU12" i="22" s="1"/>
  <c r="AU13" i="22" s="1"/>
  <c r="AU14" i="22" s="1"/>
  <c r="AU15" i="22" s="1"/>
  <c r="AU16" i="22" s="1"/>
  <c r="AU17" i="22" s="1"/>
  <c r="AU18" i="22" s="1"/>
  <c r="AU19" i="22"/>
  <c r="AU20" i="22" s="1"/>
  <c r="AU21" i="22" s="1"/>
  <c r="AU22" i="22" s="1"/>
  <c r="AU23" i="22"/>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D3" i="22"/>
  <c r="F4" i="22" s="1"/>
  <c r="AA2" i="22"/>
  <c r="X2" i="22"/>
  <c r="R2" i="22"/>
  <c r="N2" i="22"/>
  <c r="I100" i="21"/>
  <c r="V55" i="21"/>
  <c r="C47" i="21"/>
  <c r="B45" i="21"/>
  <c r="Y43" i="21"/>
  <c r="U42" i="21"/>
  <c r="M39" i="21"/>
  <c r="T40" i="21"/>
  <c r="D40" i="21" s="1"/>
  <c r="I37" i="21"/>
  <c r="M36" i="21"/>
  <c r="I36" i="21"/>
  <c r="U33" i="21"/>
  <c r="D30" i="21"/>
  <c r="L23" i="21"/>
  <c r="L22" i="21"/>
  <c r="C17" i="21"/>
  <c r="I16" i="21"/>
  <c r="F16" i="21"/>
  <c r="T13" i="21"/>
  <c r="B13" i="21"/>
  <c r="M15" i="22"/>
  <c r="V12" i="21"/>
  <c r="AB4" i="21"/>
  <c r="AA4" i="21"/>
  <c r="P4" i="21"/>
  <c r="L19" i="20"/>
  <c r="X11" i="20"/>
  <c r="Q6" i="20"/>
  <c r="P6" i="20"/>
  <c r="O6" i="20" s="1"/>
  <c r="V5" i="20"/>
  <c r="U5" i="20"/>
  <c r="I5" i="20"/>
  <c r="V4" i="20"/>
  <c r="W5" i="20"/>
  <c r="U4" i="20"/>
  <c r="Q3" i="20"/>
  <c r="P3" i="20"/>
  <c r="W2" i="20"/>
  <c r="I3" i="20" s="1"/>
  <c r="V2" i="20"/>
  <c r="J3" i="20"/>
  <c r="P4" i="20"/>
  <c r="U2" i="20"/>
  <c r="K3" i="20" s="1"/>
  <c r="S2" i="20"/>
  <c r="F92" i="19"/>
  <c r="D92" i="19"/>
  <c r="B52" i="19"/>
  <c r="E29" i="19"/>
  <c r="I21" i="19"/>
  <c r="I22" i="19" s="1"/>
  <c r="G20" i="19"/>
  <c r="M18" i="19"/>
  <c r="M17" i="19"/>
  <c r="I12" i="19"/>
  <c r="I13" i="19"/>
  <c r="I14" i="19" s="1"/>
  <c r="I15" i="19" s="1"/>
  <c r="I16" i="19" s="1"/>
  <c r="D10" i="19"/>
  <c r="I5" i="19"/>
  <c r="I7" i="19" s="1"/>
  <c r="A4" i="19"/>
  <c r="A5" i="19"/>
  <c r="A6" i="19" s="1"/>
  <c r="A7" i="19" s="1"/>
  <c r="A8" i="19" s="1"/>
  <c r="A9" i="19"/>
  <c r="A10" i="19" s="1"/>
  <c r="A11" i="19" s="1"/>
  <c r="A12" i="19" s="1"/>
  <c r="A13" i="19" s="1"/>
  <c r="A14" i="19" s="1"/>
  <c r="A15" i="19" s="1"/>
  <c r="A16" i="19" s="1"/>
  <c r="B1" i="19"/>
  <c r="A1" i="19" s="1"/>
  <c r="A32" i="18"/>
  <c r="G24" i="18"/>
  <c r="G23" i="18"/>
  <c r="G22" i="18"/>
  <c r="G21" i="18"/>
  <c r="G20" i="18"/>
  <c r="I20" i="18" s="1"/>
  <c r="I21" i="18" s="1"/>
  <c r="H17" i="18"/>
  <c r="G17" i="18"/>
  <c r="AM16" i="22" s="1"/>
  <c r="H16" i="18"/>
  <c r="G16" i="18"/>
  <c r="AM15" i="22" s="1"/>
  <c r="H15" i="18"/>
  <c r="G15" i="18"/>
  <c r="AM13" i="22"/>
  <c r="H14" i="18"/>
  <c r="G14" i="18"/>
  <c r="AM12" i="22" s="1"/>
  <c r="H13" i="18"/>
  <c r="G13" i="18"/>
  <c r="AM14" i="22" s="1"/>
  <c r="H12" i="18"/>
  <c r="G12" i="18"/>
  <c r="AM11" i="22" s="1"/>
  <c r="H11" i="18"/>
  <c r="G11" i="18"/>
  <c r="AM10" i="22"/>
  <c r="H10" i="18"/>
  <c r="G10" i="18"/>
  <c r="AM9" i="22" s="1"/>
  <c r="H9" i="18"/>
  <c r="G9" i="18"/>
  <c r="AM8" i="22" s="1"/>
  <c r="H8" i="18"/>
  <c r="G8" i="18"/>
  <c r="AM7" i="22" s="1"/>
  <c r="H7" i="18"/>
  <c r="I7" i="18" s="1"/>
  <c r="G7" i="18"/>
  <c r="AM6" i="22" s="1"/>
  <c r="Q5" i="18"/>
  <c r="Q6" i="18" s="1"/>
  <c r="Q7" i="18" s="1"/>
  <c r="Q8" i="18" s="1"/>
  <c r="Q9" i="18" s="1"/>
  <c r="Q10" i="18" s="1"/>
  <c r="Q11" i="18" s="1"/>
  <c r="Q12" i="18" s="1"/>
  <c r="Q13" i="18" s="1"/>
  <c r="Q14" i="18" s="1"/>
  <c r="Q15" i="18"/>
  <c r="Q16" i="18" s="1"/>
  <c r="Q17" i="18" s="1"/>
  <c r="Q18" i="18" s="1"/>
  <c r="Q19" i="18"/>
  <c r="Q20" i="18" s="1"/>
  <c r="Q21" i="18" s="1"/>
  <c r="Q22" i="18" s="1"/>
  <c r="Q23" i="18" s="1"/>
  <c r="Q24" i="18" s="1"/>
  <c r="Q25" i="18" s="1"/>
  <c r="Q26" i="18" s="1"/>
  <c r="Q27" i="18" s="1"/>
  <c r="Q28" i="18" s="1"/>
  <c r="Q29" i="18" s="1"/>
  <c r="Q30" i="18" s="1"/>
  <c r="Q31" i="18" s="1"/>
  <c r="K5" i="18"/>
  <c r="J5" i="18" s="1"/>
  <c r="I5" i="18" s="1"/>
  <c r="H5" i="18" s="1"/>
  <c r="C5" i="18" s="1"/>
  <c r="H3" i="18"/>
  <c r="G3" i="18"/>
  <c r="Q34" i="18" s="1"/>
  <c r="I3" i="18"/>
  <c r="C66" i="22" s="1"/>
  <c r="C69" i="22" s="1"/>
  <c r="T31" i="22"/>
  <c r="I31" i="22"/>
  <c r="O49" i="22"/>
  <c r="U31" i="22"/>
  <c r="H12" i="17"/>
  <c r="IR8" i="14"/>
  <c r="C4" i="17"/>
  <c r="H2" i="17"/>
  <c r="H13" i="17" s="1"/>
  <c r="T21" i="13"/>
  <c r="T22" i="13"/>
  <c r="H23" i="17"/>
  <c r="H11" i="17" s="1"/>
  <c r="H15" i="17"/>
  <c r="L45" i="13"/>
  <c r="H25" i="4"/>
  <c r="K26" i="4"/>
  <c r="H29" i="4"/>
  <c r="H48" i="4"/>
  <c r="O48" i="4"/>
  <c r="M12" i="4"/>
  <c r="I36" i="13"/>
  <c r="I37" i="13"/>
  <c r="T13" i="13"/>
  <c r="B13" i="13"/>
  <c r="M15" i="4" s="1"/>
  <c r="I100" i="13"/>
  <c r="H49" i="4"/>
  <c r="L6" i="4"/>
  <c r="H7" i="4"/>
  <c r="L10" i="4"/>
  <c r="H10" i="4"/>
  <c r="H13" i="4"/>
  <c r="H11" i="4"/>
  <c r="K14" i="4"/>
  <c r="H14" i="4"/>
  <c r="H36" i="4"/>
  <c r="G36" i="4" s="1"/>
  <c r="C42" i="4"/>
  <c r="H15" i="4"/>
  <c r="O5" i="4" s="1"/>
  <c r="J12" i="4"/>
  <c r="E34" i="4"/>
  <c r="O45" i="4"/>
  <c r="Y42" i="13" s="1"/>
  <c r="B45" i="4"/>
  <c r="B46" i="4"/>
  <c r="O46" i="4" s="1"/>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s="1"/>
  <c r="AU11" i="4" s="1"/>
  <c r="AU12" i="4" s="1"/>
  <c r="AU13" i="4" s="1"/>
  <c r="AU14" i="4" s="1"/>
  <c r="AU15" i="4" s="1"/>
  <c r="AU16" i="4" s="1"/>
  <c r="AU17" i="4"/>
  <c r="AU18" i="4" s="1"/>
  <c r="AU19" i="4" s="1"/>
  <c r="AU20" i="4" s="1"/>
  <c r="AU21" i="4"/>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R95" i="4" s="1"/>
  <c r="C24" i="4"/>
  <c r="Y25" i="4"/>
  <c r="E26" i="4"/>
  <c r="G26" i="4"/>
  <c r="L26" i="4"/>
  <c r="O30" i="4"/>
  <c r="U43" i="13" s="1"/>
  <c r="T30" i="4"/>
  <c r="O31" i="4"/>
  <c r="E31" i="4" s="1"/>
  <c r="Q31" i="4"/>
  <c r="E32" i="4"/>
  <c r="W32" i="4"/>
  <c r="E33" i="4"/>
  <c r="C36" i="4"/>
  <c r="B39" i="4"/>
  <c r="U33" i="13" s="1"/>
  <c r="H46" i="13" s="1"/>
  <c r="B40" i="4"/>
  <c r="Q38" i="4"/>
  <c r="K41" i="4"/>
  <c r="Q42" i="4"/>
  <c r="T42" i="4"/>
  <c r="W42" i="4"/>
  <c r="Q43" i="4"/>
  <c r="T43" i="4"/>
  <c r="W43" i="4"/>
  <c r="R44" i="4"/>
  <c r="R45" i="4"/>
  <c r="O47" i="4"/>
  <c r="O50" i="4"/>
  <c r="U38" i="13"/>
  <c r="O51" i="4"/>
  <c r="U39" i="13" s="1"/>
  <c r="Q51" i="4"/>
  <c r="B52" i="4"/>
  <c r="P52" i="4"/>
  <c r="Q52" i="4"/>
  <c r="O53" i="4"/>
  <c r="P53" i="4"/>
  <c r="O54" i="4"/>
  <c r="U41" i="13"/>
  <c r="B55" i="4"/>
  <c r="Q55" i="4" s="1"/>
  <c r="B56" i="4"/>
  <c r="I56" i="4" s="1"/>
  <c r="H58" i="4"/>
  <c r="M58" i="4"/>
  <c r="O58" i="4"/>
  <c r="T40" i="13" s="1"/>
  <c r="D40" i="13" s="1"/>
  <c r="H59" i="4"/>
  <c r="M59" i="4"/>
  <c r="O59" i="4"/>
  <c r="U40" i="13"/>
  <c r="M40" i="13" s="1"/>
  <c r="Q61" i="4"/>
  <c r="K62" i="4"/>
  <c r="K65" i="4"/>
  <c r="F69" i="4"/>
  <c r="X15" i="4" s="1"/>
  <c r="R78" i="4"/>
  <c r="R79" i="4"/>
  <c r="S2" i="16"/>
  <c r="U2" i="16"/>
  <c r="K3" i="16" s="1"/>
  <c r="V2" i="16"/>
  <c r="J3" i="16" s="1"/>
  <c r="Q4" i="16" s="1"/>
  <c r="W2" i="16"/>
  <c r="I3" i="16"/>
  <c r="P3" i="16"/>
  <c r="O3" i="16" s="1"/>
  <c r="Q3" i="16"/>
  <c r="U4" i="16"/>
  <c r="V4" i="16"/>
  <c r="W5" i="16" s="1"/>
  <c r="I5" i="16"/>
  <c r="U5" i="16"/>
  <c r="V5" i="16"/>
  <c r="Q6" i="16"/>
  <c r="P6" i="16"/>
  <c r="X11" i="16"/>
  <c r="L19" i="16"/>
  <c r="B1" i="10"/>
  <c r="A1" i="10" s="1"/>
  <c r="A4" i="10"/>
  <c r="A5" i="10" s="1"/>
  <c r="A6" i="10" s="1"/>
  <c r="A7" i="10" s="1"/>
  <c r="A8" i="10" s="1"/>
  <c r="A9" i="10" s="1"/>
  <c r="A10" i="10" s="1"/>
  <c r="A11" i="10" s="1"/>
  <c r="A12" i="10" s="1"/>
  <c r="A13" i="10" s="1"/>
  <c r="A14" i="10" s="1"/>
  <c r="A15" i="10" s="1"/>
  <c r="A16" i="10" s="1"/>
  <c r="I5" i="10"/>
  <c r="I7" i="10" s="1"/>
  <c r="D10" i="10"/>
  <c r="I12" i="10"/>
  <c r="I13" i="10" s="1"/>
  <c r="I14" i="10" s="1"/>
  <c r="I15" i="10" s="1"/>
  <c r="I16" i="10" s="1"/>
  <c r="G20" i="10"/>
  <c r="K64" i="4" s="1"/>
  <c r="I21" i="10"/>
  <c r="I22" i="10"/>
  <c r="Q23" i="4"/>
  <c r="E29" i="10"/>
  <c r="B52" i="10"/>
  <c r="H3" i="14"/>
  <c r="G3" i="14"/>
  <c r="Q33" i="14" s="1"/>
  <c r="K5" i="14"/>
  <c r="J5" i="14"/>
  <c r="I5" i="14"/>
  <c r="H5" i="14" s="1"/>
  <c r="C5" i="14" s="1"/>
  <c r="Q5" i="14"/>
  <c r="Q6" i="14"/>
  <c r="Q7" i="14"/>
  <c r="Q8" i="14" s="1"/>
  <c r="Q9" i="14" s="1"/>
  <c r="Q10" i="14" s="1"/>
  <c r="Q11" i="14" s="1"/>
  <c r="Q12" i="14" s="1"/>
  <c r="Q13" i="14" s="1"/>
  <c r="Q14" i="14" s="1"/>
  <c r="Q15" i="14" s="1"/>
  <c r="Q16" i="14" s="1"/>
  <c r="Q17" i="14" s="1"/>
  <c r="Q18" i="14" s="1"/>
  <c r="Q19" i="14" s="1"/>
  <c r="Q20" i="14" s="1"/>
  <c r="Q21" i="14" s="1"/>
  <c r="Q22" i="14" s="1"/>
  <c r="Q23" i="14"/>
  <c r="Q24" i="14" s="1"/>
  <c r="Q25" i="14" s="1"/>
  <c r="Q26" i="14" s="1"/>
  <c r="Q27" i="14" s="1"/>
  <c r="Q28" i="14" s="1"/>
  <c r="Q29" i="14" s="1"/>
  <c r="Q30" i="14" s="1"/>
  <c r="Q31" i="14" s="1"/>
  <c r="G7" i="14"/>
  <c r="AM6" i="4" s="1"/>
  <c r="H7" i="14"/>
  <c r="I7" i="14"/>
  <c r="G8" i="14"/>
  <c r="AM7" i="4" s="1"/>
  <c r="H8" i="14"/>
  <c r="G9" i="14"/>
  <c r="AM8" i="4" s="1"/>
  <c r="H9" i="14"/>
  <c r="G10" i="14"/>
  <c r="AM9" i="4" s="1"/>
  <c r="H10" i="14"/>
  <c r="G11" i="14"/>
  <c r="AM10" i="4"/>
  <c r="H11" i="14"/>
  <c r="G12" i="14"/>
  <c r="AM11" i="4" s="1"/>
  <c r="H12" i="14"/>
  <c r="G13" i="14"/>
  <c r="AM14" i="4" s="1"/>
  <c r="H13" i="14"/>
  <c r="G14" i="14"/>
  <c r="AM12" i="4"/>
  <c r="H14" i="14"/>
  <c r="G15" i="14"/>
  <c r="AM13" i="4"/>
  <c r="H15" i="14"/>
  <c r="G16" i="14"/>
  <c r="AM15" i="4" s="1"/>
  <c r="H16" i="14"/>
  <c r="G17" i="14"/>
  <c r="AM16" i="4" s="1"/>
  <c r="H17" i="14"/>
  <c r="G20" i="14"/>
  <c r="I20" i="14" s="1"/>
  <c r="AP6" i="4" s="1"/>
  <c r="G21" i="14"/>
  <c r="G22" i="14"/>
  <c r="G23" i="14"/>
  <c r="G24" i="14"/>
  <c r="A32" i="14"/>
  <c r="F16" i="13"/>
  <c r="N3" i="4"/>
  <c r="H41" i="4"/>
  <c r="D30" i="13"/>
  <c r="O44" i="4"/>
  <c r="P38" i="4"/>
  <c r="M2" i="13"/>
  <c r="F4" i="4"/>
  <c r="F26" i="4"/>
  <c r="Y43" i="13"/>
  <c r="R61" i="4"/>
  <c r="W11" i="16"/>
  <c r="S2" i="4"/>
  <c r="O16" i="4"/>
  <c r="M8" i="4"/>
  <c r="H26" i="4"/>
  <c r="P25" i="4"/>
  <c r="M25" i="4"/>
  <c r="H6" i="17"/>
  <c r="Q4" i="20"/>
  <c r="W4" i="20"/>
  <c r="C21" i="22"/>
  <c r="B21" i="22"/>
  <c r="M8" i="22"/>
  <c r="S2" i="22"/>
  <c r="I14" i="22"/>
  <c r="R83" i="22"/>
  <c r="H43" i="4"/>
  <c r="M25" i="22"/>
  <c r="H26" i="22"/>
  <c r="P25" i="22"/>
  <c r="K26" i="22"/>
  <c r="Q33" i="4"/>
  <c r="Q32" i="4" s="1"/>
  <c r="L3" i="4"/>
  <c r="F5" i="4"/>
  <c r="H21" i="22"/>
  <c r="O39" i="4"/>
  <c r="U34" i="13"/>
  <c r="O3" i="20"/>
  <c r="U13" i="20"/>
  <c r="W43" i="21"/>
  <c r="Q38" i="22"/>
  <c r="O39" i="22"/>
  <c r="R95" i="22"/>
  <c r="F88" i="10"/>
  <c r="F87" i="10"/>
  <c r="P39" i="4"/>
  <c r="D76" i="10"/>
  <c r="A11" i="23"/>
  <c r="A7" i="17"/>
  <c r="A11" i="17"/>
  <c r="A7" i="23"/>
  <c r="J17" i="23"/>
  <c r="H2" i="23"/>
  <c r="H13" i="23" s="1"/>
  <c r="D3" i="19"/>
  <c r="N8" i="4"/>
  <c r="U16" i="20"/>
  <c r="K43" i="4"/>
  <c r="B41" i="4"/>
  <c r="Y43" i="4" s="1"/>
  <c r="U37" i="13" s="1"/>
  <c r="Q50" i="22"/>
  <c r="U10" i="20"/>
  <c r="U12" i="20"/>
  <c r="AP6" i="22"/>
  <c r="D4" i="10"/>
  <c r="U12" i="16"/>
  <c r="U16" i="16"/>
  <c r="W43" i="13"/>
  <c r="L45" i="21"/>
  <c r="Q45" i="21"/>
  <c r="W2" i="22"/>
  <c r="T57" i="22"/>
  <c r="AA48" i="22"/>
  <c r="T2" i="16"/>
  <c r="D4" i="19"/>
  <c r="M60" i="22"/>
  <c r="V2" i="22"/>
  <c r="I13" i="22"/>
  <c r="Q39" i="4"/>
  <c r="U36" i="13"/>
  <c r="F10" i="23"/>
  <c r="H10" i="23"/>
  <c r="F11" i="23"/>
  <c r="H11" i="23"/>
  <c r="Q34" i="14"/>
  <c r="H10" i="17"/>
  <c r="F11" i="17"/>
  <c r="F10" i="17"/>
  <c r="Z2" i="4"/>
  <c r="R85" i="4"/>
  <c r="U49" i="13"/>
  <c r="AI6" i="4"/>
  <c r="AH6" i="4" s="1"/>
  <c r="I33" i="4"/>
  <c r="S6" i="16"/>
  <c r="O6" i="16"/>
  <c r="P4" i="16"/>
  <c r="D3" i="10"/>
  <c r="F34" i="4"/>
  <c r="F30" i="4"/>
  <c r="U30" i="4"/>
  <c r="I34" i="4"/>
  <c r="H34" i="4"/>
  <c r="H33" i="4"/>
  <c r="H32" i="4"/>
  <c r="H31" i="4"/>
  <c r="C46" i="13"/>
  <c r="L27" i="4"/>
  <c r="U1" i="4"/>
  <c r="G37" i="4"/>
  <c r="I37" i="4" s="1"/>
  <c r="V2" i="4"/>
  <c r="M22" i="4"/>
  <c r="H35" i="4"/>
  <c r="D88" i="10"/>
  <c r="I18" i="4"/>
  <c r="K29" i="4"/>
  <c r="P29" i="4"/>
  <c r="C9" i="13"/>
  <c r="I14" i="4"/>
  <c r="C21" i="4"/>
  <c r="B21" i="4"/>
  <c r="O49" i="4"/>
  <c r="D76" i="19"/>
  <c r="C9" i="21"/>
  <c r="N8" i="22"/>
  <c r="H33" i="22"/>
  <c r="U30" i="22"/>
  <c r="F30" i="22"/>
  <c r="F34" i="22"/>
  <c r="H34" i="22"/>
  <c r="H31" i="22"/>
  <c r="E31" i="22"/>
  <c r="H32" i="22"/>
  <c r="I34" i="22"/>
  <c r="R61" i="22"/>
  <c r="I56" i="22"/>
  <c r="Q21" i="22"/>
  <c r="S4" i="20"/>
  <c r="U11" i="16"/>
  <c r="U14" i="16"/>
  <c r="U15" i="16"/>
  <c r="U13" i="16"/>
  <c r="U10" i="16"/>
  <c r="I6" i="16"/>
  <c r="O12" i="16" s="1"/>
  <c r="S1" i="16"/>
  <c r="T1" i="16" s="1"/>
  <c r="H8" i="16" s="1"/>
  <c r="E15" i="4"/>
  <c r="I33" i="22"/>
  <c r="D87" i="10"/>
  <c r="F5" i="22"/>
  <c r="L3" i="22"/>
  <c r="Q25" i="4"/>
  <c r="R25" i="4"/>
  <c r="P8" i="16"/>
  <c r="O14" i="16" s="1"/>
  <c r="T56" i="4"/>
  <c r="R88" i="4"/>
  <c r="W57" i="4"/>
  <c r="R82" i="4"/>
  <c r="Q25" i="22"/>
  <c r="R25" i="22" s="1"/>
  <c r="I18" i="22"/>
  <c r="L24" i="21"/>
  <c r="H23" i="22"/>
  <c r="D59" i="21"/>
  <c r="N7" i="22"/>
  <c r="AI6" i="22"/>
  <c r="R86" i="22"/>
  <c r="S1" i="20"/>
  <c r="T1" i="20" s="1"/>
  <c r="V29" i="22"/>
  <c r="S6" i="20"/>
  <c r="I21" i="14"/>
  <c r="H37" i="22"/>
  <c r="H35" i="22" s="1"/>
  <c r="K5" i="22"/>
  <c r="AP7" i="4"/>
  <c r="I22" i="14"/>
  <c r="AP8" i="4" s="1"/>
  <c r="G36" i="22"/>
  <c r="U1" i="22" s="1"/>
  <c r="Q33" i="18" l="1"/>
  <c r="X15" i="22"/>
  <c r="Y15" i="22" s="1"/>
  <c r="R77" i="22" s="1"/>
  <c r="R80" i="22" s="1"/>
  <c r="R91" i="22" s="1"/>
  <c r="R92" i="22" s="1"/>
  <c r="B35" i="13"/>
  <c r="F17" i="17"/>
  <c r="J14" i="23"/>
  <c r="H18" i="23" s="1"/>
  <c r="H9" i="23" s="1"/>
  <c r="AC56" i="22"/>
  <c r="AB56" i="22" s="1"/>
  <c r="AA56" i="22" s="1"/>
  <c r="Z56" i="22" s="1"/>
  <c r="Y56" i="22" s="1"/>
  <c r="X56" i="22" s="1"/>
  <c r="W56" i="22" s="1"/>
  <c r="U56" i="22" s="1"/>
  <c r="T56" i="22"/>
  <c r="R56" i="22" s="1"/>
  <c r="D87" i="19"/>
  <c r="K29" i="22"/>
  <c r="P29" i="22" s="1"/>
  <c r="F88" i="19"/>
  <c r="F87" i="19"/>
  <c r="P19" i="17"/>
  <c r="P20" i="17" s="1"/>
  <c r="P21" i="17" s="1"/>
  <c r="P22" i="17" s="1"/>
  <c r="O14" i="17"/>
  <c r="J14" i="17" s="1"/>
  <c r="Q21" i="4"/>
  <c r="H32" i="13"/>
  <c r="H21" i="4"/>
  <c r="V13" i="13"/>
  <c r="Y4" i="13"/>
  <c r="U32" i="13"/>
  <c r="R56" i="4"/>
  <c r="AC56" i="4"/>
  <c r="AB56" i="4" s="1"/>
  <c r="AA56" i="4" s="1"/>
  <c r="Z56" i="4" s="1"/>
  <c r="Y56" i="4" s="1"/>
  <c r="X56" i="4" s="1"/>
  <c r="W56" i="4" s="1"/>
  <c r="U56" i="4" s="1"/>
  <c r="K5" i="4"/>
  <c r="I23" i="14"/>
  <c r="AP9" i="4" s="1"/>
  <c r="U32" i="4"/>
  <c r="T32" i="4" s="1"/>
  <c r="T31" i="4"/>
  <c r="R31" i="4"/>
  <c r="I32" i="4"/>
  <c r="E15" i="22"/>
  <c r="L7" i="22"/>
  <c r="O5" i="22"/>
  <c r="H43" i="22"/>
  <c r="B41" i="22"/>
  <c r="K43" i="22"/>
  <c r="I24" i="14"/>
  <c r="AP10" i="4" s="1"/>
  <c r="D88" i="19"/>
  <c r="AD42" i="22"/>
  <c r="U49" i="21"/>
  <c r="Q2" i="22"/>
  <c r="S52" i="22"/>
  <c r="R52" i="22" s="1"/>
  <c r="R12" i="22"/>
  <c r="O57" i="22"/>
  <c r="R88" i="22"/>
  <c r="Q44" i="22"/>
  <c r="R85" i="22"/>
  <c r="O2" i="22"/>
  <c r="T2" i="22" s="1"/>
  <c r="R89" i="22"/>
  <c r="W57" i="22"/>
  <c r="R84" i="22"/>
  <c r="Y2" i="22"/>
  <c r="Q65" i="22"/>
  <c r="Z2" i="22"/>
  <c r="AH6" i="22"/>
  <c r="R87" i="22"/>
  <c r="R90" i="22"/>
  <c r="T47" i="22"/>
  <c r="AA6" i="22"/>
  <c r="AG6" i="22"/>
  <c r="AF6" i="22" s="1"/>
  <c r="AE6" i="22" s="1"/>
  <c r="AD6" i="22" s="1"/>
  <c r="AC6" i="22" s="1"/>
  <c r="AB6" i="22" s="1"/>
  <c r="AB43" i="21"/>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Q12" i="22"/>
  <c r="Q57" i="22"/>
  <c r="Z6" i="22"/>
  <c r="Y6" i="22" s="1"/>
  <c r="X6" i="22" s="1"/>
  <c r="W6" i="22" s="1"/>
  <c r="U6" i="22" s="1"/>
  <c r="T6" i="22" s="1"/>
  <c r="R6" i="22" s="1"/>
  <c r="Q6" i="22" s="1"/>
  <c r="R82" i="22"/>
  <c r="X7" i="22"/>
  <c r="U42" i="13"/>
  <c r="M39" i="13" s="1"/>
  <c r="U11" i="20"/>
  <c r="I6" i="20" s="1"/>
  <c r="O12" i="20" s="1"/>
  <c r="W11" i="20"/>
  <c r="U15" i="20"/>
  <c r="U32" i="21"/>
  <c r="V13" i="21"/>
  <c r="Y4" i="21"/>
  <c r="S52" i="4"/>
  <c r="R52" i="4" s="1"/>
  <c r="AB43" i="13"/>
  <c r="R87"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R12" i="4"/>
  <c r="T57" i="4"/>
  <c r="R83" i="4"/>
  <c r="R90" i="4"/>
  <c r="R86" i="4"/>
  <c r="R84" i="4"/>
  <c r="O57" i="4"/>
  <c r="Q2" i="4"/>
  <c r="AA48" i="4"/>
  <c r="Q44" i="4"/>
  <c r="O70" i="4" s="1"/>
  <c r="F70" i="4" s="1"/>
  <c r="R89" i="4"/>
  <c r="Q12" i="4"/>
  <c r="W2" i="4"/>
  <c r="S4" i="16"/>
  <c r="O4" i="16"/>
  <c r="O8" i="16" s="1"/>
  <c r="O9" i="16" s="1"/>
  <c r="Q13" i="16"/>
  <c r="S3" i="16"/>
  <c r="M59" i="21"/>
  <c r="G37" i="22"/>
  <c r="I37" i="22" s="1"/>
  <c r="AF6" i="4"/>
  <c r="AE6" i="4" s="1"/>
  <c r="AD6" i="4" s="1"/>
  <c r="AC6" i="4" s="1"/>
  <c r="AB6" i="4" s="1"/>
  <c r="AA6" i="4" s="1"/>
  <c r="Z6" i="4" s="1"/>
  <c r="Q65" i="4"/>
  <c r="AD42" i="4"/>
  <c r="Y6" i="4"/>
  <c r="X6" i="4" s="1"/>
  <c r="W6" i="4" s="1"/>
  <c r="U6" i="4" s="1"/>
  <c r="T6" i="4" s="1"/>
  <c r="R6" i="4" s="1"/>
  <c r="Q6" i="4" s="1"/>
  <c r="T47" i="4"/>
  <c r="U14" i="20"/>
  <c r="Q13" i="20"/>
  <c r="S3" i="20"/>
  <c r="AG6" i="4"/>
  <c r="H9" i="16"/>
  <c r="H32" i="21"/>
  <c r="X7" i="4"/>
  <c r="Q57" i="4"/>
  <c r="V29" i="4"/>
  <c r="Y2" i="4"/>
  <c r="O2" i="4"/>
  <c r="T2" i="4" s="1"/>
  <c r="M60" i="4"/>
  <c r="I13" i="4"/>
  <c r="L7" i="4"/>
  <c r="AP7" i="22"/>
  <c r="I22" i="18"/>
  <c r="T2" i="20"/>
  <c r="O4" i="20"/>
  <c r="M22" i="22"/>
  <c r="O22" i="22"/>
  <c r="W39" i="21" s="1"/>
  <c r="I32" i="22"/>
  <c r="R31" i="22"/>
  <c r="P8" i="20"/>
  <c r="W4" i="16"/>
  <c r="Q56" i="4"/>
  <c r="R57" i="4" s="1"/>
  <c r="O56" i="4" s="1"/>
  <c r="W49" i="13" s="1"/>
  <c r="Q50" i="4"/>
  <c r="O22" i="4"/>
  <c r="W39" i="13" s="1"/>
  <c r="Y15" i="4"/>
  <c r="R77" i="4" s="1"/>
  <c r="R80" i="4" s="1"/>
  <c r="I3" i="14"/>
  <c r="E16" i="22"/>
  <c r="IR7" i="18"/>
  <c r="K3" i="18"/>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K3" i="14"/>
  <c r="L3" i="14" s="1"/>
  <c r="H7" i="23" l="1"/>
  <c r="H4" i="23" s="1"/>
  <c r="H3" i="23" s="1"/>
  <c r="F3" i="23" s="1"/>
  <c r="I3" i="22"/>
  <c r="U18" i="20"/>
  <c r="O8" i="20"/>
  <c r="O9" i="20" s="1"/>
  <c r="K4" i="22"/>
  <c r="J9" i="20"/>
  <c r="R57" i="22"/>
  <c r="O56" i="22" s="1"/>
  <c r="W49" i="21" s="1"/>
  <c r="N11" i="20"/>
  <c r="N11" i="16"/>
  <c r="I23" i="18"/>
  <c r="AP9" i="22" s="1"/>
  <c r="AP8" i="22"/>
  <c r="AB37" i="13"/>
  <c r="O15" i="4"/>
  <c r="Q15" i="4" s="1"/>
  <c r="K15" i="4" s="1"/>
  <c r="R23" i="4"/>
  <c r="T23" i="4" s="1"/>
  <c r="U23" i="4" s="1"/>
  <c r="G24" i="4" s="1"/>
  <c r="AA35" i="13"/>
  <c r="I52" i="4"/>
  <c r="Q49" i="4"/>
  <c r="Z48" i="4"/>
  <c r="I53" i="4"/>
  <c r="K47" i="4"/>
  <c r="U2" i="4"/>
  <c r="K9" i="4"/>
  <c r="U18" i="16"/>
  <c r="K4" i="4"/>
  <c r="J9" i="16"/>
  <c r="T12" i="22"/>
  <c r="I29" i="22"/>
  <c r="M13" i="22"/>
  <c r="AE25" i="22"/>
  <c r="I53" i="22"/>
  <c r="O15" i="22"/>
  <c r="Q15" i="22" s="1"/>
  <c r="K15" i="22" s="1"/>
  <c r="K47" i="22"/>
  <c r="Z48" i="22"/>
  <c r="R23" i="22"/>
  <c r="T23" i="22" s="1"/>
  <c r="U23" i="22" s="1"/>
  <c r="G24" i="22" s="1"/>
  <c r="U25" i="22"/>
  <c r="I52" i="22"/>
  <c r="AA35" i="21"/>
  <c r="Q49" i="22"/>
  <c r="R36" i="22"/>
  <c r="AB37" i="21"/>
  <c r="K9" i="22"/>
  <c r="Q48" i="22"/>
  <c r="AC25" i="22"/>
  <c r="O6" i="22"/>
  <c r="Q54" i="22"/>
  <c r="R50" i="22"/>
  <c r="U62" i="22"/>
  <c r="U57" i="22"/>
  <c r="X48" i="22"/>
  <c r="Y48" i="22" s="1"/>
  <c r="O14" i="20"/>
  <c r="H9" i="20"/>
  <c r="O44" i="22"/>
  <c r="O70" i="22"/>
  <c r="F70" i="22" s="1"/>
  <c r="R91" i="4"/>
  <c r="R92" i="4" s="1"/>
  <c r="I24" i="18"/>
  <c r="AP10" i="22" s="1"/>
  <c r="T12" i="4"/>
  <c r="R13" i="13" s="1"/>
  <c r="I29" i="4"/>
  <c r="M13" i="4"/>
  <c r="AE25" i="4"/>
  <c r="U57" i="4"/>
  <c r="O6" i="4"/>
  <c r="Q48" i="4"/>
  <c r="AC25" i="4"/>
  <c r="X48" i="4"/>
  <c r="Y48" i="4" s="1"/>
  <c r="Q54" i="4"/>
  <c r="R50" i="4"/>
  <c r="U62" i="4"/>
  <c r="H8" i="20"/>
  <c r="Q39" i="22"/>
  <c r="U36" i="21"/>
  <c r="Y43" i="22"/>
  <c r="U37" i="21" s="1"/>
  <c r="I31" i="4"/>
  <c r="U31" i="4"/>
  <c r="I3" i="4"/>
  <c r="M3" i="14"/>
  <c r="J3" i="14" s="1"/>
  <c r="C66" i="4"/>
  <c r="C69" i="4" s="1"/>
  <c r="IR7" i="14"/>
  <c r="IR9" i="14" s="1"/>
  <c r="L3" i="18"/>
  <c r="M3" i="18" s="1"/>
  <c r="Q32" i="14"/>
  <c r="F7" i="23" l="1"/>
  <c r="C60" i="21" s="1"/>
  <c r="AB42" i="4"/>
  <c r="N17" i="4"/>
  <c r="Y49" i="4"/>
  <c r="Z49" i="4"/>
  <c r="AC42" i="4"/>
  <c r="N66" i="4"/>
  <c r="N33" i="4"/>
  <c r="P39" i="22"/>
  <c r="P38" i="22"/>
  <c r="K48" i="22"/>
  <c r="U46" i="22"/>
  <c r="Q46" i="22" s="1"/>
  <c r="R46" i="22" s="1"/>
  <c r="T46" i="22" s="1"/>
  <c r="AA43" i="21"/>
  <c r="R48" i="22"/>
  <c r="T48" i="22"/>
  <c r="W34" i="21" s="1"/>
  <c r="R37" i="22"/>
  <c r="I36" i="22"/>
  <c r="N33" i="22"/>
  <c r="AB42" i="22"/>
  <c r="N17" i="22"/>
  <c r="N66" i="22"/>
  <c r="Y49" i="22"/>
  <c r="Z49" i="22"/>
  <c r="AC42" i="22"/>
  <c r="U2" i="22"/>
  <c r="I49" i="22"/>
  <c r="R49" i="22"/>
  <c r="AA37" i="21"/>
  <c r="U3" i="21"/>
  <c r="R36" i="4"/>
  <c r="T29" i="22"/>
  <c r="Q29" i="22"/>
  <c r="R29" i="22" s="1"/>
  <c r="W33" i="21" s="1"/>
  <c r="P7" i="13"/>
  <c r="P12" i="13"/>
  <c r="M40" i="4"/>
  <c r="P5" i="4" s="1"/>
  <c r="M42" i="4"/>
  <c r="AA25" i="4"/>
  <c r="W25" i="4"/>
  <c r="T48" i="4"/>
  <c r="W34" i="13" s="1"/>
  <c r="U46" i="4"/>
  <c r="Q46" i="4" s="1"/>
  <c r="R46" i="4" s="1"/>
  <c r="T46" i="4" s="1"/>
  <c r="AA43" i="13" s="1"/>
  <c r="R48" i="4"/>
  <c r="K48" i="4"/>
  <c r="H46" i="22"/>
  <c r="N16" i="22"/>
  <c r="I16" i="22" s="1"/>
  <c r="I49" i="4"/>
  <c r="AA37" i="13"/>
  <c r="R49" i="4"/>
  <c r="U25" i="4"/>
  <c r="N16" i="4"/>
  <c r="I16" i="4" s="1"/>
  <c r="O11" i="4"/>
  <c r="Q29" i="4"/>
  <c r="R29" i="4" s="1"/>
  <c r="W33" i="13" s="1"/>
  <c r="T29" i="4"/>
  <c r="AA25" i="22"/>
  <c r="W25" i="22"/>
  <c r="Q7" i="4"/>
  <c r="R20" i="13"/>
  <c r="C6" i="23"/>
  <c r="L24" i="13"/>
  <c r="R19" i="13"/>
  <c r="E16" i="4"/>
  <c r="J3" i="18"/>
  <c r="Q32" i="18"/>
  <c r="C7" i="23" l="1"/>
  <c r="Z25" i="4"/>
  <c r="I26" i="4" s="1"/>
  <c r="F27" i="4"/>
  <c r="AD25" i="4"/>
  <c r="L25" i="4" s="1"/>
  <c r="D41" i="4"/>
  <c r="Z32" i="13"/>
  <c r="AB25" i="4"/>
  <c r="W32" i="13"/>
  <c r="X42" i="22"/>
  <c r="X43" i="22"/>
  <c r="X43" i="4"/>
  <c r="X42" i="4"/>
  <c r="P12" i="21"/>
  <c r="Q7" i="22"/>
  <c r="W8" i="4"/>
  <c r="R15" i="4"/>
  <c r="M40" i="22"/>
  <c r="R37" i="4"/>
  <c r="I36" i="4"/>
  <c r="H46" i="4"/>
  <c r="C46" i="21"/>
  <c r="P7" i="21"/>
  <c r="R18" i="21"/>
  <c r="M2" i="21"/>
  <c r="R13" i="21"/>
  <c r="R20" i="21"/>
  <c r="R19" i="21"/>
  <c r="I45" i="21"/>
  <c r="AB25" i="22"/>
  <c r="AD25" i="22"/>
  <c r="L25" i="22" s="1"/>
  <c r="F27" i="22"/>
  <c r="D41" i="22"/>
  <c r="W32" i="21"/>
  <c r="Z25" i="22"/>
  <c r="I26" i="22" s="1"/>
  <c r="AE42" i="22" s="1"/>
  <c r="Y42" i="22" s="1"/>
  <c r="U35" i="21" s="1"/>
  <c r="Z32" i="21"/>
  <c r="M49" i="4"/>
  <c r="O11" i="22"/>
  <c r="AE43" i="22"/>
  <c r="M42" i="22"/>
  <c r="D10" i="23"/>
  <c r="A10" i="23"/>
  <c r="C11" i="23" l="1"/>
  <c r="R21" i="21" s="1"/>
  <c r="F57" i="4"/>
  <c r="M19" i="4"/>
  <c r="M54" i="4"/>
  <c r="R97" i="4" s="1"/>
  <c r="M51" i="4"/>
  <c r="M57" i="4"/>
  <c r="M50" i="4"/>
  <c r="M53" i="4"/>
  <c r="C1" i="4"/>
  <c r="M48" i="4"/>
  <c r="Y35" i="13"/>
  <c r="H42" i="4"/>
  <c r="I28" i="4"/>
  <c r="O26" i="4"/>
  <c r="Z28" i="4"/>
  <c r="AH43" i="4"/>
  <c r="AH42" i="4"/>
  <c r="R94" i="4"/>
  <c r="Y37" i="13"/>
  <c r="H44" i="4"/>
  <c r="O26" i="22"/>
  <c r="I28" i="22"/>
  <c r="Z28" i="22"/>
  <c r="AH42" i="22" s="1"/>
  <c r="X25" i="22"/>
  <c r="Y37" i="21"/>
  <c r="R94" i="22"/>
  <c r="F41" i="22"/>
  <c r="F43" i="22"/>
  <c r="K61" i="22"/>
  <c r="P5" i="22"/>
  <c r="W8" i="22"/>
  <c r="R15" i="22"/>
  <c r="X25" i="4"/>
  <c r="Y35" i="21"/>
  <c r="H42" i="22"/>
  <c r="F43" i="4"/>
  <c r="F41" i="4"/>
  <c r="M29" i="4"/>
  <c r="H5" i="17" s="1"/>
  <c r="H18" i="17" s="1"/>
  <c r="C12" i="23" l="1"/>
  <c r="AG42" i="22"/>
  <c r="AF42" i="22" s="1"/>
  <c r="AG43" i="22"/>
  <c r="Q53" i="4"/>
  <c r="R53" i="4" s="1"/>
  <c r="O52" i="4"/>
  <c r="W36" i="13" s="1"/>
  <c r="AG42" i="4"/>
  <c r="AF42" i="4" s="1"/>
  <c r="AE42" i="4" s="1"/>
  <c r="Y42" i="4" s="1"/>
  <c r="U35" i="13" s="1"/>
  <c r="AG43" i="4"/>
  <c r="AF43" i="4" s="1"/>
  <c r="AE43" i="4" s="1"/>
  <c r="Z43" i="4"/>
  <c r="Z42" i="4"/>
  <c r="M46" i="4"/>
  <c r="R98" i="4" s="1"/>
  <c r="M39" i="4"/>
  <c r="R96" i="4" s="1"/>
  <c r="M21" i="4"/>
  <c r="M23" i="4" s="1"/>
  <c r="M20" i="4"/>
  <c r="M44" i="4"/>
  <c r="M56" i="4"/>
  <c r="F57" i="22"/>
  <c r="M19" i="22"/>
  <c r="C1" i="22"/>
  <c r="M48" i="22"/>
  <c r="M57" i="22"/>
  <c r="M53" i="22"/>
  <c r="M51" i="22"/>
  <c r="M29" i="22"/>
  <c r="M49" i="22"/>
  <c r="M54" i="22"/>
  <c r="R97" i="22" s="1"/>
  <c r="M50" i="22"/>
  <c r="H9" i="17"/>
  <c r="C6" i="17"/>
  <c r="AH43" i="22"/>
  <c r="R22" i="21"/>
  <c r="C13" i="23"/>
  <c r="R18" i="13" l="1"/>
  <c r="C7" i="17"/>
  <c r="M24" i="4"/>
  <c r="M35" i="4" s="1"/>
  <c r="D10" i="17"/>
  <c r="A10" i="17"/>
  <c r="K42" i="4"/>
  <c r="W35" i="13"/>
  <c r="H7" i="17"/>
  <c r="W37" i="13"/>
  <c r="K44" i="4"/>
  <c r="M43" i="4"/>
  <c r="Z42" i="22"/>
  <c r="Z43" i="22"/>
  <c r="AF43" i="22"/>
  <c r="I23" i="4"/>
  <c r="Z4" i="13"/>
  <c r="P23" i="4"/>
  <c r="W38" i="13" s="1"/>
  <c r="O52" i="22"/>
  <c r="W36" i="21" s="1"/>
  <c r="Q53" i="22"/>
  <c r="R53" i="22" s="1"/>
  <c r="M20" i="22"/>
  <c r="M39" i="22"/>
  <c r="R96" i="22" s="1"/>
  <c r="M46" i="22"/>
  <c r="R98" i="22" s="1"/>
  <c r="M21" i="22"/>
  <c r="M23" i="22" s="1"/>
  <c r="M56" i="22"/>
  <c r="M44" i="22"/>
  <c r="H19" i="23"/>
  <c r="R23" i="21"/>
  <c r="O24" i="4" l="1"/>
  <c r="M24" i="22"/>
  <c r="M35" i="22" s="1"/>
  <c r="K42" i="22"/>
  <c r="W35" i="21"/>
  <c r="H4" i="17"/>
  <c r="H3" i="17" s="1"/>
  <c r="F3" i="17" s="1"/>
  <c r="C11" i="17"/>
  <c r="C12" i="17" s="1"/>
  <c r="C13" i="17" s="1"/>
  <c r="M36" i="4"/>
  <c r="O38" i="4" s="1"/>
  <c r="M37" i="4"/>
  <c r="W37" i="21"/>
  <c r="K44" i="22"/>
  <c r="M43" i="22"/>
  <c r="P23" i="22"/>
  <c r="W38" i="21" s="1"/>
  <c r="Z4" i="21"/>
  <c r="I23" i="22"/>
  <c r="R21" i="13" l="1"/>
  <c r="O24" i="22"/>
  <c r="Z22" i="4"/>
  <c r="Z23" i="4" s="1"/>
  <c r="M36" i="22"/>
  <c r="M37" i="22"/>
  <c r="O36" i="4"/>
  <c r="W41" i="13" s="1"/>
  <c r="W4" i="13"/>
  <c r="K38" i="13"/>
  <c r="H35" i="13" s="1"/>
  <c r="R22" i="13"/>
  <c r="X49" i="13"/>
  <c r="X4" i="13"/>
  <c r="M38" i="4"/>
  <c r="M61" i="4" s="1"/>
  <c r="F7" i="17"/>
  <c r="M60" i="13" s="1"/>
  <c r="K38" i="21" l="1"/>
  <c r="D36" i="21" s="1"/>
  <c r="W4" i="21"/>
  <c r="Z22" i="22"/>
  <c r="Z23" i="22" s="1"/>
  <c r="O36" i="22"/>
  <c r="W41" i="21" s="1"/>
  <c r="X49" i="21"/>
  <c r="C49" i="21" s="1"/>
  <c r="X4" i="21"/>
  <c r="O61" i="4"/>
  <c r="M62" i="4"/>
  <c r="M64" i="4"/>
  <c r="R23" i="13"/>
  <c r="M38" i="22"/>
  <c r="M61" i="22" s="1"/>
  <c r="C60" i="13"/>
  <c r="O38" i="22"/>
  <c r="H19" i="17" l="1"/>
  <c r="M65" i="4"/>
  <c r="M66" i="4" s="1"/>
  <c r="O61" i="22"/>
  <c r="M62" i="22"/>
  <c r="I62" i="22" s="1"/>
  <c r="M65" i="22" l="1"/>
  <c r="M66"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<sst xmlns="http://schemas.openxmlformats.org/spreadsheetml/2006/main" count="1819" uniqueCount="583">
  <si>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</si>
  <si>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</si>
  <si>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</si>
  <si>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</si>
  <si>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</si>
  <si>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</si>
  <si>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</si>
  <si>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</si>
  <si>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</si>
  <si>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</si>
  <si>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</si>
  <si>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</si>
  <si>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</si>
  <si>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</si>
  <si>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</si>
  <si>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</si>
  <si>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</si>
  <si>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</si>
  <si>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</si>
  <si>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</si>
  <si>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</si>
  <si>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</si>
  <si>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</si>
  <si>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</si>
  <si>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</si>
  <si>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</si>
  <si>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</si>
  <si>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</si>
  <si>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</si>
  <si>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</si>
  <si>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</si>
  <si>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</si>
  <si>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</si>
  <si>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</si>
  <si>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</si>
  <si>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</si>
  <si>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</si>
  <si>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</si>
  <si>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</si>
  <si>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</si>
  <si>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</si>
  <si>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</si>
  <si>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</si>
  <si>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</si>
  <si>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</si>
  <si>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</si>
  <si>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</si>
  <si>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</si>
  <si>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</si>
  <si>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</si>
  <si>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</si>
  <si>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</si>
  <si>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</si>
  <si>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</si>
  <si>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</si>
  <si>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</si>
  <si>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</si>
  <si>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</si>
  <si>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</si>
  <si>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</si>
  <si>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</si>
  <si>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</si>
  <si>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</si>
  <si>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</si>
  <si>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</si>
  <si>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</si>
  <si>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</si>
  <si>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</si>
  <si>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</si>
  <si>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</si>
  <si>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</si>
  <si>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</si>
  <si>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</si>
  <si>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</si>
  <si>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</si>
  <si>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</si>
  <si>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</si>
  <si>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</si>
  <si>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</si>
  <si>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</si>
  <si>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</si>
  <si>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</si>
  <si>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</si>
  <si>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</si>
  <si>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</si>
  <si>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</si>
  <si>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</si>
  <si>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</si>
  <si>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</si>
  <si>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</si>
  <si>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</si>
  <si>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</si>
  <si>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</si>
  <si>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</si>
  <si>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</si>
  <si>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</si>
  <si>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</si>
  <si>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</si>
  <si>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</si>
  <si>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</si>
  <si>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</si>
  <si>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</si>
  <si>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</si>
  <si>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</si>
  <si>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</si>
  <si>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</si>
  <si>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</si>
  <si>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</si>
  <si>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</si>
  <si>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</si>
  <si>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</si>
  <si>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</si>
  <si>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</si>
  <si>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</si>
  <si>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</si>
  <si>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</si>
  <si>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</si>
  <si>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</si>
  <si>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</si>
  <si>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</si>
  <si>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</si>
  <si>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</si>
  <si>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</si>
  <si>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</si>
  <si>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</si>
  <si>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</si>
  <si>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</si>
  <si>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</si>
  <si>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</si>
  <si>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</si>
  <si>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</si>
  <si>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</si>
  <si>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</si>
  <si>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</si>
  <si>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</si>
  <si>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</si>
  <si>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</si>
  <si>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</si>
  <si>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</si>
  <si>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</si>
  <si>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</si>
  <si>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</si>
  <si>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</si>
  <si>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</si>
  <si>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</si>
  <si>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</si>
  <si>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</si>
  <si>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</si>
  <si>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</si>
  <si>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</si>
  <si>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</si>
  <si>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</si>
  <si>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</si>
  <si>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</si>
  <si>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</si>
  <si>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</si>
  <si>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</si>
  <si>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</si>
  <si>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</si>
  <si>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</si>
  <si>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</si>
  <si>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</si>
  <si>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</si>
  <si>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</si>
  <si>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</si>
  <si>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</si>
  <si>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</si>
  <si>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</si>
  <si>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</si>
  <si>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</si>
  <si>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</si>
  <si>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</si>
  <si>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</si>
  <si>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</si>
  <si>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</si>
  <si>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</si>
  <si>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</si>
  <si>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</si>
  <si>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</si>
  <si>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</si>
  <si>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</si>
  <si>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</si>
  <si>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</si>
  <si>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</si>
  <si>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</si>
  <si>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</si>
  <si>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</si>
  <si>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</si>
  <si>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</si>
  <si>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</si>
  <si>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</si>
  <si>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</si>
  <si>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</si>
  <si>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</si>
  <si>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</si>
  <si>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</si>
  <si>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</si>
  <si>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</si>
  <si>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</si>
  <si>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</si>
  <si>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</si>
  <si>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</si>
  <si>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</si>
  <si>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</si>
  <si>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</si>
  <si>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</si>
  <si>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</si>
  <si>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</si>
  <si>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</si>
  <si>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</si>
  <si>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</si>
  <si>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</si>
  <si>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</si>
  <si>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</si>
  <si>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</si>
  <si>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</si>
  <si>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</si>
  <si>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</si>
  <si>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</si>
  <si>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</si>
  <si>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</si>
  <si>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</si>
  <si>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</si>
  <si>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</si>
  <si>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</si>
  <si>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</si>
  <si>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</si>
  <si>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</si>
  <si>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</si>
  <si>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</si>
  <si>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</si>
  <si>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</si>
  <si>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</si>
  <si>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</si>
  <si>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</si>
  <si>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</si>
  <si>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</si>
  <si>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</si>
  <si>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</si>
  <si>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</si>
  <si>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</si>
  <si>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</si>
  <si>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</si>
  <si>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</si>
  <si>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</si>
  <si>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</si>
  <si>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</si>
  <si>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</si>
  <si>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</si>
  <si>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</si>
  <si>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</si>
  <si>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</si>
  <si>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</si>
  <si>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</si>
  <si>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</si>
  <si>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</si>
  <si>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</si>
  <si>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</si>
  <si>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</si>
  <si>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</si>
  <si>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</si>
  <si>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</si>
  <si>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</si>
  <si>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</si>
  <si>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</si>
  <si>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</si>
  <si>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</si>
  <si>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</si>
  <si>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</si>
  <si>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</si>
  <si>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</si>
  <si>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</si>
  <si>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</si>
  <si>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</si>
  <si>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</si>
  <si>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</si>
  <si>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</si>
  <si>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</si>
  <si>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</si>
  <si>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</si>
  <si>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</si>
  <si>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</si>
  <si>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</si>
  <si>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</si>
  <si>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</si>
  <si>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</si>
  <si>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</si>
  <si>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</si>
  <si>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</si>
  <si>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</si>
  <si>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</si>
  <si>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</si>
  <si>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</si>
  <si>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</si>
  <si>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</si>
  <si>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</si>
  <si>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</si>
  <si>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</si>
  <si>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</si>
  <si>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</si>
  <si>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</si>
  <si>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</si>
  <si>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</si>
  <si>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</si>
  <si>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</si>
  <si>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</si>
  <si>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</si>
  <si>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</si>
  <si>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</si>
  <si>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</si>
  <si>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</si>
  <si>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</si>
  <si>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</si>
  <si>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</si>
  <si>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</si>
  <si>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</si>
  <si>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</si>
  <si>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</si>
  <si>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</si>
  <si>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</si>
  <si>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</si>
  <si>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</si>
  <si>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</si>
  <si>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</si>
  <si>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</si>
  <si>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</si>
  <si>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</si>
  <si>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</si>
  <si>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</si>
  <si>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</si>
  <si>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</si>
  <si>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</si>
  <si>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</si>
  <si>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</si>
  <si>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</si>
  <si>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</si>
  <si>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</si>
  <si>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</si>
  <si>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</si>
  <si>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</si>
  <si>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</si>
  <si>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</si>
  <si>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</si>
  <si>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</si>
  <si>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</si>
  <si>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</si>
  <si>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</si>
  <si>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</si>
  <si>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</si>
  <si>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</si>
  <si>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</si>
  <si>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</si>
  <si>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</si>
  <si>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</si>
  <si>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</si>
  <si>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</si>
  <si>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</si>
  <si>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</si>
  <si>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</si>
  <si>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</si>
  <si>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</si>
  <si>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</si>
  <si>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</si>
  <si>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</si>
  <si>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</si>
  <si>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</si>
  <si>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</si>
  <si>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</si>
  <si>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</si>
  <si>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</si>
  <si>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</si>
  <si>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</si>
  <si>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</si>
  <si>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</si>
  <si>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</si>
  <si>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</si>
  <si>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</si>
  <si>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</si>
  <si>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</si>
  <si>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</si>
  <si>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</si>
  <si>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</si>
  <si>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</si>
  <si>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</si>
  <si>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</si>
  <si>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</si>
  <si>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</si>
  <si>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</si>
  <si>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</si>
  <si>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</si>
  <si>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</si>
  <si>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</si>
  <si>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</si>
  <si>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</si>
  <si>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</si>
  <si>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</si>
  <si>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</si>
  <si>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</si>
  <si>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</si>
  <si>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</si>
  <si>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</si>
  <si>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</si>
  <si>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</si>
  <si>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</si>
  <si>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</si>
  <si>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</si>
  <si>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</si>
  <si>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</si>
  <si>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</si>
  <si>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</si>
  <si>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</si>
  <si>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</si>
  <si>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</si>
  <si>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</si>
  <si>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</si>
  <si>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</si>
  <si>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</si>
  <si>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</si>
  <si>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</si>
  <si>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</si>
  <si>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</si>
  <si>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</si>
  <si>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</si>
  <si>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</si>
  <si>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</si>
  <si>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</si>
  <si>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</si>
  <si>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</si>
  <si>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</si>
  <si>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</si>
  <si>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</si>
  <si>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</si>
  <si>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</si>
  <si>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</si>
  <si>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</si>
  <si>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</si>
  <si>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</si>
  <si>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</si>
  <si>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</si>
  <si>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</si>
  <si>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</si>
  <si>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</si>
  <si>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</si>
  <si>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</si>
  <si>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</si>
  <si>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</si>
  <si>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</si>
  <si>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</si>
  <si>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</si>
  <si>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</si>
  <si>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</si>
  <si>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</si>
  <si>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</si>
  <si>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</si>
  <si>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</si>
  <si>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</si>
  <si>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</si>
  <si>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</si>
  <si>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</si>
  <si>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</si>
  <si>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</si>
  <si>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</si>
  <si>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</si>
  <si>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</si>
  <si>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</si>
  <si>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</si>
  <si>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</si>
  <si>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</si>
  <si>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</si>
  <si>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</si>
  <si>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</si>
  <si>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</si>
  <si>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</si>
  <si>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</si>
  <si>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</si>
  <si>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</si>
  <si>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</si>
  <si>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</si>
  <si>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</si>
  <si>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</si>
  <si>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</si>
  <si>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</si>
  <si>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</si>
  <si>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</si>
  <si>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</si>
  <si>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</si>
  <si>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</si>
  <si>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</si>
  <si>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</si>
  <si>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</si>
  <si>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</si>
  <si>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</si>
  <si>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</si>
  <si>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</si>
  <si>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</si>
  <si>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</si>
  <si>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</si>
  <si>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</si>
  <si>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</si>
  <si>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</si>
  <si>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</si>
  <si>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</si>
  <si>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</si>
  <si>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</si>
  <si>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</si>
  <si>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</si>
  <si>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</si>
  <si>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</si>
  <si>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</si>
  <si>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</si>
  <si>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</si>
  <si>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</si>
  <si>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</si>
  <si>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</si>
  <si>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</si>
  <si>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</si>
  <si>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</si>
  <si>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</si>
  <si>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</si>
  <si>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</si>
  <si>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</si>
  <si>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</si>
  <si>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</si>
  <si>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</si>
  <si>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</si>
  <si>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</si>
  <si>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</si>
  <si>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</si>
  <si>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</si>
  <si>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</si>
  <si>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</si>
  <si>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</si>
  <si>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Rs.5,000/-</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</si>
  <si>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</si>
  <si>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</si>
  <si>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</si>
  <si>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</si>
  <si>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</si>
  <si>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</si>
  <si>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</si>
  <si>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</si>
  <si>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</si>
  <si>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</si>
  <si>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</si>
  <si>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</si>
  <si>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</si>
  <si>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</si>
  <si>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</si>
  <si>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</si>
  <si>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</si>
  <si>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</si>
  <si>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</si>
  <si>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</si>
  <si>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</si>
  <si>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</si>
  <si>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</si>
  <si>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</si>
  <si>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</si>
  <si>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</si>
  <si>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</si>
  <si>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</si>
  <si>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</si>
  <si>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</si>
  <si>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</si>
  <si>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</si>
  <si>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</si>
  <si>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</si>
  <si>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</si>
  <si>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</si>
  <si>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</si>
  <si>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</si>
  <si>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</si>
  <si>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</si>
  <si>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</si>
  <si>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</si>
  <si>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SSCL</t>
  </si>
  <si>
    <t>Personal Accident Cover (Driver)</t>
  </si>
  <si>
    <t>Inclusion of Hiring Exclusion Cover</t>
  </si>
  <si>
    <t>HNB FINANCE</t>
  </si>
  <si>
    <t>Service Charge</t>
  </si>
  <si>
    <t>Policy Fee</t>
  </si>
  <si>
    <t>Premium Adjustment</t>
  </si>
  <si>
    <t>Admin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</si>
</sst>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_(* #,##0_);_(* \(#,##0\);_(* &quot;-&quot;??_);_(@_)"/>
    <numFmt numFmtId="180" formatCode="0.000%"/>
    <numFmt numFmtId="181" formatCode="0.000000%"/>
    <numFmt numFmtId="182" formatCode="_(* #,##0.00000000_);_(* \(#,##0.00000000\);_(* &quot;-&quot;??_);_(@_)"/>
    <numFmt numFmtId="183" formatCode="_-* #,##0.0_-;\-* #,##0.0_-;_-* &quot;-&quot;??_-;_-@_-"/>
  </numFmts>
  <fonts count="247"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b/>
      <sz val="12"/>
      <color theme="0"/>
      <name val="Arial"/>
      <family val="2"/>
    </font>
    <font>
      <b/>
      <sz val="14"/>
      <color rgb="FF0070C0"/>
      <name val="Tahoma"/>
      <family val="2"/>
    </font>
    <font>
      <b/>
      <sz val="14"/>
      <color rgb="FFFF0000"/>
      <name val="Tahoma"/>
      <family val="2"/>
    </font>
    <font>
      <b/>
      <sz val="11"/>
      <color theme="1"/>
      <name val="Tahoma"/>
      <family val="2"/>
    </font>
    <font>
      <sz val="14"/>
      <color theme="1"/>
      <name val="Tahoma"/>
      <family val="2"/>
    </font>
    <font>
      <b/>
      <sz val="12"/>
      <color rgb="FFC00000"/>
      <name val="Tahoma"/>
      <family val="2"/>
    </font>
    <font>
      <sz val="12"/>
      <color theme="1"/>
      <name val="Tahoma"/>
      <family val="2"/>
    </font>
  </fonts>
  <fills count="32">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rgb="FFD9D9D9"/>
        <bgColor indexed="64"/>
      </patternFill>
    </fill>
    <fill>
      <patternFill patternType="solid">
        <fgColor rgb="FFFFCC66"/>
        <bgColor indexed="64"/>
      </patternFill>
    </fill>
  </fills>
  <borders count="169">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79">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7" fillId="11" borderId="0" xfId="0" applyNumberFormat="1" applyFont="1" applyFill="1" applyBorder="1" applyAlignment="1" applyProtection="1">
      <alignment horizontal="left"/>
      <protection hidden="1"/>
    </xf>
    <xf numFmtId="176"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3"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104"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0" applyFont="1" applyFill="1" applyBorder="1" applyAlignment="1" applyProtection="1">
      <alignment vertical="top" wrapText="1"/>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179" fontId="8" fillId="24" borderId="106" xfId="1" applyNumberFormat="1" applyFont="1" applyFill="1" applyBorder="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5"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4" fillId="26" borderId="0" xfId="0" applyNumberFormat="1" applyFont="1" applyFill="1" applyAlignment="1">
      <alignment vertical="center"/>
    </xf>
    <xf numFmtId="43" fontId="204" fillId="27" borderId="0" xfId="0" applyNumberFormat="1" applyFont="1" applyFill="1" applyAlignment="1">
      <alignment vertical="center"/>
    </xf>
    <xf numFmtId="0" fontId="233" fillId="18" borderId="0" xfId="0" applyFont="1" applyFill="1" applyAlignment="1">
      <alignment horizontal="center" vertical="center"/>
    </xf>
    <xf numFmtId="0" fontId="234" fillId="18" borderId="104" xfId="0" applyFont="1" applyFill="1" applyBorder="1" applyAlignment="1" applyProtection="1">
      <alignment horizontal="left" vertical="center"/>
      <protection hidden="1"/>
    </xf>
    <xf numFmtId="164" fontId="194" fillId="22" borderId="0" xfId="1" applyFont="1" applyFill="1"/>
    <xf numFmtId="166" fontId="6" fillId="16" borderId="106" xfId="5" applyNumberFormat="1" applyFont="1" applyFill="1" applyBorder="1" applyAlignment="1">
      <alignment vertical="center"/>
    </xf>
    <xf numFmtId="181" fontId="1" fillId="0" borderId="0" xfId="5" applyNumberFormat="1" applyAlignment="1">
      <alignment vertical="center"/>
    </xf>
    <xf numFmtId="0" fontId="235" fillId="0" borderId="0" xfId="0" applyFont="1" applyAlignment="1">
      <alignment horizontal="left" vertical="center"/>
    </xf>
    <xf numFmtId="14" fontId="56" fillId="0" borderId="0" xfId="0" applyNumberFormat="1" applyFont="1" applyProtection="1">
      <protection hidden="1"/>
    </xf>
    <xf numFmtId="0" fontId="48" fillId="28"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6" fillId="29"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2"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4" fillId="17" borderId="103" xfId="4" applyFont="1" applyFill="1" applyBorder="1" applyAlignment="1" applyProtection="1">
      <alignment horizontal="center" vertical="center" shrinkToFit="1"/>
      <protection hidden="1"/>
    </xf>
    <xf numFmtId="0" fontId="223"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7"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34" fillId="18" borderId="104"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8" fillId="17" borderId="0" xfId="4" applyFont="1" applyFill="1" applyBorder="1" applyProtection="1">
      <protection hidden="1"/>
    </xf>
    <xf numFmtId="39" fontId="228"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7"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7"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6"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29"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7"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1"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5"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0"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19"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0"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8"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8" fillId="20" borderId="0" xfId="4" applyFont="1" applyFill="1" applyBorder="1" applyProtection="1">
      <protection hidden="1"/>
    </xf>
    <xf numFmtId="164" fontId="221"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22" fillId="0" borderId="48" xfId="4" applyFont="1" applyBorder="1" applyProtection="1">
      <protection hidden="1"/>
    </xf>
    <xf numFmtId="0" fontId="215" fillId="0" borderId="48" xfId="4" applyFont="1" applyBorder="1" applyProtection="1">
      <protection hidden="1"/>
    </xf>
    <xf numFmtId="2" fontId="230" fillId="0" borderId="48" xfId="1" applyNumberFormat="1" applyFont="1" applyBorder="1" applyAlignment="1" applyProtection="1">
      <alignment horizontal="left"/>
      <protection hidden="1"/>
    </xf>
    <xf numFmtId="173" fontId="222" fillId="0" borderId="48" xfId="4" applyNumberFormat="1" applyFont="1" applyBorder="1" applyAlignment="1" applyProtection="1">
      <alignment horizontal="right"/>
      <protection hidden="1"/>
    </xf>
    <xf numFmtId="0" fontId="222" fillId="0" borderId="48" xfId="4" applyFont="1" applyBorder="1" applyAlignment="1" applyProtection="1">
      <alignment horizontal="left"/>
      <protection hidden="1"/>
    </xf>
    <xf numFmtId="173" fontId="222" fillId="0" borderId="48" xfId="4" applyNumberFormat="1" applyFont="1" applyBorder="1" applyAlignment="1" applyProtection="1">
      <alignment horizontal="center"/>
      <protection hidden="1"/>
    </xf>
    <xf numFmtId="179" fontId="216" fillId="0" borderId="48" xfId="4" applyNumberFormat="1" applyFont="1" applyBorder="1" applyAlignment="1" applyProtection="1">
      <alignment horizontal="right"/>
      <protection hidden="1"/>
    </xf>
    <xf numFmtId="0" fontId="11" fillId="0" borderId="0" xfId="4" applyFont="1" applyBorder="1" applyProtection="1">
      <protection hidden="1"/>
    </xf>
    <xf numFmtId="0" fontId="238" fillId="0" borderId="0" xfId="4" applyFont="1" applyBorder="1" applyProtection="1">
      <protection hidden="1"/>
    </xf>
    <xf numFmtId="176" fontId="230" fillId="0" borderId="0" xfId="1" applyNumberFormat="1" applyFont="1" applyBorder="1" applyAlignment="1" applyProtection="1">
      <alignment horizontal="left"/>
      <protection hidden="1"/>
    </xf>
    <xf numFmtId="0" fontId="222" fillId="0" borderId="0" xfId="4" applyFont="1" applyBorder="1" applyProtection="1">
      <protection hidden="1"/>
    </xf>
    <xf numFmtId="0" fontId="215" fillId="0" borderId="0" xfId="4" applyFont="1" applyBorder="1" applyProtection="1">
      <protection hidden="1"/>
    </xf>
    <xf numFmtId="2" fontId="230" fillId="0" borderId="0" xfId="1" applyNumberFormat="1" applyFont="1" applyBorder="1" applyAlignment="1" applyProtection="1">
      <alignment horizontal="left"/>
      <protection hidden="1"/>
    </xf>
    <xf numFmtId="173" fontId="222" fillId="0" borderId="0" xfId="4" applyNumberFormat="1" applyFont="1" applyBorder="1" applyAlignment="1" applyProtection="1">
      <alignment horizontal="right"/>
      <protection hidden="1"/>
    </xf>
    <xf numFmtId="0" fontId="222" fillId="0" borderId="0" xfId="4" applyFont="1" applyBorder="1" applyAlignment="1" applyProtection="1">
      <alignment horizontal="left"/>
      <protection hidden="1"/>
    </xf>
    <xf numFmtId="173" fontId="222" fillId="0" borderId="0" xfId="4" applyNumberFormat="1" applyFont="1" applyBorder="1" applyAlignment="1" applyProtection="1">
      <alignment horizontal="center"/>
      <protection hidden="1"/>
    </xf>
    <xf numFmtId="179" fontId="216" fillId="0" borderId="0" xfId="4" applyNumberFormat="1" applyFont="1" applyBorder="1" applyAlignment="1" applyProtection="1">
      <alignment horizontal="right"/>
      <protection hidden="1"/>
    </xf>
    <xf numFmtId="179" fontId="212" fillId="2" borderId="0" xfId="4" applyNumberFormat="1" applyFont="1" applyFill="1" applyBorder="1" applyProtection="1">
      <protection hidden="1"/>
    </xf>
    <xf numFmtId="0" fontId="204"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182" fontId="0" fillId="0" borderId="0" xfId="0" applyNumberFormat="1" applyAlignment="1">
      <alignment vertical="center"/>
    </xf>
    <xf numFmtId="0" fontId="7" fillId="0" borderId="0" xfId="4" applyAlignment="1" applyProtection="1">
      <alignment vertical="center"/>
      <protection hidden="1"/>
    </xf>
    <xf numFmtId="0" fontId="204"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0" fontId="13" fillId="16" borderId="107" xfId="6" applyNumberFormat="1" applyFont="1" applyFill="1" applyBorder="1" applyAlignment="1" applyProtection="1">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43" fontId="232" fillId="25" borderId="106" xfId="4" applyNumberFormat="1" applyFont="1" applyFill="1" applyBorder="1" applyAlignment="1" applyProtection="1">
      <alignment vertical="center"/>
      <protection hidden="1"/>
    </xf>
    <xf numFmtId="0" fontId="233" fillId="18" borderId="0" xfId="4" applyFont="1" applyFill="1" applyAlignment="1" applyProtection="1">
      <alignment horizontal="center" vertical="center"/>
      <protection hidden="1"/>
    </xf>
    <xf numFmtId="0" fontId="235"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4" fillId="26"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4" fillId="27"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3" fontId="239" fillId="30" borderId="106" xfId="0" applyNumberFormat="1" applyFont="1" applyFill="1" applyBorder="1" applyAlignment="1">
      <alignment horizontal="center" vertical="center"/>
    </xf>
    <xf numFmtId="167" fontId="7" fillId="0" borderId="0" xfId="5" applyNumberFormat="1" applyFont="1" applyAlignment="1" applyProtection="1">
      <alignment vertical="center"/>
      <protection hidden="1"/>
    </xf>
    <xf numFmtId="180" fontId="7" fillId="0" borderId="0" xfId="6" applyNumberFormat="1" applyAlignment="1" applyProtection="1">
      <alignment vertical="center"/>
      <protection hidden="1"/>
    </xf>
    <xf numFmtId="3" fontId="239" fillId="30" borderId="106" xfId="0" applyNumberFormat="1" applyFont="1" applyFill="1" applyBorder="1" applyAlignment="1">
      <alignment horizontal="center" vertical="center"/>
    </xf>
    <xf numFmtId="166" fontId="240" fillId="20" borderId="106" xfId="5" applyNumberFormat="1" applyFont="1" applyFill="1" applyBorder="1" applyAlignment="1">
      <alignment vertical="center"/>
    </xf>
    <xf numFmtId="183" fontId="0" fillId="0" borderId="0" xfId="1" applyNumberFormat="1" applyFont="1" applyAlignment="1">
      <alignment vertical="center"/>
    </xf>
    <xf numFmtId="167" fontId="0" fillId="0" borderId="0" xfId="5" applyNumberFormat="1" applyFont="1" applyAlignment="1">
      <alignment vertical="center"/>
    </xf>
    <xf numFmtId="0" fontId="0" fillId="18" borderId="0" xfId="0" applyFill="1" applyAlignment="1">
      <alignment vertical="center"/>
    </xf>
    <xf numFmtId="179" fontId="7" fillId="0" borderId="0" xfId="4" applyNumberFormat="1" applyAlignment="1" applyProtection="1">
      <alignment vertical="center"/>
      <protection hidden="1"/>
    </xf>
    <xf numFmtId="0" fontId="204" fillId="2" borderId="0" xfId="0" applyFont="1" applyFill="1" applyBorder="1" applyProtection="1">
      <protection hidden="1"/>
    </xf>
    <xf numFmtId="0" fontId="204" fillId="2" borderId="0" xfId="4" applyFont="1" applyFill="1" applyBorder="1" applyProtection="1">
      <protection hidden="1"/>
    </xf>
    <xf numFmtId="0" fontId="234" fillId="18" borderId="104" xfId="0" applyFont="1" applyFill="1" applyBorder="1" applyAlignment="1" applyProtection="1">
      <alignment horizontal="left" vertical="center"/>
      <protection locked="0" hidden="1"/>
    </xf>
    <xf numFmtId="0" fontId="13" fillId="18" borderId="0" xfId="4" applyFont="1" applyFill="1" applyBorder="1" applyAlignment="1" applyProtection="1">
      <alignment horizontal="center" vertical="center"/>
      <protection hidden="1"/>
    </xf>
    <xf numFmtId="165" fontId="13" fillId="16" borderId="0" xfId="1" applyNumberFormat="1" applyFont="1" applyFill="1" applyBorder="1" applyAlignment="1" applyProtection="1">
      <protection hidden="1"/>
    </xf>
    <xf numFmtId="3" fontId="239" fillId="18" borderId="106" xfId="0" applyNumberFormat="1" applyFont="1" applyFill="1" applyBorder="1" applyAlignment="1">
      <alignment horizontal="center" vertical="center"/>
    </xf>
    <xf numFmtId="10" fontId="0" fillId="0" borderId="0" xfId="0" applyNumberFormat="1" applyAlignment="1">
      <alignment vertical="center"/>
    </xf>
    <xf numFmtId="14" fontId="0" fillId="0" borderId="0" xfId="0" applyNumberFormat="1" applyAlignment="1">
      <alignment vertical="center"/>
    </xf>
    <xf numFmtId="0" fontId="204" fillId="21" borderId="168" xfId="4" applyFont="1" applyFill="1" applyBorder="1" applyAlignment="1" applyProtection="1">
      <alignment vertical="center"/>
      <protection hidden="1"/>
    </xf>
    <xf numFmtId="0" fontId="204" fillId="21" borderId="168" xfId="0" applyFont="1" applyFill="1" applyBorder="1" applyAlignment="1">
      <alignment vertical="center"/>
    </xf>
    <xf numFmtId="164" fontId="46" fillId="29" borderId="0" xfId="0" applyNumberFormat="1" applyFont="1" applyFill="1" applyBorder="1" applyProtection="1">
      <protection hidden="1"/>
    </xf>
    <xf numFmtId="164" fontId="51" fillId="29" borderId="0" xfId="0" applyNumberFormat="1" applyFont="1" applyFill="1" applyBorder="1" applyProtection="1">
      <protection hidden="1"/>
    </xf>
    <xf numFmtId="9" fontId="0" fillId="0" borderId="0" xfId="0" applyNumberFormat="1" applyAlignment="1">
      <alignment vertical="center"/>
    </xf>
    <xf numFmtId="9" fontId="7" fillId="0" borderId="0" xfId="4" applyNumberFormat="1" applyAlignment="1" applyProtection="1">
      <alignment vertical="center"/>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174" fontId="68" fillId="0" borderId="111" xfId="0" applyNumberFormat="1" applyFont="1" applyBorder="1" applyAlignment="1" applyProtection="1">
      <alignment horizontal="left" vertical="top"/>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3" fontId="38" fillId="6" borderId="126" xfId="0" applyNumberFormat="1" applyFont="1" applyFill="1" applyBorder="1" applyAlignment="1" applyProtection="1">
      <alignment horizontal="center"/>
      <protection hidden="1"/>
    </xf>
    <xf numFmtId="173" fontId="38" fillId="6" borderId="128" xfId="0" applyNumberFormat="1" applyFont="1" applyFill="1" applyBorder="1" applyAlignment="1" applyProtection="1">
      <alignment horizontal="center"/>
      <protection hidden="1"/>
    </xf>
    <xf numFmtId="0" fontId="28" fillId="5" borderId="129" xfId="0" applyFont="1" applyFill="1" applyBorder="1" applyAlignment="1" applyProtection="1">
      <alignment horizontal="left"/>
      <protection hidden="1"/>
    </xf>
    <xf numFmtId="0" fontId="28" fillId="5"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50" fillId="5" borderId="133"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8" xfId="0" applyFont="1" applyFill="1" applyBorder="1" applyAlignment="1" applyProtection="1">
      <alignment horizontal="left"/>
      <protection hidden="1"/>
    </xf>
    <xf numFmtId="0" fontId="28" fillId="5" borderId="119" xfId="0" applyFont="1" applyFill="1" applyBorder="1" applyAlignment="1" applyProtection="1">
      <alignment horizontal="left"/>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51" fillId="9" borderId="115"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6"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7"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2" fillId="5" borderId="125" xfId="0"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0" fontId="3" fillId="6" borderId="126" xfId="0" applyFont="1" applyFill="1" applyBorder="1" applyAlignment="1" applyProtection="1">
      <alignment horizontal="center"/>
      <protection hidden="1"/>
    </xf>
    <xf numFmtId="0" fontId="3" fillId="6" borderId="128"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3" fontId="6" fillId="15" borderId="122" xfId="0" applyNumberFormat="1" applyFont="1" applyFill="1" applyBorder="1" applyAlignment="1" applyProtection="1">
      <alignment horizontal="right"/>
      <protection hidden="1"/>
    </xf>
    <xf numFmtId="3" fontId="6" fillId="15" borderId="124" xfId="0" applyNumberFormat="1" applyFont="1" applyFill="1" applyBorder="1" applyAlignment="1" applyProtection="1">
      <alignment horizontal="right"/>
      <protection hidden="1"/>
    </xf>
    <xf numFmtId="0" fontId="124" fillId="11" borderId="115"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66" fillId="19" borderId="138"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51" fillId="0" borderId="48" xfId="4" applyFont="1" applyBorder="1" applyAlignment="1" applyProtection="1">
      <alignment horizontal="left"/>
      <protection hidden="1"/>
    </xf>
    <xf numFmtId="0" fontId="0" fillId="2" borderId="0" xfId="0" applyFill="1" applyBorder="1" applyAlignment="1" applyProtection="1">
      <alignment horizontal="left"/>
      <protection hidden="1"/>
    </xf>
    <xf numFmtId="0" fontId="71" fillId="19" borderId="136" xfId="0" applyFont="1" applyFill="1" applyBorder="1" applyAlignment="1" applyProtection="1">
      <alignment horizontal="left" vertical="center"/>
      <protection locked="0" hidden="1"/>
    </xf>
    <xf numFmtId="0" fontId="71" fillId="19" borderId="138" xfId="0" applyFont="1" applyFill="1" applyBorder="1" applyAlignment="1" applyProtection="1">
      <alignment horizontal="lef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3" fontId="191" fillId="18" borderId="142" xfId="0" applyNumberFormat="1" applyFont="1" applyFill="1" applyBorder="1" applyAlignment="1" applyProtection="1">
      <alignment horizontal="right" vertical="center"/>
      <protection locked="0"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9" borderId="135" xfId="0" applyFont="1" applyFill="1" applyBorder="1" applyAlignment="1" applyProtection="1">
      <alignment horizontal="left" vertical="center" shrinkToFit="1"/>
      <protection hidden="1"/>
    </xf>
    <xf numFmtId="0" fontId="237" fillId="19" borderId="119" xfId="0" applyFont="1" applyFill="1" applyBorder="1" applyAlignment="1" applyProtection="1">
      <alignment horizontal="left" vertical="center" shrinkToFit="1"/>
      <protection hidden="1"/>
    </xf>
    <xf numFmtId="0" fontId="237"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1" fillId="2" borderId="0" xfId="0" applyFont="1" applyFill="1" applyBorder="1" applyAlignment="1" applyProtection="1">
      <alignment horizontal="center" vertical="center" wrapText="1"/>
      <protection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7" xfId="0" applyFont="1" applyFill="1" applyBorder="1" applyAlignment="1" applyProtection="1">
      <alignment horizontal="left" vertical="center"/>
      <protection locked="0" hidden="1"/>
    </xf>
    <xf numFmtId="0" fontId="193" fillId="2" borderId="0" xfId="0" applyFont="1" applyFill="1" applyBorder="1" applyAlignment="1" applyProtection="1">
      <alignment horizontal="left" vertical="top" wrapText="1"/>
      <protection hidden="1"/>
    </xf>
    <xf numFmtId="0" fontId="242" fillId="2" borderId="0" xfId="0" applyFont="1" applyFill="1" applyBorder="1" applyAlignment="1" applyProtection="1">
      <alignment horizontal="left" vertical="top" wrapText="1"/>
      <protection hidden="1"/>
    </xf>
    <xf numFmtId="38" fontId="61" fillId="31" borderId="143" xfId="0" applyNumberFormat="1" applyFont="1" applyFill="1" applyBorder="1" applyAlignment="1" applyProtection="1">
      <alignment horizontal="center"/>
      <protection hidden="1"/>
    </xf>
    <xf numFmtId="38" fontId="61" fillId="31" borderId="144" xfId="0" applyNumberFormat="1" applyFont="1" applyFill="1" applyBorder="1" applyAlignment="1" applyProtection="1">
      <alignment horizontal="center"/>
      <protection hidden="1"/>
    </xf>
    <xf numFmtId="38" fontId="61" fillId="31" borderId="145"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9" xfId="0" applyFont="1" applyFill="1" applyBorder="1" applyAlignment="1" applyProtection="1">
      <alignment horizontal="center"/>
      <protection hidden="1"/>
    </xf>
    <xf numFmtId="0" fontId="146" fillId="3" borderId="160"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61"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2" xfId="0" applyFont="1" applyFill="1" applyBorder="1" applyAlignment="1" applyProtection="1">
      <alignment horizontal="left"/>
      <protection hidden="1"/>
    </xf>
    <xf numFmtId="0" fontId="169" fillId="9" borderId="163"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61"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64" xfId="0" applyFont="1" applyFill="1" applyBorder="1" applyAlignment="1" applyProtection="1">
      <alignment horizontal="left"/>
      <protection hidden="1"/>
    </xf>
    <xf numFmtId="0" fontId="124" fillId="15" borderId="151"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3" xfId="0" applyFont="1" applyFill="1" applyBorder="1" applyAlignment="1" applyProtection="1">
      <alignment horizontal="left"/>
      <protection hidden="1"/>
    </xf>
    <xf numFmtId="164" fontId="114" fillId="16" borderId="154" xfId="1" applyFont="1" applyFill="1" applyBorder="1" applyAlignment="1" applyProtection="1">
      <alignment horizontal="center"/>
      <protection hidden="1"/>
    </xf>
    <xf numFmtId="164" fontId="114" fillId="16" borderId="155"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1"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1" xfId="0" applyFont="1" applyFill="1" applyBorder="1" applyAlignment="1" applyProtection="1">
      <alignment horizontal="left" vertical="center"/>
      <protection hidden="1"/>
    </xf>
    <xf numFmtId="0" fontId="180" fillId="2" borderId="15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2" fillId="16" borderId="157" xfId="0" applyFont="1" applyFill="1" applyBorder="1" applyAlignment="1" applyProtection="1">
      <alignment horizontal="right"/>
      <protection hidden="1"/>
    </xf>
    <xf numFmtId="0" fontId="242" fillId="16" borderId="158" xfId="0" applyFont="1" applyFill="1" applyBorder="1" applyAlignment="1" applyProtection="1">
      <alignment horizontal="righ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65" xfId="0" applyFont="1" applyFill="1" applyBorder="1" applyAlignment="1" applyProtection="1">
      <alignment horizontal="left"/>
      <protection hidden="1"/>
    </xf>
    <xf numFmtId="0" fontId="45" fillId="9" borderId="166"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46" xfId="3" applyFont="1" applyFill="1" applyBorder="1" applyAlignment="1" applyProtection="1">
      <alignment horizontal="center" vertical="center"/>
      <protection hidden="1"/>
    </xf>
    <xf numFmtId="0" fontId="124" fillId="15" borderId="147" xfId="3" applyFont="1" applyFill="1" applyBorder="1" applyAlignment="1" applyProtection="1">
      <alignment horizontal="center" vertical="center"/>
      <protection hidden="1"/>
    </xf>
    <xf numFmtId="0" fontId="243" fillId="16" borderId="59" xfId="0" applyFont="1" applyFill="1" applyBorder="1" applyAlignment="1" applyProtection="1">
      <alignment horizontal="left"/>
      <protection hidden="1"/>
    </xf>
    <xf numFmtId="0" fontId="243" fillId="16" borderId="0" xfId="0" applyFont="1" applyFill="1" applyBorder="1" applyAlignment="1" applyProtection="1">
      <alignment horizontal="left"/>
      <protection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100" fillId="4" borderId="108" xfId="4"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54" fillId="9" borderId="112" xfId="4" applyFont="1" applyFill="1" applyBorder="1" applyAlignment="1" applyProtection="1">
      <alignment horizontal="center"/>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174" fontId="68" fillId="0" borderId="111"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51" fillId="9" borderId="115"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6"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7" xfId="4" applyFont="1" applyFill="1" applyBorder="1" applyAlignment="1" applyProtection="1">
      <alignment horizontal="center" vertical="center" wrapText="1"/>
      <protection hidden="1"/>
    </xf>
    <xf numFmtId="173" fontId="38" fillId="6" borderId="126" xfId="4" applyNumberFormat="1" applyFont="1" applyFill="1" applyBorder="1" applyAlignment="1" applyProtection="1">
      <alignment horizontal="center"/>
      <protection hidden="1"/>
    </xf>
    <xf numFmtId="173" fontId="38" fillId="6" borderId="128"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3" fillId="6" borderId="126"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0" fontId="2" fillId="2" borderId="0" xfId="4" applyFont="1" applyFill="1" applyAlignment="1" applyProtection="1">
      <alignment horizontal="left" vertical="top" wrapText="1"/>
      <protection hidden="1"/>
    </xf>
    <xf numFmtId="0" fontId="3" fillId="6" borderId="126" xfId="4" applyFont="1" applyFill="1" applyBorder="1" applyAlignment="1" applyProtection="1">
      <alignment horizontal="center"/>
      <protection hidden="1"/>
    </xf>
    <xf numFmtId="0" fontId="3" fillId="6" borderId="128"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0" fontId="11" fillId="5" borderId="118"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2" fillId="5" borderId="122" xfId="4" applyFont="1" applyFill="1" applyBorder="1" applyAlignment="1" applyProtection="1">
      <alignment horizontal="center"/>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50" fillId="5" borderId="133"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0" fontId="63" fillId="2" borderId="0" xfId="4" applyFont="1" applyFill="1" applyAlignment="1" applyProtection="1">
      <alignment horizontal="center" wrapText="1"/>
      <protection hidden="1"/>
    </xf>
    <xf numFmtId="0" fontId="35" fillId="3" borderId="131" xfId="4" applyFont="1" applyFill="1" applyBorder="1" applyAlignment="1" applyProtection="1">
      <alignment horizontal="left"/>
      <protection hidden="1"/>
    </xf>
    <xf numFmtId="0" fontId="35" fillId="3" borderId="132" xfId="4" applyFont="1" applyFill="1" applyBorder="1" applyAlignment="1" applyProtection="1">
      <alignment horizontal="left"/>
      <protection hidden="1"/>
    </xf>
    <xf numFmtId="0" fontId="11" fillId="5" borderId="129"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15"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2" xfId="4" applyFont="1" applyFill="1" applyBorder="1" applyAlignment="1" applyProtection="1">
      <alignment horizontal="center"/>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5" fillId="2" borderId="0" xfId="4" applyFont="1" applyFill="1" applyBorder="1" applyAlignment="1" applyProtection="1">
      <alignment horizontal="center" vertical="center" wrapText="1"/>
      <protection hidden="1"/>
    </xf>
    <xf numFmtId="0" fontId="245" fillId="2" borderId="5" xfId="4" applyFont="1" applyFill="1" applyBorder="1" applyAlignment="1" applyProtection="1">
      <alignment horizontal="center" vertical="center"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2"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244" fillId="19" borderId="135" xfId="4" applyFont="1" applyFill="1" applyBorder="1" applyAlignment="1" applyProtection="1">
      <alignment horizontal="left" vertical="center" shrinkToFit="1"/>
      <protection hidden="1"/>
    </xf>
    <xf numFmtId="0" fontId="244" fillId="19" borderId="119" xfId="4" applyFont="1" applyFill="1" applyBorder="1" applyAlignment="1" applyProtection="1">
      <alignment horizontal="left" vertical="center" shrinkToFit="1"/>
      <protection hidden="1"/>
    </xf>
    <xf numFmtId="0" fontId="244" fillId="19" borderId="107" xfId="4" applyFont="1" applyFill="1" applyBorder="1" applyAlignment="1" applyProtection="1">
      <alignment horizontal="left" vertical="center" shrinkToFit="1"/>
      <protection hidden="1"/>
    </xf>
    <xf numFmtId="0" fontId="71" fillId="19" borderId="136" xfId="4" applyFont="1" applyFill="1" applyBorder="1" applyAlignment="1" applyProtection="1">
      <alignment horizontal="left" vertical="center"/>
      <protection locked="0" hidden="1"/>
    </xf>
    <xf numFmtId="0" fontId="71" fillId="19" borderId="138" xfId="4" applyFont="1" applyFill="1" applyBorder="1" applyAlignment="1" applyProtection="1">
      <alignment horizontal="left" vertical="center"/>
      <protection locked="0" hidden="1"/>
    </xf>
    <xf numFmtId="4" fontId="191" fillId="18" borderId="139" xfId="4" applyNumberFormat="1" applyFont="1" applyFill="1" applyBorder="1" applyAlignment="1" applyProtection="1">
      <alignment horizontal="right" vertical="center"/>
      <protection locked="0" hidden="1"/>
    </xf>
    <xf numFmtId="4" fontId="191" fillId="18" borderId="140" xfId="4" applyNumberFormat="1" applyFont="1" applyFill="1" applyBorder="1" applyAlignment="1" applyProtection="1">
      <alignment horizontal="right" vertical="center"/>
      <protection locked="0" hidden="1"/>
    </xf>
    <xf numFmtId="4" fontId="191" fillId="18" borderId="141" xfId="4" applyNumberFormat="1" applyFont="1" applyFill="1" applyBorder="1" applyAlignment="1" applyProtection="1">
      <alignment horizontal="right" vertical="center"/>
      <protection locked="0" hidden="1"/>
    </xf>
    <xf numFmtId="4" fontId="191" fillId="18" borderId="142"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1" fillId="2" borderId="0" xfId="4" applyFont="1" applyFill="1" applyAlignment="1" applyProtection="1">
      <alignment horizontal="justify" vertical="top" wrapText="1"/>
      <protection hidden="1"/>
    </xf>
    <xf numFmtId="0" fontId="66" fillId="19" borderId="136" xfId="4" applyFont="1" applyFill="1" applyBorder="1" applyAlignment="1" applyProtection="1">
      <alignment horizontal="left" vertical="center" shrinkToFit="1"/>
      <protection locked="0" hidden="1"/>
    </xf>
    <xf numFmtId="0" fontId="66" fillId="19" borderId="137" xfId="4" applyFont="1" applyFill="1" applyBorder="1" applyAlignment="1" applyProtection="1">
      <alignment horizontal="left" vertical="center" shrinkToFit="1"/>
      <protection locked="0" hidden="1"/>
    </xf>
    <xf numFmtId="0" fontId="66" fillId="19" borderId="138"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13" fillId="18" borderId="6" xfId="4" applyFont="1" applyFill="1" applyBorder="1" applyAlignment="1" applyProtection="1">
      <alignment horizontal="center" vertic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198" fillId="11" borderId="0" xfId="4" applyNumberFormat="1" applyFont="1" applyFill="1" applyAlignment="1" applyProtection="1">
      <alignment horizontal="left"/>
      <protection hidden="1"/>
    </xf>
    <xf numFmtId="9" fontId="246" fillId="2" borderId="0" xfId="5" applyFont="1" applyFill="1" applyBorder="1" applyAlignment="1" applyProtection="1">
      <alignment horizontal="righ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8"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124" fillId="15" borderId="77" xfId="4" applyFont="1" applyFill="1" applyBorder="1" applyAlignment="1" applyProtection="1">
      <alignment horizontal="center" vertical="center" wrapText="1"/>
      <protection hidden="1"/>
    </xf>
    <xf numFmtId="0" fontId="124" fillId="15" borderId="148" xfId="4" applyFont="1" applyFill="1" applyBorder="1" applyAlignment="1" applyProtection="1">
      <alignment horizontal="center" vertical="center" wrapText="1"/>
      <protection hidden="1"/>
    </xf>
    <xf numFmtId="0" fontId="124" fillId="15" borderId="149" xfId="4" applyFont="1" applyFill="1" applyBorder="1" applyAlignment="1" applyProtection="1">
      <alignment horizontal="center" vertical="center" wrapText="1"/>
      <protection hidden="1"/>
    </xf>
    <xf numFmtId="0" fontId="124" fillId="15" borderId="150"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243" fillId="16" borderId="59" xfId="4" applyFont="1" applyFill="1" applyBorder="1" applyAlignment="1" applyProtection="1">
      <alignment horizontal="left"/>
      <protection hidden="1"/>
    </xf>
    <xf numFmtId="0" fontId="243"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1" borderId="143" xfId="4" applyNumberFormat="1" applyFont="1" applyFill="1" applyBorder="1" applyAlignment="1" applyProtection="1">
      <alignment horizontal="center"/>
      <protection hidden="1"/>
    </xf>
    <xf numFmtId="38" fontId="61" fillId="31" borderId="144" xfId="4" applyNumberFormat="1" applyFont="1" applyFill="1" applyBorder="1" applyAlignment="1" applyProtection="1">
      <alignment horizontal="center"/>
      <protection hidden="1"/>
    </xf>
    <xf numFmtId="38" fontId="61" fillId="31" borderId="145"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47" fillId="2" borderId="76" xfId="4" applyFont="1" applyFill="1" applyBorder="1" applyAlignment="1" applyProtection="1">
      <alignment horizontal="left" vertical="center"/>
      <protection hidden="1"/>
    </xf>
    <xf numFmtId="164" fontId="114" fillId="16" borderId="154" xfId="2" applyFont="1" applyFill="1" applyBorder="1" applyAlignment="1" applyProtection="1">
      <alignment horizontal="center"/>
      <protection hidden="1"/>
    </xf>
    <xf numFmtId="164" fontId="114" fillId="16" borderId="155" xfId="2" applyFont="1" applyFill="1" applyBorder="1" applyAlignment="1" applyProtection="1">
      <alignment horizontal="center"/>
      <protection hidden="1"/>
    </xf>
    <xf numFmtId="0" fontId="219" fillId="2" borderId="151" xfId="4" applyFont="1" applyFill="1" applyBorder="1" applyAlignment="1" applyProtection="1">
      <alignment horizontal="left" vertical="center"/>
      <protection hidden="1"/>
    </xf>
    <xf numFmtId="0" fontId="219" fillId="2" borderId="0" xfId="4" applyFont="1" applyFill="1" applyBorder="1" applyAlignment="1" applyProtection="1">
      <alignment horizontal="left" vertical="center"/>
      <protection hidden="1"/>
    </xf>
    <xf numFmtId="0" fontId="180" fillId="2" borderId="151" xfId="4" applyFont="1" applyFill="1" applyBorder="1" applyAlignment="1" applyProtection="1">
      <alignment horizontal="left" vertical="center"/>
      <protection hidden="1"/>
    </xf>
    <xf numFmtId="0" fontId="180" fillId="2" borderId="156"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1"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45" fillId="9" borderId="165" xfId="4" applyFont="1" applyFill="1" applyBorder="1" applyAlignment="1" applyProtection="1">
      <alignment horizontal="left"/>
      <protection hidden="1"/>
    </xf>
    <xf numFmtId="0" fontId="45" fillId="9" borderId="166" xfId="4" applyFont="1" applyFill="1" applyBorder="1" applyAlignment="1" applyProtection="1">
      <alignment horizontal="left"/>
      <protection hidden="1"/>
    </xf>
    <xf numFmtId="0" fontId="242" fillId="16" borderId="157" xfId="4" applyFont="1" applyFill="1" applyBorder="1" applyAlignment="1" applyProtection="1">
      <alignment horizontal="right"/>
      <protection hidden="1"/>
    </xf>
    <xf numFmtId="0" fontId="242" fillId="16" borderId="158" xfId="4" applyFont="1" applyFill="1" applyBorder="1" applyAlignment="1" applyProtection="1">
      <alignment horizontal="righ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47" fillId="9" borderId="143" xfId="4" applyFont="1" applyFill="1" applyBorder="1" applyAlignment="1" applyProtection="1">
      <alignment horizontal="left"/>
      <protection hidden="1"/>
    </xf>
    <xf numFmtId="0" fontId="47" fillId="9" borderId="145" xfId="4" applyFont="1" applyFill="1" applyBorder="1" applyAlignment="1" applyProtection="1">
      <alignment horizontal="left"/>
      <protection hidden="1"/>
    </xf>
    <xf numFmtId="2" fontId="140" fillId="16" borderId="152" xfId="4" applyNumberFormat="1" applyFont="1" applyFill="1" applyBorder="1" applyAlignment="1" applyProtection="1">
      <alignment horizontal="left"/>
      <protection hidden="1"/>
    </xf>
    <xf numFmtId="0" fontId="140" fillId="16" borderId="161" xfId="4" applyFont="1" applyFill="1" applyBorder="1" applyAlignment="1" applyProtection="1">
      <alignment horizontal="left"/>
      <protection hidden="1"/>
    </xf>
    <xf numFmtId="0" fontId="45" fillId="16" borderId="14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88" fillId="16" borderId="143" xfId="4" applyFont="1" applyFill="1" applyBorder="1" applyAlignment="1" applyProtection="1">
      <alignment horizontal="center" vertical="center"/>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78" fillId="9" borderId="143"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76" fillId="2" borderId="164" xfId="4" applyFont="1" applyFill="1" applyBorder="1" applyAlignment="1" applyProtection="1">
      <alignment horizontal="left"/>
      <protection hidden="1"/>
    </xf>
    <xf numFmtId="0" fontId="169" fillId="9" borderId="162" xfId="4" applyFont="1" applyFill="1" applyBorder="1" applyAlignment="1" applyProtection="1">
      <alignment horizontal="left"/>
      <protection hidden="1"/>
    </xf>
    <xf numFmtId="0" fontId="169" fillId="9" borderId="163" xfId="4" applyFont="1" applyFill="1" applyBorder="1" applyAlignment="1" applyProtection="1">
      <alignment horizontal="left"/>
      <protection hidden="1"/>
    </xf>
    <xf numFmtId="0" fontId="169" fillId="9" borderId="152"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146" fillId="3" borderId="159" xfId="4" applyFont="1" applyFill="1" applyBorder="1" applyAlignment="1" applyProtection="1">
      <alignment horizontal="center"/>
      <protection hidden="1"/>
    </xf>
    <xf numFmtId="0" fontId="146" fillId="3" borderId="160" xfId="4" applyFont="1" applyFill="1" applyBorder="1" applyAlignment="1" applyProtection="1">
      <alignment horizontal="center"/>
      <protection hidden="1"/>
    </xf>
    <xf numFmtId="0" fontId="72" fillId="2" borderId="143" xfId="4" applyFont="1" applyFill="1" applyBorder="1" applyAlignment="1" applyProtection="1">
      <alignment horizontal="left"/>
      <protection hidden="1"/>
    </xf>
    <xf numFmtId="0" fontId="72" fillId="2" borderId="145"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3" xfId="4" applyFont="1" applyFill="1" applyBorder="1" applyAlignment="1" applyProtection="1">
      <alignment horizontal="left"/>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3" xfId="4" applyFont="1" applyFill="1" applyBorder="1" applyAlignment="1" applyProtection="1">
      <alignment horizontal="left" vertical="center"/>
      <protection hidden="1"/>
    </xf>
    <xf numFmtId="0" fontId="55" fillId="9" borderId="161" xfId="4" applyFont="1" applyFill="1" applyBorder="1" applyAlignment="1" applyProtection="1">
      <alignment horizontal="left" vertical="center"/>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8">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color indexed="14"/>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b/>
        <i val="0"/>
        <condense val="0"/>
        <extend val="0"/>
        <color indexed="14"/>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33" name="Rectangle 18">
          <a:extLst>
            <a:ext uri="{FF2B5EF4-FFF2-40B4-BE49-F238E27FC236}">
              <a16:creationId xmlns:a16="http://schemas.microsoft.com/office/drawing/2014/main" id="{FFD5D551-ABEE-4849-AAC1-CC0602EA5C91}"/>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F785BC34-2508-4ACD-A716-4DCB5F7A77D7}"/>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F480907D-421E-46FB-B336-8F24435F26CD}"/>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6AB5CB7F-0CA7-4447-B4BD-AD05DCA3DBC9}"/>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2347" name="AutoShape 4">
          <a:extLst>
            <a:ext uri="{FF2B5EF4-FFF2-40B4-BE49-F238E27FC236}">
              <a16:creationId xmlns:a16="http://schemas.microsoft.com/office/drawing/2014/main" id="{1166A420-F1B1-4FAD-8DA0-7C7EB28A28E6}"/>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5FCBA905-A61C-41ED-AAF3-03D38252DA8D}"/>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1F9C32A3-43AD-44EC-9912-0FAB60A3563F}"/>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C367944F-92E1-4725-9BBC-6F7D70554EE0}"/>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A839F54A-CB09-44D3-8918-F0DBFD47A53B}"/>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96F2E75F-79E2-4AA3-87E9-3203BBE606C8}"/>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5D9CA6A8-E393-4B33-94C3-4A061F297EB2}"/>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ACE66024-1EBC-45C5-8A74-AF780679D2E2}"/>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2AEAD1DC-DC34-4488-B2E9-5A51957FF12D}"/>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1A843B74-2D84-4DCA-B4F9-3908F3A09AC3}"/>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C3748C63-91DC-402D-819B-D8FD0FBF7CAE}"/>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44754DB1-3213-41CA-AE12-E5B2BD9B5F02}"/>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1295C8A3-0AAC-4862-BA83-D703F0C87B97}"/>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FB6B37A4-6E6A-4142-8041-252E559E4B16}"/>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9BDA965C-DC79-4FC6-9100-023C36A9C5D7}"/>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37861725-6160-44C7-BCFA-659BCA435D07}"/>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94E1AC49-E523-41FB-BDCF-FA93539388B9}"/>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94761E4D-8F63-4840-AAF7-A095BB969EBF}"/>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25AC921B-8726-41F9-B487-5599FA456620}"/>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A8115750-B46D-4DFE-B452-4057EA764C25}"/>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40C3FC35-2093-4437-BD81-3AD009FE4594}"/>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24F67BF1-ED70-49A6-B299-0E9806EEA696}"/>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6A92C8D7-D14C-451A-998B-254B134E3F6B}"/>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35E5EB57-50B6-473D-A045-8A80EF36B0BF}"/>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9E812AB1-F1E6-4498-BAC0-E1C17ACED0CB}"/>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C3EAF85B-6C76-4000-BFEA-19EF839837B2}"/>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6B5C1E98-2DCE-4634-B36A-DCFC1C345EE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98E8F686-54AE-439E-8F55-5C4FD90A264D}"/>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060CB0B2-ABA7-4E53-8D23-E42053CF8298}"/>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F642FDB4-E9F7-4D25-BECA-9BA9C01D2B59}"/>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2F9975B8-0118-460F-A1EE-CA0EA3DE63A9}"/>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2378" name="AutoShape 66">
          <a:extLst>
            <a:ext uri="{FF2B5EF4-FFF2-40B4-BE49-F238E27FC236}">
              <a16:creationId xmlns:a16="http://schemas.microsoft.com/office/drawing/2014/main" id="{323C2AA5-DA23-451B-A984-2CD4EA631F34}"/>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2379" name="AutoShape 67">
          <a:extLst>
            <a:ext uri="{FF2B5EF4-FFF2-40B4-BE49-F238E27FC236}">
              <a16:creationId xmlns:a16="http://schemas.microsoft.com/office/drawing/2014/main" id="{C7F37F9D-718E-486A-9370-B08ADB08FC20}"/>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95B1F1CF-BFE9-4C69-9C7C-F1B2A1C1A322}"/>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D81A0C79-9477-48BD-A97D-C5C86A5A5B8D}"/>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CA2CF33E-3398-4CBA-ACF1-7131F1343C3C}"/>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1CAB13BC-01E4-4B28-91D6-318488447437}"/>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0B13EF16-EDBE-4CF4-B1C4-1BCCB583618A}"/>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07D93FC3-BFFC-4AE4-ACE6-5D88E4388AE4}"/>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1C17AEAF-571F-475B-887E-E4F8E568B69E}"/>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EE48CFA4-0CB1-4760-A1A8-553076EFC8B7}"/>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B2A7C535-41FF-4CF9-8498-BDDA870603F6}"/>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81842063-AB36-48A4-9DD1-953056A0A838}"/>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DB8DF3BC-BD64-44A6-9D5A-4E30E593954C}"/>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17B0D5FB-59C9-4B94-8F6E-8349B9236234}"/>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A4A46A8D-1DE3-4AFE-88D1-5DA97FD1A4F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3F93537A-3497-43F9-82E0-C3E7D017C1F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7EF3079C-1CA5-487E-8319-07208A2B3C92}"/>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FEE27D5A-3789-4AFD-AF6E-03F64F4F5B50}"/>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1500D92F-02A7-4D1C-82A8-665AAC82DAE4}"/>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DA3C9658-CB55-4B09-B5D5-38F5246DB5C7}"/>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5EA3C86C-75B8-4B47-B5E8-A876373A080E}"/>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E54E7627-8B78-41C6-B16C-87BCBF0C0563}"/>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BD73BBCD-B056-41F4-B2D7-1B5E861D4B0A}"/>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1200150</xdr:colOff>
      <xdr:row>6</xdr:row>
      <xdr:rowOff>0</xdr:rowOff>
    </xdr:from>
    <xdr:to>
      <xdr:col>20</xdr:col>
      <xdr:colOff>0</xdr:colOff>
      <xdr:row>6</xdr:row>
      <xdr:rowOff>196850</xdr:rowOff>
    </xdr:to>
    <xdr:sp macro="" textlink="">
      <xdr:nvSpPr>
        <xdr:cNvPr id="173313" name="Text Box 35">
          <a:extLst>
            <a:ext uri="{FF2B5EF4-FFF2-40B4-BE49-F238E27FC236}">
              <a16:creationId xmlns:a16="http://schemas.microsoft.com/office/drawing/2014/main" id="{F75DCD1F-31E6-4E6A-A0F0-758E56A228A4}"/>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7B141CF7-36B5-43A6-8217-EAAFC4BD45BB}"/>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67FDA8A3-B4EE-42D7-87F8-4C78D2DEF0CD}"/>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DE35A4C9-7595-4660-848F-B9A4ADE013AF}"/>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DE74B409-43D7-4EF1-9674-4620E1AC943B}"/>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5C901FCE-3561-435E-996A-9C6A2F852D74}"/>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0FFFADFC-A133-4BE8-9E95-D597A9DBA2E2}"/>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6E9CD4AB-3EF5-46BA-B66B-BB3FF5FC0DB5}"/>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95196</xdr:colOff>
      <xdr:row>55</xdr:row>
      <xdr:rowOff>112776</xdr:rowOff>
    </xdr:from>
    <xdr:to>
      <xdr:col>19</xdr:col>
      <xdr:colOff>27093</xdr:colOff>
      <xdr:row>58</xdr:row>
      <xdr:rowOff>202406</xdr:rowOff>
    </xdr:to>
    <xdr:sp macro="" textlink="">
      <xdr:nvSpPr>
        <xdr:cNvPr id="35" name="Text Box 86">
          <a:extLst>
            <a:ext uri="{FF2B5EF4-FFF2-40B4-BE49-F238E27FC236}">
              <a16:creationId xmlns:a16="http://schemas.microsoft.com/office/drawing/2014/main" id="{F8C4A57C-59C0-4038-9923-452AF32C387C}"/>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41171929-933F-4B80-8163-503679573ABC}"/>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9ED3ADAB-9FB6-43D3-BB5A-A077FAB68B96}"/>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D286C9EC-7F5F-4D70-9AC8-833A2067668A}"/>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8D470414-EC3E-4A6B-9432-D27889CFB3F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A0D84370-320B-43A6-8D5A-776B845EEBA2}"/>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AA518B1D-0DD8-46BF-B1FE-C24B04369D55}"/>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D2012575-F19C-4814-BCF4-433A599B36D8}"/>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DA04E1BB-5662-4F26-B9D0-C4494E804AB8}"/>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FF18B923-05DD-404A-A421-C9ED4F33D9A9}"/>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AABE9C90-ADE4-4772-817B-259E4D7C9522}"/>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F32B5522-7075-427C-B149-4424689B75D1}"/>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E716423E-7523-4E78-A2D9-8416F597812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31831887-E192-4C88-9CA4-13EBC13CE5C4}"/>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DB49C919-C3FB-4D10-905F-405B88E3312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FF29CD0E-366B-4034-B899-0F85D44D6D9C}"/>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6E3EF881-5ADF-4290-A819-CF5595145CC1}"/>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EA5FEF1A-88CD-4500-AD17-F0D408106D15}"/>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F5177B69-955B-4BF3-AD8C-C3E382DA4B4B}"/>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F9DBAF7A-5268-4B89-AE9C-CB5AD59099C7}"/>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9918B949-A87D-4F2E-A663-0AA791352146}"/>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9734C47B-C2D0-41B9-9A5F-890D312D440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66755DBD-9B40-4640-BD3C-5B6F58B500F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4DD10843-88A7-4127-AC34-7B3BB2FD3FA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87CBC9BB-BBB1-44FC-BEA8-41C95FCA4DB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C4352AFC-56DE-4077-9BDD-2ABD78B6A34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73347" name="Picture 86" descr="C:\Users\mumtaz\Downloads\95282942-flat-vector-exotic-cartoon-three-wheeler-tuk-tuk-rickshaw-side-view-of-transport-vehicle-.jpg">
          <a:extLst>
            <a:ext uri="{FF2B5EF4-FFF2-40B4-BE49-F238E27FC236}">
              <a16:creationId xmlns:a16="http://schemas.microsoft.com/office/drawing/2014/main" id="{3DA067FD-C017-4D1C-B3C4-BB14757A4D5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EE7E9BED-11A4-4A1B-8D61-E8852FECA0E9}"/>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73349" name="Picture 94" descr="C:\Users\mumtaz\Desktop\ATI Logo\Amana-Logos-04.png">
          <a:extLst>
            <a:ext uri="{FF2B5EF4-FFF2-40B4-BE49-F238E27FC236}">
              <a16:creationId xmlns:a16="http://schemas.microsoft.com/office/drawing/2014/main" id="{1A489D05-6C8A-4347-8CCA-189E66318DC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EEED53B9-F743-4F91-9057-74842043FFBF}"/>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9C5F29E4-A974-4B14-93AE-1DB09EE52DAD}"/>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F4A05583-E5AD-418F-A474-50EDCFEA8259}"/>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21F9EF1F-4266-4743-8F69-A50CAAADD9E5}"/>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5CFCACAE-4037-4F0E-9AFA-40AF8CFDFEEB}"/>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F9F828D5-9AF4-48B2-A762-F5366F36FF34}"/>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7254689D-80CC-470F-A85B-694CCA71E0D3}"/>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747F1FE4-7801-4F59-BFB5-647FEB0AD0A6}"/>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95996F66-896E-4CF8-82C3-95BA32CA4795}"/>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1FB1FC9A-6C22-47D3-987C-98860CDDB6EC}"/>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55424CE5-9611-4127-976B-DC710B44EF4F}"/>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61" name="Rectangle 18">
          <a:extLst>
            <a:ext uri="{FF2B5EF4-FFF2-40B4-BE49-F238E27FC236}">
              <a16:creationId xmlns:a16="http://schemas.microsoft.com/office/drawing/2014/main" id="{75FB9658-18D4-4E8C-AD90-EC1E206BD78D}"/>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12E792C3-8496-4FF2-8A11-E3B9C0F571E3}"/>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1475E4BC-896A-42E1-8036-9DF6D4066DF4}"/>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1E2FF2FB-6966-4216-9C89-3C977CEEB059}"/>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5419" name="AutoShape 4">
          <a:extLst>
            <a:ext uri="{FF2B5EF4-FFF2-40B4-BE49-F238E27FC236}">
              <a16:creationId xmlns:a16="http://schemas.microsoft.com/office/drawing/2014/main" id="{E540BF85-3F54-490D-97E5-3A715FCAC52D}"/>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08AD1FE1-4971-4790-86DE-BBA83582EC0C}"/>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70D2AF77-A93D-4752-9491-21DF9B0A42A2}"/>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F75B436B-371B-4C9F-A4FE-F88FB4397568}"/>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9487C9B6-78A6-463E-B68B-7F6D69B7A624}"/>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188BCDE3-3813-4002-BC7D-F82423A47099}"/>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922F366B-BFE0-4FA4-B4BF-F525EC32081A}"/>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BAF0405C-1647-4FFD-9000-F85ADD2706BC}"/>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C79D23D8-D16F-47F7-87D3-8EE2C0B4D187}"/>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E56521C4-1BC7-40B6-A14F-F657932C273F}"/>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FE28F85E-3F1B-4B2E-9F0A-844C43A69CE2}"/>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E6F0135B-DC5F-422A-8074-6DD159FDEC1B}"/>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6D34BDDE-F84F-4ABC-B983-9CB5EAF646BE}"/>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537CCE6B-41B8-4225-93BE-EC2A3FD9FDDA}"/>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99137165-7F3A-4A03-8DFF-316B654514BD}"/>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9531C748-E602-4ED8-8771-B62F60CA0877}"/>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33FDD0BB-7DD0-41F6-88B4-DB30B76F17A4}"/>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177DB192-1654-41C5-964E-B8D7C13E3F33}"/>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324A487A-0783-4958-B165-3CCC58DF1BC4}"/>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2A7B173C-F967-4538-B4DB-D0EBA44ECCF7}"/>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6CD56C88-E419-4659-92A5-61A76D59E4E5}"/>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22D39272-396D-4531-877C-C10385735952}"/>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7A635EB5-84A5-441D-9A5F-1477034CDA4A}"/>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3E6D88E0-131F-4E0E-B68D-438C461FECBE}"/>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6082E75F-2CA2-4FCB-82BD-4D8609499F46}"/>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CBBA206D-C63B-48E8-91D5-91C4A473BEB7}"/>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1AF303DB-B065-4A84-8AA2-1857BB72704D}"/>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1AEB249C-2E0F-4545-B628-30C23BFB5730}"/>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CBEBD8E0-7681-4030-81B1-782906513BC7}"/>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091C2DEA-9A9A-438A-A2D5-2CF6A4A982CE}"/>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2DB298CD-E115-4404-906F-8A42BDEB4F3A}"/>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5450" name="AutoShape 66">
          <a:extLst>
            <a:ext uri="{FF2B5EF4-FFF2-40B4-BE49-F238E27FC236}">
              <a16:creationId xmlns:a16="http://schemas.microsoft.com/office/drawing/2014/main" id="{A7B949FA-668F-4DDA-A1A1-7556880ABE44}"/>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5451" name="AutoShape 67">
          <a:extLst>
            <a:ext uri="{FF2B5EF4-FFF2-40B4-BE49-F238E27FC236}">
              <a16:creationId xmlns:a16="http://schemas.microsoft.com/office/drawing/2014/main" id="{4BAD98C8-2619-451E-99A1-38F9CC8253BF}"/>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94200505-6466-4838-BF42-47EC86AF806A}"/>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393C93AD-B6E3-4CAF-9451-AC46BE4AD220}"/>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37690EFC-B757-45A0-93EE-704FDA5909F3}"/>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50162734-BD71-438D-B080-33025B04224D}"/>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E4EBEE5A-C2B3-4515-A536-BB8D88D584CD}"/>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22B19F40-4C4F-4364-A49D-43B4B30C117F}"/>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00C2D398-D323-4580-AD6F-665F743BE3CE}"/>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8544E8FB-BFB4-4FB9-881C-35B94046935E}"/>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D04FF84E-E6A7-4A64-9A10-6FD3CDC45313}"/>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C97CB03F-D4C6-467D-85C9-828078F1102C}"/>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537FE5AA-A326-424D-A055-7C8903D5166B}"/>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9D4FBAA6-9772-4BE1-AD88-C716337AC854}"/>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EADAD901-FD33-4796-95F2-82A5AB0E32B3}"/>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122A10D1-7CFC-4DEA-B3BF-A01A2CF85C5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AAC20E2B-0AB3-49E2-9721-A3559E23FBD8}"/>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3216C38C-4C50-492F-9814-ED0B41E3BDE8}"/>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D0045284-2507-470D-B931-9DAA2CEBE81F}"/>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BC747B31-ADC3-4AE4-AD1B-24A49D1E8106}"/>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125CAE66-BA1D-430D-8BFD-09D0A93611D1}"/>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112" name="Picture 85" descr="C:\Users\mumtaz\Downloads\motorcycle-types-objects-icons-set-vector-6122963.jpg">
          <a:extLst>
            <a:ext uri="{FF2B5EF4-FFF2-40B4-BE49-F238E27FC236}">
              <a16:creationId xmlns:a16="http://schemas.microsoft.com/office/drawing/2014/main" id="{3F7B5EE0-DAEA-4D50-B3F9-3E7F77D2D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113" name="Picture 84" descr="C:\Users\mumtaz\Desktop\ATI Logo\Amana-Logos-04.png">
          <a:extLst>
            <a:ext uri="{FF2B5EF4-FFF2-40B4-BE49-F238E27FC236}">
              <a16:creationId xmlns:a16="http://schemas.microsoft.com/office/drawing/2014/main" id="{D8395D48-EF34-4E1E-AFF9-638EDC3FFA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E9397F5E-181F-41F4-9EC6-FE1A7C2E0630}"/>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F5B5EC33-7AC7-4AA1-8BC4-9BB625A8C200}"/>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8521CA89-5F7C-4117-96EC-27B9BCAAFABB}"/>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A85E19CF-B512-4030-86FB-C7009DE898F2}"/>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4B28F919-54D8-44B6-A4E6-DBE2AB79F59F}"/>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E47C0D50-5D17-462A-8CD9-C81D97494F51}"/>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3BAC5B96-C188-4A2C-9334-57661A487BB9}"/>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E859CAD7-237C-4FB8-AD43-B055BCA8C8CF}"/>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E494819F-A907-4CD4-A9F3-E540788A7CC6}"/>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E4D7B0EE-56AE-4CA9-A703-4C43ACDC72AC}"/>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C3E044DF-2382-4721-8B06-44E4ECBE0128}"/>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EBFAB056-3F73-4FB9-9A03-0ACF2E4A712C}"/>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6.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08984375" defaultRowHeight="24.9" customHeight="1" x14ac:dyDescent="0.25"/>
  <cols>
    <col min="1" max="1" width="13.453125" style="248" customWidth="1"/>
    <col min="2" max="2" width="9.08984375" style="248"/>
    <col min="3" max="3" width="6.08984375" style="248" customWidth="1"/>
    <col min="4" max="4" width="11.36328125" style="248" customWidth="1"/>
    <col min="5" max="5" width="5" style="248" customWidth="1"/>
    <col min="6" max="6" width="5.6328125" style="248" customWidth="1"/>
    <col min="7" max="7" width="23.08984375" style="248" customWidth="1"/>
    <col min="8" max="8" width="9.08984375" style="248"/>
    <col min="9" max="9" width="10.453125" style="248" customWidth="1"/>
    <col min="10" max="10" width="41.08984375" style="248" customWidth="1"/>
    <col min="11" max="12" width="9.08984375" style="248"/>
    <col min="13" max="13" width="1.90625" style="248" customWidth="1"/>
    <col min="14" max="14" width="17.453125" style="248" customWidth="1"/>
    <col min="15" max="15" width="20.6328125" style="248" customWidth="1"/>
    <col min="16" max="251" width="9.08984375" style="248"/>
    <col min="252" max="252" width="10.453125" style="248" bestFit="1" customWidth="1"/>
    <col min="253" max="16384" width="9.08984375" style="248"/>
  </cols>
  <sheetData>
    <row r="1" spans="1:254" ht="24.9" customHeight="1" thickBot="1" x14ac:dyDescent="0.35">
      <c r="A1" s="1519" t="s">
        <v>218</v>
      </c>
      <c r="B1" s="1520"/>
      <c r="C1" s="1520"/>
      <c r="D1" s="1521"/>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4.9"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4.9" customHeight="1" thickBot="1" x14ac:dyDescent="0.35">
      <c r="A5" s="218" t="s">
        <v>207</v>
      </c>
      <c r="C5" s="1523" t="str">
        <f>H5</f>
        <v/>
      </c>
      <c r="D5" s="1524"/>
      <c r="E5" s="1525"/>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4.9" customHeight="1" thickBot="1" x14ac:dyDescent="0.3">
      <c r="G6" s="358"/>
      <c r="H6" s="358"/>
      <c r="I6" s="358"/>
      <c r="J6" s="572" t="s">
        <v>417</v>
      </c>
      <c r="K6" s="358"/>
      <c r="N6" s="259" t="s">
        <v>241</v>
      </c>
      <c r="O6" s="217" t="s">
        <v>179</v>
      </c>
      <c r="Q6" s="248">
        <f t="shared" ref="Q6:Q18" si="0">Q5+1</f>
        <v>3</v>
      </c>
    </row>
    <row r="7" spans="1:254" ht="24.9"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22">
        <f>I3</f>
        <v>45413</v>
      </c>
      <c r="IS7" s="1522"/>
      <c r="IT7" s="1522"/>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61">
        <f ca="1">TODAY()</f>
        <v>45351</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4.9" customHeight="1" thickBot="1" x14ac:dyDescent="0.35">
      <c r="A27" s="253" t="s">
        <v>217</v>
      </c>
      <c r="F27" s="251" t="s">
        <v>78</v>
      </c>
      <c r="G27" s="358"/>
      <c r="H27" s="358"/>
      <c r="I27" s="358"/>
      <c r="J27" s="572" t="s">
        <v>418</v>
      </c>
      <c r="K27" s="358"/>
      <c r="N27" s="259" t="s">
        <v>256</v>
      </c>
      <c r="O27" s="217" t="s">
        <v>199</v>
      </c>
      <c r="Q27" s="248">
        <f t="shared" si="2"/>
        <v>24</v>
      </c>
    </row>
    <row r="28" spans="1:17" ht="24.9" customHeight="1" thickBot="1" x14ac:dyDescent="0.3">
      <c r="G28" s="358"/>
      <c r="H28" s="358"/>
      <c r="I28" s="358"/>
      <c r="J28" s="572" t="s">
        <v>426</v>
      </c>
      <c r="K28" s="358"/>
      <c r="N28" s="259" t="s">
        <v>257</v>
      </c>
      <c r="O28" s="217" t="s">
        <v>200</v>
      </c>
      <c r="Q28" s="248">
        <f t="shared" si="2"/>
        <v>25</v>
      </c>
    </row>
    <row r="29" spans="1:17" ht="24.9" customHeight="1" thickBot="1" x14ac:dyDescent="0.35">
      <c r="A29" s="218" t="s">
        <v>278</v>
      </c>
      <c r="C29" s="1"/>
      <c r="F29" s="277">
        <v>19</v>
      </c>
      <c r="G29" s="358"/>
      <c r="I29" s="358"/>
      <c r="J29" s="572" t="s">
        <v>428</v>
      </c>
      <c r="K29" s="358"/>
      <c r="N29" s="259" t="s">
        <v>258</v>
      </c>
      <c r="O29" s="217" t="s">
        <v>201</v>
      </c>
      <c r="Q29" s="248">
        <f t="shared" si="2"/>
        <v>26</v>
      </c>
    </row>
    <row r="30" spans="1:17" ht="24.9" customHeight="1" thickBot="1" x14ac:dyDescent="0.3">
      <c r="G30" s="358"/>
      <c r="H30" s="358"/>
      <c r="I30" s="358"/>
      <c r="J30" s="572" t="s">
        <v>441</v>
      </c>
      <c r="K30" s="358"/>
      <c r="N30" s="259" t="s">
        <v>259</v>
      </c>
      <c r="O30" s="217" t="s">
        <v>202</v>
      </c>
      <c r="Q30" s="248">
        <f t="shared" si="2"/>
        <v>27</v>
      </c>
    </row>
    <row r="31" spans="1:17" ht="24.9" customHeight="1" thickBot="1" x14ac:dyDescent="0.35">
      <c r="A31" s="218" t="s">
        <v>289</v>
      </c>
      <c r="C31" s="1"/>
      <c r="F31" s="251" t="s">
        <v>78</v>
      </c>
      <c r="J31" s="572" t="s">
        <v>430</v>
      </c>
      <c r="N31" s="259" t="s">
        <v>260</v>
      </c>
      <c r="O31" s="217" t="s">
        <v>203</v>
      </c>
      <c r="Q31" s="248">
        <f t="shared" si="2"/>
        <v>28</v>
      </c>
    </row>
    <row r="32" spans="1:17" ht="8.25" customHeight="1" x14ac:dyDescent="0.25">
      <c r="A32" s="1526"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26"/>
      <c r="C32" s="1526"/>
      <c r="D32" s="1526"/>
      <c r="E32" s="1526"/>
      <c r="F32" s="1526"/>
      <c r="G32" s="1526"/>
      <c r="J32" s="572" t="s">
        <v>421</v>
      </c>
      <c r="N32" s="259"/>
      <c r="Q32" s="248">
        <f>IF(AND(M3&lt;&gt;0,G3=2),"",29)</f>
        <v>29</v>
      </c>
    </row>
    <row r="33" spans="1:17" ht="24.9" customHeight="1" x14ac:dyDescent="0.25">
      <c r="A33" s="1526"/>
      <c r="B33" s="1526"/>
      <c r="C33" s="1526"/>
      <c r="D33" s="1526"/>
      <c r="E33" s="1526"/>
      <c r="F33" s="1526"/>
      <c r="G33" s="1526"/>
      <c r="J33" s="572" t="s">
        <v>389</v>
      </c>
      <c r="N33" s="259"/>
      <c r="Q33" s="248">
        <f>IF(G3=2,"",30)</f>
        <v>30</v>
      </c>
    </row>
    <row r="34" spans="1:17" ht="24.9" customHeight="1" x14ac:dyDescent="0.25">
      <c r="I34" s="573" t="s">
        <v>443</v>
      </c>
      <c r="J34" s="572"/>
      <c r="N34" s="259"/>
      <c r="Q34" s="248">
        <f>IF(OR(G3=2,G3=4,G3=6,G3=9,G3=11),"",31)</f>
        <v>31</v>
      </c>
    </row>
    <row r="35" spans="1:17" ht="24.9" customHeight="1" x14ac:dyDescent="0.25">
      <c r="J35" s="572"/>
      <c r="N35" s="259"/>
    </row>
    <row r="36" spans="1:17" ht="24.9" customHeight="1" x14ac:dyDescent="0.25">
      <c r="J36" s="572"/>
    </row>
    <row r="37" spans="1:17" ht="24.9" customHeight="1" x14ac:dyDescent="0.25">
      <c r="J37" s="572"/>
    </row>
    <row r="38" spans="1:17" ht="24.9" customHeight="1" x14ac:dyDescent="0.25">
      <c r="J38" s="572"/>
    </row>
    <row r="39" spans="1:17" ht="24.9" customHeight="1" x14ac:dyDescent="0.25">
      <c r="J39" s="572"/>
    </row>
    <row r="40" spans="1:17" ht="24.9"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7"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7" zoomScale="85" zoomScaleNormal="85" workbookViewId="0">
      <selection activeCell="R18" sqref="R18:R22"/>
    </sheetView>
  </sheetViews>
  <sheetFormatPr defaultColWidth="0" defaultRowHeight="12.5" zeroHeight="1" x14ac:dyDescent="0.25"/>
  <cols>
    <col min="1" max="1" width="2.453125" style="973" customWidth="1"/>
    <col min="2" max="2" width="1.36328125" style="973" customWidth="1"/>
    <col min="3" max="3" width="4.36328125" style="973" customWidth="1"/>
    <col min="4" max="4" width="10.453125" style="973" customWidth="1"/>
    <col min="5" max="5" width="4.453125" style="973" customWidth="1"/>
    <col min="6" max="6" width="13.36328125" style="973" customWidth="1"/>
    <col min="7" max="7" width="4.36328125" style="973" customWidth="1"/>
    <col min="8" max="8" width="1.54296875" style="973" customWidth="1"/>
    <col min="9" max="9" width="16.90625" style="973" customWidth="1"/>
    <col min="10" max="11" width="1.90625" style="973" customWidth="1"/>
    <col min="12" max="12" width="4.90625" style="973" customWidth="1"/>
    <col min="13" max="13" width="9.90625" style="973" customWidth="1"/>
    <col min="14" max="14" width="5.08984375" style="973" customWidth="1"/>
    <col min="15" max="15" width="8.6328125" style="973" customWidth="1"/>
    <col min="16" max="16" width="3.6328125" style="973" customWidth="1"/>
    <col min="17" max="17" width="7.36328125" style="973" customWidth="1"/>
    <col min="18" max="18" width="24.90625" style="973" customWidth="1"/>
    <col min="19" max="19" width="4.6328125" style="973" customWidth="1"/>
    <col min="20" max="20" width="8.90625" style="973" customWidth="1"/>
    <col min="21" max="21" width="3.54296875" style="973" hidden="1" customWidth="1"/>
    <col min="22" max="22" width="6.90625" style="976" hidden="1" customWidth="1"/>
    <col min="23" max="24" width="6.453125" style="976" hidden="1" customWidth="1"/>
    <col min="25" max="25" width="4.453125" style="976" hidden="1" customWidth="1"/>
    <col min="26" max="26" width="6.90625" style="976" hidden="1" customWidth="1"/>
    <col min="27" max="27" width="3.453125" style="976" hidden="1" customWidth="1"/>
    <col min="28" max="28" width="8.90625" style="976" hidden="1" customWidth="1"/>
    <col min="29" max="29" width="10.08984375" style="976" hidden="1" customWidth="1"/>
    <col min="30" max="253" width="8.90625" style="973" hidden="1" customWidth="1"/>
    <col min="254" max="254" width="5.6328125" style="973" hidden="1" customWidth="1"/>
    <col min="255" max="255" width="5.08984375" style="973" hidden="1" customWidth="1"/>
    <col min="256" max="16384" width="5.453125" style="973" hidden="1"/>
  </cols>
  <sheetData>
    <row r="1" spans="1:28" s="976" customFormat="1" ht="45" customHeight="1" thickTop="1" x14ac:dyDescent="0.45">
      <c r="A1" s="969"/>
      <c r="B1" s="970"/>
      <c r="C1" s="971" t="s">
        <v>561</v>
      </c>
      <c r="D1" s="972"/>
      <c r="E1" s="972"/>
      <c r="F1" s="972"/>
      <c r="G1" s="972"/>
      <c r="H1" s="972"/>
      <c r="I1" s="972"/>
      <c r="J1" s="972"/>
      <c r="K1" s="972"/>
      <c r="L1" s="972"/>
      <c r="M1" s="1583"/>
      <c r="N1" s="1583"/>
      <c r="O1" s="1583"/>
      <c r="P1" s="1583"/>
      <c r="Q1" s="1583"/>
      <c r="R1" s="1583"/>
      <c r="S1" s="1584"/>
      <c r="T1" s="973"/>
      <c r="U1" s="974"/>
      <c r="V1" s="975"/>
      <c r="W1" s="975"/>
      <c r="X1" s="975"/>
      <c r="Y1" s="975"/>
      <c r="Z1" s="975"/>
      <c r="AA1" s="975"/>
      <c r="AB1" s="975"/>
    </row>
    <row r="2" spans="1:28" s="976" customFormat="1" ht="33.75" customHeight="1" x14ac:dyDescent="0.25">
      <c r="A2" s="977"/>
      <c r="B2" s="978"/>
      <c r="C2" s="979"/>
      <c r="D2" s="979"/>
      <c r="E2" s="979"/>
      <c r="F2" s="979"/>
      <c r="G2" s="979"/>
      <c r="H2" s="979"/>
      <c r="I2" s="979"/>
      <c r="J2" s="979"/>
      <c r="K2" s="979"/>
      <c r="L2" s="979"/>
      <c r="M2" s="1791" t="str">
        <f>IF(U3=0,CONCATENATE("Print  ",'Old MC Working'!Y48,"  Sheet"),"")</f>
        <v/>
      </c>
      <c r="N2" s="1791"/>
      <c r="O2" s="1791"/>
      <c r="P2" s="1791"/>
      <c r="Q2" s="1791"/>
      <c r="R2" s="1791"/>
      <c r="S2" s="981"/>
      <c r="T2" s="973"/>
      <c r="U2" s="974"/>
      <c r="V2" s="975"/>
      <c r="W2" s="975"/>
      <c r="X2" s="975"/>
      <c r="Y2" s="975"/>
      <c r="Z2" s="975"/>
      <c r="AA2" s="975"/>
      <c r="AB2" s="975"/>
    </row>
    <row r="3" spans="1:28" s="976" customFormat="1" ht="12.9" customHeight="1" x14ac:dyDescent="0.25">
      <c r="A3" s="977"/>
      <c r="B3" s="978"/>
      <c r="C3" s="979"/>
      <c r="D3" s="979"/>
      <c r="E3" s="979"/>
      <c r="F3" s="979"/>
      <c r="G3" s="979"/>
      <c r="H3" s="979"/>
      <c r="I3" s="979"/>
      <c r="J3" s="979"/>
      <c r="K3" s="979"/>
      <c r="L3" s="979"/>
      <c r="M3" s="980"/>
      <c r="N3" s="980"/>
      <c r="O3" s="980"/>
      <c r="P3" s="980"/>
      <c r="Q3" s="980"/>
      <c r="R3" s="980"/>
      <c r="S3" s="981"/>
      <c r="T3" s="973"/>
      <c r="U3" s="973">
        <f>IF(AND('Old MC Working'!Z2=1,'Old MC Working'!Y48="Motor Cycle Policy"),1,0)</f>
        <v>1</v>
      </c>
      <c r="V3" s="975"/>
      <c r="W3" s="975"/>
      <c r="X3" s="975"/>
      <c r="Y3" s="975"/>
      <c r="Z3" s="975"/>
      <c r="AA3" s="975"/>
      <c r="AB3" s="975"/>
    </row>
    <row r="4" spans="1:28" s="976" customFormat="1" ht="20.25" customHeight="1" x14ac:dyDescent="0.35">
      <c r="A4" s="977"/>
      <c r="B4" s="982"/>
      <c r="C4" s="983" t="s">
        <v>529</v>
      </c>
      <c r="D4" s="984"/>
      <c r="E4" s="985"/>
      <c r="F4" s="986"/>
      <c r="G4" s="982"/>
      <c r="H4" s="984"/>
      <c r="I4" s="984"/>
      <c r="J4" s="984"/>
      <c r="K4" s="984"/>
      <c r="L4" s="987"/>
      <c r="M4" s="988"/>
      <c r="N4" s="988"/>
      <c r="O4" s="983"/>
      <c r="P4" s="1792">
        <f ca="1">TODAY()</f>
        <v>45351</v>
      </c>
      <c r="Q4" s="1792"/>
      <c r="R4" s="1792"/>
      <c r="S4" s="989"/>
      <c r="T4" s="973"/>
      <c r="U4" s="973"/>
      <c r="W4" s="990">
        <f ca="1">IF('Old MC Working'!$M$37&lt;0,'Old MC Working'!$G$37*2,0)</f>
        <v>50</v>
      </c>
      <c r="X4" s="990">
        <f ca="1">IF('Old MC Working'!$M$36&lt;0,'Old MC Working'!$H$36*2,0)</f>
        <v>0</v>
      </c>
      <c r="Y4" s="991" t="str">
        <f>IF('Old MC Working'!$B$21="Free","000","111")</f>
        <v>000</v>
      </c>
      <c r="Z4" s="992">
        <f ca="1">IF('Old MC Working'!$M$23&lt;0,'Old MC Working'!$H$23*2,0)</f>
        <v>115.2</v>
      </c>
      <c r="AA4" s="993">
        <f>'Old MC Working'!$N$60</f>
        <v>0</v>
      </c>
      <c r="AB4" s="976" t="str">
        <f>IF('Old MC Working'!$C$2="Yes","GUD)","ATI)")</f>
        <v>ATI)</v>
      </c>
    </row>
    <row r="5" spans="1:28" s="976" customFormat="1" ht="13.5" customHeight="1" x14ac:dyDescent="0.3">
      <c r="A5" s="977"/>
      <c r="B5" s="982"/>
      <c r="C5" s="986" t="s">
        <v>425</v>
      </c>
      <c r="D5" s="985"/>
      <c r="E5" s="985"/>
      <c r="F5" s="986"/>
      <c r="G5" s="982"/>
      <c r="H5" s="982"/>
      <c r="I5" s="982"/>
      <c r="J5" s="982"/>
      <c r="K5" s="982"/>
      <c r="L5" s="982"/>
      <c r="M5" s="988"/>
      <c r="N5" s="988"/>
      <c r="O5" s="983"/>
      <c r="P5" s="983"/>
      <c r="Q5" s="994"/>
      <c r="R5" s="995"/>
      <c r="S5" s="996"/>
      <c r="T5" s="973"/>
      <c r="U5" s="973"/>
      <c r="W5" s="975"/>
      <c r="X5" s="997"/>
      <c r="Y5" s="998"/>
      <c r="Z5" s="999"/>
      <c r="AA5" s="1000"/>
      <c r="AB5" s="975"/>
    </row>
    <row r="6" spans="1:28" s="976" customFormat="1" ht="5.15" customHeight="1" x14ac:dyDescent="0.35">
      <c r="A6" s="977"/>
      <c r="B6" s="982"/>
      <c r="C6" s="1001"/>
      <c r="D6" s="1002"/>
      <c r="E6" s="1002"/>
      <c r="F6" s="1002"/>
      <c r="G6" s="1002"/>
      <c r="H6" s="1002"/>
      <c r="I6" s="1002"/>
      <c r="J6" s="1002"/>
      <c r="K6" s="1002"/>
      <c r="L6" s="1002"/>
      <c r="M6" s="1003"/>
      <c r="N6" s="1003"/>
      <c r="O6" s="1003"/>
      <c r="P6" s="1003"/>
      <c r="Q6" s="1003"/>
      <c r="R6" s="1003"/>
      <c r="S6" s="996"/>
      <c r="T6" s="973"/>
      <c r="U6" s="973"/>
    </row>
    <row r="7" spans="1:28" s="976" customFormat="1" ht="18" customHeight="1" x14ac:dyDescent="0.3">
      <c r="A7" s="977"/>
      <c r="B7" s="982"/>
      <c r="C7" s="1004" t="s">
        <v>297</v>
      </c>
      <c r="D7" s="1005"/>
      <c r="E7" s="1005"/>
      <c r="F7" s="1005"/>
      <c r="G7" s="1005"/>
      <c r="H7" s="1005"/>
      <c r="I7" s="1005"/>
      <c r="J7" s="1005"/>
      <c r="K7" s="984"/>
      <c r="L7" s="1006" t="s">
        <v>25</v>
      </c>
      <c r="M7" s="1007"/>
      <c r="N7" s="984"/>
      <c r="O7" s="1008"/>
      <c r="P7" s="1793" t="str">
        <f>IF(AND(U3=1,'Old MC Working'!U2=1),UPPER('Old MC Working'!H8),"")</f>
        <v>MOTOR CYCLE</v>
      </c>
      <c r="Q7" s="1793"/>
      <c r="R7" s="1793"/>
      <c r="S7" s="1794"/>
      <c r="T7" s="973"/>
      <c r="U7" s="973"/>
    </row>
    <row r="8" spans="1:28" s="976" customFormat="1" ht="18" customHeight="1" x14ac:dyDescent="0.25">
      <c r="A8" s="977"/>
      <c r="B8" s="982"/>
      <c r="C8" s="1786" t="s">
        <v>526</v>
      </c>
      <c r="D8" s="1787"/>
      <c r="E8" s="1787"/>
      <c r="F8" s="1787"/>
      <c r="G8" s="1787"/>
      <c r="H8" s="1787"/>
      <c r="I8" s="1787"/>
      <c r="J8" s="1788"/>
      <c r="K8" s="1009"/>
      <c r="L8" s="1006" t="s">
        <v>108</v>
      </c>
      <c r="M8" s="1010"/>
      <c r="N8" s="1008"/>
      <c r="O8" s="1008"/>
      <c r="P8" s="1786" t="s">
        <v>526</v>
      </c>
      <c r="Q8" s="1787"/>
      <c r="R8" s="1788"/>
      <c r="S8" s="1011"/>
      <c r="T8" s="973"/>
      <c r="U8" s="973"/>
    </row>
    <row r="9" spans="1:28" s="976" customFormat="1" ht="18" customHeight="1" x14ac:dyDescent="0.3">
      <c r="A9" s="977"/>
      <c r="B9" s="982"/>
      <c r="C9" s="1012" t="str">
        <f>IF(AND('Old MC Working'!H12="HYBRID",'Old MC Working'!H14="No",'Old MC Working'!B12="Corporate"),CONCATENATE("(",'Old MC Working'!B12," CUSTOMER)"),"")</f>
        <v/>
      </c>
      <c r="D9" s="1013"/>
      <c r="E9" s="1013"/>
      <c r="F9" s="1013"/>
      <c r="G9" s="1013"/>
      <c r="H9" s="1013"/>
      <c r="I9" s="1013"/>
      <c r="J9" s="1013"/>
      <c r="K9" s="1009"/>
      <c r="L9" s="1006" t="s">
        <v>377</v>
      </c>
      <c r="M9" s="1014"/>
      <c r="N9" s="1008"/>
      <c r="O9" s="1008"/>
      <c r="P9" s="1786" t="s">
        <v>522</v>
      </c>
      <c r="Q9" s="1787"/>
      <c r="R9" s="1788"/>
      <c r="S9" s="1015"/>
      <c r="T9" s="973"/>
      <c r="U9" s="973"/>
    </row>
    <row r="10" spans="1:28" s="976" customFormat="1" ht="18" customHeight="1" x14ac:dyDescent="0.3">
      <c r="A10" s="977"/>
      <c r="B10" s="982"/>
      <c r="C10" s="1004" t="s">
        <v>296</v>
      </c>
      <c r="D10" s="1005"/>
      <c r="E10" s="1005"/>
      <c r="F10" s="1005"/>
      <c r="G10" s="1016"/>
      <c r="H10" s="1016"/>
      <c r="I10" s="1016"/>
      <c r="J10" s="1016"/>
      <c r="K10" s="1017"/>
      <c r="L10" s="1006" t="s">
        <v>357</v>
      </c>
      <c r="M10" s="1014"/>
      <c r="N10" s="1018"/>
      <c r="O10" s="1018"/>
      <c r="P10" s="1789" t="s">
        <v>525</v>
      </c>
      <c r="Q10" s="1789"/>
      <c r="R10" s="1019" t="s">
        <v>527</v>
      </c>
      <c r="S10" s="1020"/>
      <c r="T10" s="973"/>
      <c r="U10" s="973"/>
    </row>
    <row r="11" spans="1:28" s="976" customFormat="1" ht="18" customHeight="1" x14ac:dyDescent="0.25">
      <c r="A11" s="977"/>
      <c r="B11" s="982"/>
      <c r="C11" s="1786" t="s">
        <v>526</v>
      </c>
      <c r="D11" s="1787"/>
      <c r="E11" s="1787"/>
      <c r="F11" s="1787"/>
      <c r="G11" s="1787"/>
      <c r="H11" s="1787"/>
      <c r="I11" s="1787"/>
      <c r="J11" s="1788"/>
      <c r="K11" s="1009"/>
      <c r="L11" s="1006" t="s">
        <v>34</v>
      </c>
      <c r="M11" s="1010"/>
      <c r="N11" s="1021"/>
      <c r="O11" s="1018"/>
      <c r="P11" s="1786" t="s">
        <v>528</v>
      </c>
      <c r="Q11" s="1787"/>
      <c r="R11" s="1788"/>
      <c r="S11" s="1022"/>
      <c r="T11" s="973"/>
      <c r="U11" s="973"/>
    </row>
    <row r="12" spans="1:28" s="976" customFormat="1" ht="18" customHeight="1" x14ac:dyDescent="0.3">
      <c r="A12" s="977"/>
      <c r="B12" s="982"/>
      <c r="C12" s="1023" t="s">
        <v>298</v>
      </c>
      <c r="D12" s="1005"/>
      <c r="E12" s="1005"/>
      <c r="F12" s="1005"/>
      <c r="G12" s="1024"/>
      <c r="H12" s="1024"/>
      <c r="I12" s="1024"/>
      <c r="J12" s="1024"/>
      <c r="K12" s="1025"/>
      <c r="L12" s="1006" t="s">
        <v>35</v>
      </c>
      <c r="M12" s="1010"/>
      <c r="N12" s="1026"/>
      <c r="O12" s="1026"/>
      <c r="P12" s="1790" t="str">
        <f>IF('Old MC Working'!U2=1,UPPER(V12),"")</f>
        <v>PRIVATE USE ONLY</v>
      </c>
      <c r="Q12" s="1790"/>
      <c r="R12" s="1790"/>
      <c r="S12" s="1028"/>
      <c r="T12" s="973"/>
      <c r="U12" s="973"/>
      <c r="V12" s="976" t="str">
        <f>IF('Old MC Working'!H9="Private Use","Private Use Only",'Old MC Working'!H9)</f>
        <v>Private Use Only</v>
      </c>
    </row>
    <row r="13" spans="1:28" s="976" customFormat="1" ht="20.25" customHeight="1" x14ac:dyDescent="0.3">
      <c r="A13" s="977"/>
      <c r="B13" s="1029">
        <f>IF(OR(C13=I86,C13=I87,C13=I88,C13=I89,C13=I90,C13=I91,C13=I92,C13=I93,C13=I94,C13=I95,C13=I96,C13=I97,C13=I98),1,0)</f>
        <v>0</v>
      </c>
      <c r="C13" s="1775" t="s">
        <v>578</v>
      </c>
      <c r="D13" s="1776"/>
      <c r="E13" s="1776"/>
      <c r="F13" s="1776"/>
      <c r="G13" s="1776"/>
      <c r="H13" s="1776"/>
      <c r="I13" s="1776"/>
      <c r="J13" s="1777"/>
      <c r="K13" s="1030"/>
      <c r="L13" s="1006" t="s">
        <v>408</v>
      </c>
      <c r="M13" s="1010"/>
      <c r="N13" s="1026"/>
      <c r="O13" s="1026"/>
      <c r="P13" s="1778">
        <v>2020</v>
      </c>
      <c r="Q13" s="1779"/>
      <c r="R13" s="1031">
        <f>IF(U3=1,'Old MC Working'!T12,"")</f>
        <v>2</v>
      </c>
      <c r="S13" s="1028"/>
      <c r="T13" s="1032">
        <f>IF(I13="Ijarah","Ijarah",I13)</f>
        <v>0</v>
      </c>
      <c r="U13" s="973"/>
      <c r="V13" s="976" t="str">
        <f>IF(AND('Old MC Working'!K14="",'Old MC Working'!B21="No"),"NOT APPLICABLE",IF(AND('Old MC Working'!K14="",OR('Old MC Working'!B21="Yes",'Old MC Working'!B21="Free")),"APPLICABLE  - TO BE ADVISED",'Old MC Working'!K14))</f>
        <v>HNB FINANCE</v>
      </c>
    </row>
    <row r="14" spans="1:28" s="976" customFormat="1" ht="14.4" customHeight="1" x14ac:dyDescent="0.3">
      <c r="A14" s="977"/>
      <c r="B14" s="982"/>
      <c r="C14" s="934"/>
      <c r="D14" s="934"/>
      <c r="E14" s="934"/>
      <c r="F14" s="934"/>
      <c r="G14" s="934"/>
      <c r="H14" s="934"/>
      <c r="I14" s="1033"/>
      <c r="J14" s="1034"/>
      <c r="K14" s="1034"/>
      <c r="L14" s="934"/>
      <c r="M14" s="934"/>
      <c r="N14" s="934"/>
      <c r="O14" s="934"/>
      <c r="P14" s="934"/>
      <c r="Q14" s="934"/>
      <c r="R14" s="934"/>
      <c r="S14" s="1035"/>
      <c r="T14" s="973"/>
      <c r="U14" s="973"/>
    </row>
    <row r="15" spans="1:28" s="976" customFormat="1" ht="6.75" customHeight="1" thickBot="1" x14ac:dyDescent="0.35">
      <c r="A15" s="977"/>
      <c r="B15" s="982"/>
      <c r="C15" s="982"/>
      <c r="D15" s="982"/>
      <c r="E15" s="982"/>
      <c r="F15" s="982"/>
      <c r="G15" s="982"/>
      <c r="H15" s="982"/>
      <c r="I15" s="982"/>
      <c r="J15" s="984"/>
      <c r="K15" s="984"/>
      <c r="L15" s="982"/>
      <c r="M15" s="982"/>
      <c r="N15" s="982"/>
      <c r="O15" s="982"/>
      <c r="P15" s="982"/>
      <c r="Q15" s="982"/>
      <c r="R15" s="982"/>
      <c r="S15" s="1036"/>
      <c r="T15" s="973"/>
      <c r="U15" s="973"/>
    </row>
    <row r="16" spans="1:28" s="976" customFormat="1" ht="13.25" customHeight="1" x14ac:dyDescent="0.3">
      <c r="A16" s="977"/>
      <c r="B16" s="982"/>
      <c r="C16" s="1037" t="s">
        <v>301</v>
      </c>
      <c r="D16" s="982"/>
      <c r="E16" s="982"/>
      <c r="F16" s="1038" t="str">
        <f>IF('Old MC Working'!H3="One Year",": One Year",CONCATENATE(": ",'Calculation (2)'!H9," Days"))</f>
        <v>: One Year</v>
      </c>
      <c r="G16" s="982"/>
      <c r="H16" s="982"/>
      <c r="I16" s="1027" t="str">
        <f>IF('Old MC Working'!H3="One Year","",CONCATENATE("(",'Old MC Working'!H3," Basis)"))</f>
        <v/>
      </c>
      <c r="J16" s="984"/>
      <c r="K16" s="984"/>
      <c r="L16" s="982"/>
      <c r="M16" s="982"/>
      <c r="N16" s="982"/>
      <c r="O16" s="982"/>
      <c r="P16" s="1039"/>
      <c r="Q16" s="1780">
        <v>700000</v>
      </c>
      <c r="R16" s="1781"/>
      <c r="S16" s="1036"/>
      <c r="T16" s="973"/>
      <c r="U16" s="973"/>
    </row>
    <row r="17" spans="1:32" ht="13.25" customHeight="1" thickBot="1" x14ac:dyDescent="0.35">
      <c r="A17" s="977"/>
      <c r="B17" s="982"/>
      <c r="C17" s="1784" t="str">
        <f>IF('Old MC Working'!H3="One Year","",CONCATENATE("(From ",'Old MC Working'!G4," ",'Old MC Working'!H4," ",'Old MC Working'!I4," to ",'Old MC Working'!G5," ",'Old MC Working'!H5," ",'Old MC Working'!I5,")"))</f>
        <v/>
      </c>
      <c r="D17" s="1784"/>
      <c r="E17" s="1784"/>
      <c r="F17" s="1784"/>
      <c r="G17" s="1784"/>
      <c r="H17" s="1784"/>
      <c r="I17" s="1784"/>
      <c r="J17" s="984"/>
      <c r="K17" s="984"/>
      <c r="L17" s="1040" t="s">
        <v>168</v>
      </c>
      <c r="M17" s="1014"/>
      <c r="N17" s="982"/>
      <c r="O17" s="982"/>
      <c r="P17" s="1039"/>
      <c r="Q17" s="1782"/>
      <c r="R17" s="1783"/>
      <c r="S17" s="1036"/>
    </row>
    <row r="18" spans="1:32" ht="17.149999999999999" customHeight="1" x14ac:dyDescent="0.3">
      <c r="A18" s="977"/>
      <c r="B18" s="982"/>
      <c r="C18" s="1784"/>
      <c r="D18" s="1784"/>
      <c r="E18" s="1784"/>
      <c r="F18" s="1784"/>
      <c r="G18" s="1784"/>
      <c r="H18" s="1784"/>
      <c r="I18" s="1784"/>
      <c r="J18" s="984"/>
      <c r="K18" s="984"/>
      <c r="L18" s="1041" t="s">
        <v>13</v>
      </c>
      <c r="M18" s="982"/>
      <c r="N18" s="982"/>
      <c r="O18" s="982"/>
      <c r="P18" s="982"/>
      <c r="Q18" s="1042" t="s">
        <v>26</v>
      </c>
      <c r="R18" s="1043">
        <f>IF(U3=1,'MC Working'!H18-'MC Working'!H11-'MC Working'!H10,"")</f>
        <v>14336.054006968643</v>
      </c>
      <c r="S18" s="1036"/>
    </row>
    <row r="19" spans="1:32" ht="15" customHeight="1" x14ac:dyDescent="0.3">
      <c r="A19" s="977"/>
      <c r="B19" s="982"/>
      <c r="C19" s="1044" t="s">
        <v>518</v>
      </c>
      <c r="D19" s="1045"/>
      <c r="E19" s="1045"/>
      <c r="F19" s="1045"/>
      <c r="G19" s="1045"/>
      <c r="H19" s="1045"/>
      <c r="I19" s="1045"/>
      <c r="J19" s="984"/>
      <c r="K19" s="984"/>
      <c r="L19" s="1041" t="s">
        <v>23</v>
      </c>
      <c r="M19" s="1014"/>
      <c r="N19" s="982"/>
      <c r="O19" s="982"/>
      <c r="P19" s="982"/>
      <c r="Q19" s="1042" t="s">
        <v>26</v>
      </c>
      <c r="R19" s="1043">
        <f>IF(U3=1,'MC Working'!H10,0)</f>
        <v>1400</v>
      </c>
      <c r="S19" s="1036"/>
      <c r="T19" s="1046" t="s">
        <v>58</v>
      </c>
    </row>
    <row r="20" spans="1:32" ht="17.149999999999999" customHeight="1" x14ac:dyDescent="0.3">
      <c r="A20" s="977"/>
      <c r="B20" s="982"/>
      <c r="C20" s="1785" t="s">
        <v>519</v>
      </c>
      <c r="D20" s="1785"/>
      <c r="E20" s="1785"/>
      <c r="F20" s="1785"/>
      <c r="G20" s="1785"/>
      <c r="H20" s="1785"/>
      <c r="I20" s="1785"/>
      <c r="J20" s="1785"/>
      <c r="K20" s="984"/>
      <c r="L20" s="1047" t="s">
        <v>24</v>
      </c>
      <c r="M20" s="982"/>
      <c r="N20" s="982"/>
      <c r="O20" s="982"/>
      <c r="P20" s="982"/>
      <c r="Q20" s="1042" t="s">
        <v>26</v>
      </c>
      <c r="R20" s="1043">
        <f>IF(U3=1,'MC Working'!H11,0)</f>
        <v>350</v>
      </c>
      <c r="S20" s="1036"/>
      <c r="T20" s="1048" t="s">
        <v>78</v>
      </c>
    </row>
    <row r="21" spans="1:32" ht="17.149999999999999" customHeight="1" x14ac:dyDescent="0.3">
      <c r="A21" s="977"/>
      <c r="B21" s="982"/>
      <c r="C21" s="1785"/>
      <c r="D21" s="1785"/>
      <c r="E21" s="1785"/>
      <c r="F21" s="1785"/>
      <c r="G21" s="1785"/>
      <c r="H21" s="1785"/>
      <c r="I21" s="1785"/>
      <c r="J21" s="1785"/>
      <c r="K21" s="984"/>
      <c r="L21" s="1047" t="s">
        <v>146</v>
      </c>
      <c r="M21" s="982"/>
      <c r="N21" s="982"/>
      <c r="O21" s="982"/>
      <c r="P21" s="982"/>
      <c r="Q21" s="1042" t="s">
        <v>26</v>
      </c>
      <c r="R21" s="1043">
        <f ca="1">IF(U3=1,SUM('MC Working'!C7:C11),"")</f>
        <v>7064.6513501742156</v>
      </c>
      <c r="S21" s="1036"/>
    </row>
    <row r="22" spans="1:32" ht="17.149999999999999" customHeight="1" thickBot="1" x14ac:dyDescent="0.35">
      <c r="A22" s="977"/>
      <c r="B22" s="982"/>
      <c r="C22" s="1785"/>
      <c r="D22" s="1785"/>
      <c r="E22" s="1785"/>
      <c r="F22" s="1785"/>
      <c r="G22" s="1785"/>
      <c r="H22" s="1785"/>
      <c r="I22" s="1785"/>
      <c r="J22" s="1785"/>
      <c r="K22" s="984"/>
      <c r="L22" s="1047" t="str">
        <f>IF('Rates (2)'!$F$20="Yes","Nation Building Levy (NBL)","VAT")</f>
        <v>VAT</v>
      </c>
      <c r="M22" s="982"/>
      <c r="N22" s="982"/>
      <c r="O22" s="982"/>
      <c r="P22" s="982"/>
      <c r="Q22" s="1042" t="s">
        <v>26</v>
      </c>
      <c r="R22" s="1043">
        <f ca="1">IF(U3=1,'MC Working'!C12,0)</f>
        <v>4167.1269642857142</v>
      </c>
      <c r="S22" s="1036"/>
    </row>
    <row r="23" spans="1:32" ht="17.149999999999999" customHeight="1" thickTop="1" thickBot="1" x14ac:dyDescent="0.35">
      <c r="A23" s="977"/>
      <c r="B23" s="982"/>
      <c r="C23" s="1785"/>
      <c r="D23" s="1785"/>
      <c r="E23" s="1785"/>
      <c r="F23" s="1785"/>
      <c r="G23" s="1785"/>
      <c r="H23" s="1785"/>
      <c r="I23" s="1785"/>
      <c r="J23" s="1785"/>
      <c r="K23" s="984"/>
      <c r="L23" s="1041" t="str">
        <f>IF('Rates (2)'!$F$20="Yes","VAT","Total Contribution")</f>
        <v>Total Contribution</v>
      </c>
      <c r="M23" s="982"/>
      <c r="N23" s="982"/>
      <c r="O23" s="982"/>
      <c r="P23" s="982"/>
      <c r="Q23" s="1042" t="s">
        <v>26</v>
      </c>
      <c r="R23" s="1049">
        <f ca="1">IF(U3=1,'MC Working'!C13,0)</f>
        <v>27317.832321428574</v>
      </c>
      <c r="S23" s="1036"/>
      <c r="Y23" s="1050"/>
    </row>
    <row r="24" spans="1:32" ht="17.149999999999999" customHeight="1" thickTop="1" x14ac:dyDescent="0.25">
      <c r="A24" s="977"/>
      <c r="B24" s="982"/>
      <c r="C24" s="1785"/>
      <c r="D24" s="1785"/>
      <c r="E24" s="1785"/>
      <c r="F24" s="1785"/>
      <c r="G24" s="1785"/>
      <c r="H24" s="1785"/>
      <c r="I24" s="1785"/>
      <c r="J24" s="1785"/>
      <c r="K24" s="984"/>
      <c r="L24" s="1764"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764"/>
      <c r="N24" s="1764"/>
      <c r="O24" s="1764"/>
      <c r="P24" s="1764"/>
      <c r="Q24" s="1764"/>
      <c r="R24" s="1764"/>
      <c r="S24" s="1765"/>
    </row>
    <row r="25" spans="1:32" ht="25.25" customHeight="1" x14ac:dyDescent="0.3">
      <c r="A25" s="977"/>
      <c r="B25" s="982"/>
      <c r="C25" s="1052"/>
      <c r="D25" s="1052"/>
      <c r="E25" s="1052"/>
      <c r="F25" s="1052"/>
      <c r="G25" s="1052"/>
      <c r="H25" s="1052"/>
      <c r="I25" s="1052"/>
      <c r="J25" s="1052"/>
      <c r="K25" s="984"/>
      <c r="L25" s="1764"/>
      <c r="M25" s="1764"/>
      <c r="N25" s="1764"/>
      <c r="O25" s="1764"/>
      <c r="P25" s="1764"/>
      <c r="Q25" s="1764"/>
      <c r="R25" s="1764"/>
      <c r="S25" s="1765"/>
      <c r="X25" s="1050"/>
      <c r="AB25" s="1053"/>
    </row>
    <row r="26" spans="1:32" ht="14.25" hidden="1" customHeight="1" x14ac:dyDescent="0.3">
      <c r="A26" s="977"/>
      <c r="B26" s="982"/>
      <c r="C26" s="1054"/>
      <c r="D26" s="1054"/>
      <c r="E26" s="1054"/>
      <c r="F26" s="1054"/>
      <c r="G26" s="1054"/>
      <c r="H26" s="1054"/>
      <c r="I26" s="1054"/>
      <c r="J26" s="1054"/>
      <c r="K26" s="1054"/>
      <c r="L26" s="1054"/>
      <c r="M26" s="1054"/>
      <c r="N26" s="1054"/>
      <c r="O26" s="1054"/>
      <c r="P26" s="1054"/>
      <c r="Q26" s="1054"/>
      <c r="R26" s="1054"/>
      <c r="S26" s="1036"/>
    </row>
    <row r="27" spans="1:32" ht="14.25" hidden="1" customHeight="1" x14ac:dyDescent="0.3">
      <c r="A27" s="977"/>
      <c r="B27" s="982"/>
      <c r="C27" s="1054"/>
      <c r="D27" s="1054"/>
      <c r="E27" s="1054"/>
      <c r="F27" s="1054"/>
      <c r="G27" s="1054"/>
      <c r="H27" s="1054"/>
      <c r="I27" s="1054"/>
      <c r="J27" s="1054"/>
      <c r="K27" s="1054"/>
      <c r="L27" s="1054"/>
      <c r="M27" s="1054"/>
      <c r="N27" s="1054"/>
      <c r="O27" s="1054"/>
      <c r="P27" s="1054"/>
      <c r="Q27" s="1054"/>
      <c r="R27" s="1054"/>
      <c r="S27" s="1055"/>
    </row>
    <row r="28" spans="1:32" ht="18" customHeight="1" x14ac:dyDescent="0.3">
      <c r="A28" s="977"/>
      <c r="B28" s="982"/>
      <c r="C28" s="1056" t="s">
        <v>293</v>
      </c>
      <c r="D28" s="1057"/>
      <c r="E28" s="1057"/>
      <c r="F28" s="1057"/>
      <c r="G28" s="1057"/>
      <c r="H28" s="1057"/>
      <c r="I28" s="1057"/>
      <c r="J28" s="1057"/>
      <c r="K28" s="1057"/>
      <c r="L28" s="1057"/>
      <c r="M28" s="1057"/>
      <c r="N28" s="1057"/>
      <c r="O28" s="1057"/>
      <c r="P28" s="1057"/>
      <c r="Q28" s="1057"/>
      <c r="R28" s="1058"/>
      <c r="S28" s="1055"/>
      <c r="V28" s="1059"/>
      <c r="W28" s="1059"/>
      <c r="X28" s="1059"/>
      <c r="Y28" s="1059"/>
      <c r="Z28" s="1059"/>
      <c r="AA28" s="1059"/>
      <c r="AB28" s="1059"/>
      <c r="AC28" s="1059"/>
      <c r="AD28" s="1060"/>
      <c r="AE28" s="1060"/>
      <c r="AF28" s="1060"/>
    </row>
    <row r="29" spans="1:32" ht="18" customHeight="1" x14ac:dyDescent="0.3">
      <c r="A29" s="977"/>
      <c r="B29" s="982"/>
      <c r="C29" s="1061" t="s">
        <v>291</v>
      </c>
      <c r="D29" s="731" t="s">
        <v>319</v>
      </c>
      <c r="E29" s="1054"/>
      <c r="F29" s="1054"/>
      <c r="G29" s="1054"/>
      <c r="H29" s="1054"/>
      <c r="I29" s="1054"/>
      <c r="J29" s="1054"/>
      <c r="K29" s="1054"/>
      <c r="L29" s="1054"/>
      <c r="M29" s="1054"/>
      <c r="N29" s="1054"/>
      <c r="O29" s="1054"/>
      <c r="P29" s="1054"/>
      <c r="Q29" s="1054"/>
      <c r="R29" s="1062"/>
      <c r="S29" s="1055"/>
      <c r="V29" s="1059"/>
      <c r="W29" s="1063"/>
      <c r="X29" s="1059"/>
      <c r="Y29" s="1059"/>
      <c r="Z29" s="1059"/>
      <c r="AA29" s="1059"/>
      <c r="AB29" s="1064"/>
      <c r="AC29" s="1059"/>
      <c r="AD29" s="1060"/>
      <c r="AE29" s="1060"/>
      <c r="AF29" s="1060"/>
    </row>
    <row r="30" spans="1:32" ht="18" customHeight="1" x14ac:dyDescent="0.3">
      <c r="A30" s="977"/>
      <c r="B30" s="982"/>
      <c r="C30" s="1061" t="s">
        <v>292</v>
      </c>
      <c r="D30" s="731" t="str">
        <f>CONCATENATE("Third Party Liability"," (Property Damage limited to Rs.",FIXED(MAX('Rates (2)'!B55,R33),0),")")</f>
        <v>Third Party Liability (Property Damage limited to Rs.100,000)</v>
      </c>
      <c r="E30" s="1054"/>
      <c r="F30" s="1054"/>
      <c r="G30" s="1054"/>
      <c r="H30" s="1054"/>
      <c r="I30" s="1054"/>
      <c r="J30" s="1054"/>
      <c r="K30" s="1054"/>
      <c r="L30" s="1054"/>
      <c r="M30" s="1054"/>
      <c r="N30" s="1054"/>
      <c r="O30" s="1054"/>
      <c r="P30" s="1054"/>
      <c r="Q30" s="1054"/>
      <c r="R30" s="1062"/>
      <c r="S30" s="1055"/>
      <c r="V30" s="1059"/>
      <c r="W30" s="1059"/>
      <c r="X30" s="1059"/>
      <c r="Y30" s="1059"/>
      <c r="Z30" s="1059"/>
      <c r="AA30" s="1059"/>
      <c r="AB30" s="1059"/>
      <c r="AC30" s="1059"/>
      <c r="AD30" s="1060"/>
      <c r="AE30" s="1060"/>
      <c r="AF30" s="1060"/>
    </row>
    <row r="31" spans="1:32" ht="18" customHeight="1" x14ac:dyDescent="0.3">
      <c r="A31" s="977"/>
      <c r="B31" s="982"/>
      <c r="C31" s="1061" t="s">
        <v>290</v>
      </c>
      <c r="D31" s="731" t="s">
        <v>299</v>
      </c>
      <c r="E31" s="1054"/>
      <c r="F31" s="1054"/>
      <c r="G31" s="1054"/>
      <c r="H31" s="1054"/>
      <c r="I31" s="1054"/>
      <c r="J31" s="1054"/>
      <c r="K31" s="1054"/>
      <c r="L31" s="1054"/>
      <c r="M31" s="1054"/>
      <c r="N31" s="1054"/>
      <c r="O31" s="1054"/>
      <c r="P31" s="1054"/>
      <c r="Q31" s="1054"/>
      <c r="R31" s="1065"/>
      <c r="S31" s="1055"/>
      <c r="V31" s="1059"/>
      <c r="W31" s="1059"/>
      <c r="X31" s="1059"/>
      <c r="Y31" s="1059"/>
      <c r="Z31" s="1059"/>
      <c r="AA31" s="1059"/>
      <c r="AB31" s="1059"/>
      <c r="AC31" s="1059"/>
      <c r="AD31" s="1060"/>
      <c r="AE31" s="1060"/>
      <c r="AF31" s="1060"/>
    </row>
    <row r="32" spans="1:32" ht="18.899999999999999" customHeight="1" thickBot="1" x14ac:dyDescent="0.45">
      <c r="A32" s="977"/>
      <c r="B32" s="982"/>
      <c r="C32" s="1066"/>
      <c r="D32" s="1067"/>
      <c r="E32" s="1068"/>
      <c r="F32" s="1068"/>
      <c r="G32" s="1068"/>
      <c r="H32" s="1069" t="str">
        <f>IF('Old MC Working'!B21="Free","FREE",IF('Old MC Working'!B21="No","N/A","Yes"))</f>
        <v>FREE</v>
      </c>
      <c r="I32" s="1070"/>
      <c r="J32" s="1071"/>
      <c r="K32" s="984"/>
      <c r="L32" s="1072"/>
      <c r="M32" s="1067"/>
      <c r="N32" s="1073"/>
      <c r="O32" s="1074"/>
      <c r="P32" s="984"/>
      <c r="Q32" s="982"/>
      <c r="R32" s="1067"/>
      <c r="S32" s="1075"/>
      <c r="T32" s="1076" t="s">
        <v>520</v>
      </c>
      <c r="U32" s="1077" t="str">
        <f>'Old MC Working'!B21</f>
        <v>Free</v>
      </c>
      <c r="V32" s="1059" t="s">
        <v>17</v>
      </c>
      <c r="W32" s="1078">
        <f>IF(OR('Old MC Working'!R25=2,'Old MC Working'!AA25=1),1,0)</f>
        <v>0</v>
      </c>
      <c r="X32" s="1059"/>
      <c r="Y32" s="1059"/>
      <c r="Z32" s="1079">
        <f>IF(AND('Old MC Working'!AA25=1,'Old MC Working'!R25=2),MAX('Old MC Working'!H25,'Rates (2)'!C40),IF(AND('Old MC Working'!AA25=1,'Old MC Working'!R25&lt;2),'Rates (2)'!C40,IF(AND('Old MC Working'!AA25=0,'Old MC Working'!R25=2),'Old MC Working'!H25,0)))</f>
        <v>0</v>
      </c>
      <c r="AA32" s="1059"/>
      <c r="AB32" s="1059"/>
      <c r="AC32" s="1059"/>
      <c r="AD32" s="1060"/>
      <c r="AE32" s="1060"/>
      <c r="AF32" s="1060"/>
    </row>
    <row r="33" spans="1:32" ht="18.899999999999999" customHeight="1" thickBot="1" x14ac:dyDescent="0.4">
      <c r="A33" s="977"/>
      <c r="B33" s="982"/>
      <c r="C33" s="1080" t="s">
        <v>9</v>
      </c>
      <c r="D33" s="1041" t="s">
        <v>530</v>
      </c>
      <c r="E33" s="1081"/>
      <c r="F33" s="1081"/>
      <c r="G33" s="1081"/>
      <c r="H33" s="984"/>
      <c r="I33" s="984"/>
      <c r="J33" s="1071"/>
      <c r="K33" s="984"/>
      <c r="L33" s="1080" t="s">
        <v>9</v>
      </c>
      <c r="M33" s="1082" t="s">
        <v>6</v>
      </c>
      <c r="N33" s="1083"/>
      <c r="O33" s="987"/>
      <c r="P33" s="987"/>
      <c r="Q33" s="987"/>
      <c r="R33" s="1084">
        <v>100000</v>
      </c>
      <c r="S33" s="1035"/>
      <c r="T33" s="1085" t="s">
        <v>0</v>
      </c>
      <c r="U33" s="1077" t="str">
        <f>'Old MC Working'!B39</f>
        <v>Yes</v>
      </c>
      <c r="V33" s="1059" t="s">
        <v>38</v>
      </c>
      <c r="W33" s="1078">
        <f>'Old MC Working'!R29</f>
        <v>1</v>
      </c>
      <c r="X33" s="1059"/>
      <c r="Y33" s="1059"/>
      <c r="Z33" s="1059"/>
      <c r="AA33" s="1059"/>
      <c r="AB33" s="1059"/>
      <c r="AC33" s="1059"/>
      <c r="AD33" s="1060"/>
      <c r="AE33" s="1060"/>
      <c r="AF33" s="1060"/>
    </row>
    <row r="34" spans="1:32" ht="18.899999999999999" customHeight="1" thickBot="1" x14ac:dyDescent="0.4">
      <c r="A34" s="977"/>
      <c r="B34" s="1506" t="str">
        <f>'MC Working'!H22</f>
        <v>Yes</v>
      </c>
      <c r="C34" s="1080" t="s">
        <v>9</v>
      </c>
      <c r="D34" s="1041" t="s">
        <v>265</v>
      </c>
      <c r="E34" s="1081"/>
      <c r="F34" s="1081"/>
      <c r="G34" s="1081"/>
      <c r="H34" s="984"/>
      <c r="I34" s="984"/>
      <c r="J34" s="1071"/>
      <c r="K34" s="984"/>
      <c r="L34" s="1080" t="s">
        <v>9</v>
      </c>
      <c r="M34" s="1082" t="s">
        <v>562</v>
      </c>
      <c r="N34" s="987"/>
      <c r="O34" s="987"/>
      <c r="P34" s="1086"/>
      <c r="Q34" s="987"/>
      <c r="R34" s="1087">
        <v>0</v>
      </c>
      <c r="S34" s="1035"/>
      <c r="T34" s="1088">
        <v>0</v>
      </c>
      <c r="U34" s="1077" t="str">
        <f>'Old MC Working'!B40</f>
        <v>Yes</v>
      </c>
      <c r="V34" s="1059" t="s">
        <v>37</v>
      </c>
      <c r="W34" s="1078">
        <f>'Old MC Working'!T48</f>
        <v>1</v>
      </c>
      <c r="X34" s="1059"/>
      <c r="Y34" s="1059"/>
      <c r="Z34" s="1059"/>
      <c r="AA34" s="1059"/>
      <c r="AB34" s="1059"/>
      <c r="AC34" s="1059"/>
      <c r="AD34" s="1060"/>
      <c r="AE34" s="1060"/>
      <c r="AF34" s="1060"/>
    </row>
    <row r="35" spans="1:32" ht="18.899999999999999" customHeight="1" thickBot="1" x14ac:dyDescent="0.4">
      <c r="A35" s="977"/>
      <c r="B35" s="1506" t="str">
        <f>'MC Working'!H23</f>
        <v>Yes</v>
      </c>
      <c r="C35" s="1080" t="s">
        <v>9</v>
      </c>
      <c r="D35" s="1041" t="s">
        <v>266</v>
      </c>
      <c r="E35" s="1089"/>
      <c r="F35" s="1090"/>
      <c r="G35" s="1091"/>
      <c r="H35" s="1092"/>
      <c r="I35" s="1091"/>
      <c r="J35" s="1071"/>
      <c r="K35" s="984"/>
      <c r="L35" s="1080" t="s">
        <v>9</v>
      </c>
      <c r="M35" s="1041" t="s">
        <v>12</v>
      </c>
      <c r="N35" s="987"/>
      <c r="O35" s="987"/>
      <c r="P35" s="987"/>
      <c r="Q35" s="987"/>
      <c r="R35" s="1093">
        <v>0</v>
      </c>
      <c r="S35" s="1035"/>
      <c r="U35" s="1077">
        <f>IF('Old MC Working'!Y42&gt;0,1,0)</f>
        <v>0</v>
      </c>
      <c r="V35" s="1059" t="s">
        <v>18</v>
      </c>
      <c r="W35" s="1078">
        <f>IF('Old MC Working'!Z42&gt;0,1,0)</f>
        <v>0</v>
      </c>
      <c r="X35" s="1059" t="s">
        <v>16</v>
      </c>
      <c r="Y35" s="1078">
        <f>IF('Old MC Working'!X42&gt;0,1,0)</f>
        <v>0</v>
      </c>
      <c r="Z35" s="1059" t="s">
        <v>33</v>
      </c>
      <c r="AA35" s="1078">
        <f>IF('Old MC Working'!T47=0,0,'Old MC Working'!O47)</f>
        <v>0</v>
      </c>
      <c r="AB35" s="1059"/>
      <c r="AC35" s="1059"/>
      <c r="AD35" s="1060"/>
      <c r="AE35" s="1060"/>
      <c r="AF35" s="1060"/>
    </row>
    <row r="36" spans="1:32" ht="18.899999999999999" customHeight="1" x14ac:dyDescent="0.35">
      <c r="A36" s="977"/>
      <c r="B36" s="982"/>
      <c r="C36" s="1080" t="s">
        <v>9</v>
      </c>
      <c r="D36" s="733" t="str">
        <f ca="1">IF(AND('Old MC Working'!$M$36&lt;0,'Old MC Working'!$I$38="Reveal"),CONCATENATE(K38," - ",MIN('Old MC Working'!$H$36%,'Old MC Working'!$R$36%)*100,"%"),K38)</f>
        <v>No Claim Bonus (*)</v>
      </c>
      <c r="E36" s="1094"/>
      <c r="F36" s="1090"/>
      <c r="G36" s="1095"/>
      <c r="H36" s="1092"/>
      <c r="I36" s="1051" t="str">
        <f>IF(I12="Ijarah Leasing","NCB Protection","")</f>
        <v/>
      </c>
      <c r="J36" s="1071"/>
      <c r="K36" s="984"/>
      <c r="L36" s="1080" t="s">
        <v>9</v>
      </c>
      <c r="M36" s="733" t="str">
        <f>IF('Old MC Working'!H54&gt;0,CONCATENATE("Learner Driver Cover for"," ",'Old MC Working'!H54,"  ","Person(s)"),"Learner Driver Cover")</f>
        <v>Learner Driver Cover</v>
      </c>
      <c r="N36" s="987"/>
      <c r="O36" s="987"/>
      <c r="P36" s="987"/>
      <c r="Q36" s="987"/>
      <c r="R36" s="987"/>
      <c r="S36" s="1055"/>
      <c r="U36" s="1077" t="str">
        <f>'Old MC Working'!B41</f>
        <v>Yes</v>
      </c>
      <c r="V36" s="1059" t="s">
        <v>32</v>
      </c>
      <c r="W36" s="1078">
        <f>'Old MC Working'!O52</f>
        <v>0</v>
      </c>
      <c r="X36" s="1059"/>
      <c r="Y36" s="1078"/>
      <c r="Z36" s="1059"/>
      <c r="AA36" s="1078"/>
      <c r="AB36" s="1059"/>
      <c r="AC36" s="1059"/>
      <c r="AD36" s="1060"/>
      <c r="AE36" s="1060"/>
      <c r="AF36" s="1060"/>
    </row>
    <row r="37" spans="1:32" ht="18.899999999999999" hidden="1" customHeight="1" x14ac:dyDescent="0.35">
      <c r="A37" s="977"/>
      <c r="B37" s="982"/>
      <c r="C37" s="1041"/>
      <c r="D37" s="1041"/>
      <c r="E37" s="1041"/>
      <c r="F37" s="1041"/>
      <c r="G37" s="1096" t="s">
        <v>9</v>
      </c>
      <c r="H37" s="1096" t="s">
        <v>9</v>
      </c>
      <c r="I37" s="1051" t="str">
        <f>IF(I13="Ijarah Leasing","NCB Protection","")</f>
        <v/>
      </c>
      <c r="J37" s="1071"/>
      <c r="K37" s="984"/>
      <c r="L37" s="1080" t="s">
        <v>9</v>
      </c>
      <c r="M37" s="1097"/>
      <c r="N37" s="1098"/>
      <c r="O37" s="984"/>
      <c r="P37" s="984"/>
      <c r="Q37" s="1099"/>
      <c r="R37" s="1100"/>
      <c r="S37" s="1055"/>
      <c r="U37" s="1077">
        <f>IF('Old MC Working'!Y43&gt;0,1,0)</f>
        <v>0</v>
      </c>
      <c r="V37" s="1059" t="s">
        <v>18</v>
      </c>
      <c r="W37" s="1078">
        <f>IF('Old MC Working'!Z43&gt;0,1,0)</f>
        <v>0</v>
      </c>
      <c r="X37" s="1059" t="s">
        <v>16</v>
      </c>
      <c r="Y37" s="1078">
        <f>IF('Old MC Working'!X43&gt;0,1,0)</f>
        <v>0</v>
      </c>
      <c r="Z37" s="1059" t="s">
        <v>31</v>
      </c>
      <c r="AA37" s="1078">
        <f>IF(OR('Old MC Working'!Q49&gt;0,'Old MC Working'!H49&gt;0),1,0)</f>
        <v>0</v>
      </c>
      <c r="AB37" s="1059">
        <f>IF(AND('Old MC Working'!T47=1,'Old MC Working'!H49&lt;7500),7500,'Old MC Working'!H49)</f>
        <v>0</v>
      </c>
      <c r="AC37" s="1059"/>
      <c r="AD37" s="1060"/>
      <c r="AE37" s="1060"/>
      <c r="AF37" s="1060"/>
    </row>
    <row r="38" spans="1:32" ht="18.899999999999999" hidden="1" customHeight="1" x14ac:dyDescent="0.35">
      <c r="A38" s="977"/>
      <c r="B38" s="982"/>
      <c r="C38" s="1041"/>
      <c r="D38" s="1041"/>
      <c r="E38" s="1041"/>
      <c r="F38" s="1041"/>
      <c r="G38" s="1081"/>
      <c r="H38" s="984"/>
      <c r="I38" s="984"/>
      <c r="J38" s="1071"/>
      <c r="K38" s="1101" t="str">
        <f ca="1">IF('Old MC Working'!M37&lt;0,"No Claim Bonus (*)","Earned NCB")</f>
        <v>No Claim Bonus (*)</v>
      </c>
      <c r="L38" s="1080" t="s">
        <v>9</v>
      </c>
      <c r="M38" s="1041"/>
      <c r="N38" s="1098"/>
      <c r="O38" s="1070"/>
      <c r="P38" s="1070"/>
      <c r="Q38" s="1102"/>
      <c r="R38" s="1103"/>
      <c r="S38" s="1055"/>
      <c r="U38" s="1077">
        <f>'Old MC Working'!O50</f>
        <v>0</v>
      </c>
      <c r="V38" s="1078" t="s">
        <v>30</v>
      </c>
      <c r="W38" s="1078">
        <f ca="1">'Old MC Working'!P23</f>
        <v>1</v>
      </c>
      <c r="X38" s="1059"/>
      <c r="Y38" s="1059"/>
      <c r="Z38" s="1059"/>
      <c r="AA38" s="1059"/>
      <c r="AB38" s="1059"/>
      <c r="AC38" s="1059"/>
      <c r="AD38" s="1060"/>
      <c r="AE38" s="1060"/>
      <c r="AF38" s="1060"/>
    </row>
    <row r="39" spans="1:32" ht="18.899999999999999" hidden="1" customHeight="1" x14ac:dyDescent="0.35">
      <c r="A39" s="977"/>
      <c r="B39" s="982"/>
      <c r="C39" s="1041"/>
      <c r="D39" s="1041"/>
      <c r="E39" s="1041"/>
      <c r="F39" s="1041"/>
      <c r="G39" s="1104"/>
      <c r="H39" s="1104"/>
      <c r="I39" s="733"/>
      <c r="J39" s="1071"/>
      <c r="K39" s="984"/>
      <c r="L39" s="1091" t="s">
        <v>9</v>
      </c>
      <c r="M39" s="1105" t="str">
        <f>IF(U42=1,"Duty Free Cover","")</f>
        <v/>
      </c>
      <c r="N39" s="987"/>
      <c r="O39" s="987"/>
      <c r="P39" s="987"/>
      <c r="Q39" s="987"/>
      <c r="R39" s="987"/>
      <c r="S39" s="1055"/>
      <c r="T39" s="973" t="s">
        <v>18</v>
      </c>
      <c r="U39" s="1077">
        <f>'Old MC Working'!O51</f>
        <v>0</v>
      </c>
      <c r="V39" s="1059" t="s">
        <v>29</v>
      </c>
      <c r="W39" s="1078">
        <f>'Old MC Working'!O22</f>
        <v>0</v>
      </c>
      <c r="X39" s="1059"/>
      <c r="Y39" s="1059"/>
      <c r="Z39" s="1059"/>
      <c r="AA39" s="1059"/>
      <c r="AB39" s="1059"/>
      <c r="AC39" s="1059"/>
      <c r="AD39" s="1060"/>
      <c r="AE39" s="1060"/>
      <c r="AF39" s="1060"/>
    </row>
    <row r="40" spans="1:32" ht="18.899999999999999" hidden="1" customHeight="1" x14ac:dyDescent="0.35">
      <c r="A40" s="977"/>
      <c r="B40" s="982"/>
      <c r="C40" s="1106" t="s">
        <v>9</v>
      </c>
      <c r="D40" s="733" t="str">
        <f>IF($T$40=1,PROPER('Old MC Working'!$F$58),"")</f>
        <v/>
      </c>
      <c r="E40" s="1073"/>
      <c r="F40" s="1107"/>
      <c r="G40" s="1073"/>
      <c r="H40" s="1073"/>
      <c r="I40" s="733"/>
      <c r="J40" s="1071"/>
      <c r="K40" s="984"/>
      <c r="L40" s="1091" t="s">
        <v>9</v>
      </c>
      <c r="M40" s="733" t="str">
        <f>IF($U$40=1,PROPER('Old MC Working'!$F$59),"")</f>
        <v/>
      </c>
      <c r="N40" s="987"/>
      <c r="O40" s="987"/>
      <c r="P40" s="987"/>
      <c r="Q40" s="982"/>
      <c r="R40" s="982"/>
      <c r="S40" s="1055"/>
      <c r="T40" s="1108">
        <f>'Old MC Working'!$O$58</f>
        <v>0</v>
      </c>
      <c r="U40" s="1108">
        <f>'Old MC Working'!$O$59</f>
        <v>0</v>
      </c>
      <c r="V40" s="1059"/>
      <c r="W40" s="1078"/>
      <c r="X40" s="1059"/>
      <c r="Y40" s="1059"/>
      <c r="Z40" s="1059"/>
      <c r="AA40" s="1059"/>
      <c r="AB40" s="1059"/>
      <c r="AC40" s="1059"/>
      <c r="AD40" s="1060"/>
      <c r="AE40" s="1060"/>
      <c r="AF40" s="1060"/>
    </row>
    <row r="41" spans="1:32" ht="12.75" hidden="1" customHeight="1" x14ac:dyDescent="0.35">
      <c r="A41" s="977"/>
      <c r="B41" s="982"/>
      <c r="C41" s="982"/>
      <c r="D41" s="1762"/>
      <c r="E41" s="1762"/>
      <c r="F41" s="982"/>
      <c r="G41" s="982"/>
      <c r="H41" s="982"/>
      <c r="I41" s="982"/>
      <c r="J41" s="984"/>
      <c r="K41" s="984"/>
      <c r="L41" s="987"/>
      <c r="M41" s="987"/>
      <c r="N41" s="987"/>
      <c r="O41" s="987"/>
      <c r="P41" s="987"/>
      <c r="Q41" s="987"/>
      <c r="R41" s="1099"/>
      <c r="S41" s="1055"/>
      <c r="T41" s="973" t="s">
        <v>27</v>
      </c>
      <c r="U41" s="1077">
        <f>'Old MC Working'!O54</f>
        <v>0</v>
      </c>
      <c r="V41" s="1109" t="s">
        <v>0</v>
      </c>
      <c r="W41" s="1078">
        <f ca="1">'Old MC Working'!O36</f>
        <v>1</v>
      </c>
      <c r="X41" s="1059"/>
      <c r="Y41" s="1059"/>
      <c r="Z41" s="1059"/>
      <c r="AA41" s="1059"/>
      <c r="AB41" s="1059"/>
    </row>
    <row r="42" spans="1:32" ht="12" customHeight="1" x14ac:dyDescent="0.3">
      <c r="A42" s="977"/>
      <c r="B42" s="982"/>
      <c r="C42" s="1110"/>
      <c r="D42" s="1110"/>
      <c r="E42" s="1110"/>
      <c r="F42" s="1110"/>
      <c r="G42" s="1110"/>
      <c r="H42" s="1110"/>
      <c r="I42" s="1110"/>
      <c r="J42" s="1110"/>
      <c r="K42" s="1110"/>
      <c r="L42" s="1110"/>
      <c r="M42" s="1110"/>
      <c r="N42" s="1110"/>
      <c r="O42" s="1110"/>
      <c r="P42" s="1110"/>
      <c r="Q42" s="1110"/>
      <c r="R42" s="1110"/>
      <c r="S42" s="1035"/>
      <c r="T42" s="973" t="s">
        <v>43</v>
      </c>
      <c r="U42" s="1077">
        <f>IF('Old MC Working'!B55="Yes",1,0)</f>
        <v>0</v>
      </c>
      <c r="V42" s="1059" t="s">
        <v>41</v>
      </c>
      <c r="W42" s="1078">
        <v>1</v>
      </c>
      <c r="X42" s="1059" t="s">
        <v>42</v>
      </c>
      <c r="Y42" s="1059">
        <f>'Old MC Working'!O45</f>
        <v>0</v>
      </c>
      <c r="Z42" s="1059"/>
      <c r="AA42" s="1059"/>
      <c r="AB42" s="1059"/>
    </row>
    <row r="43" spans="1:32" ht="13.5" customHeight="1" x14ac:dyDescent="0.3">
      <c r="A43" s="977"/>
      <c r="B43" s="982"/>
      <c r="C43" s="1763" t="s">
        <v>563</v>
      </c>
      <c r="D43" s="1763"/>
      <c r="E43" s="1763"/>
      <c r="F43" s="1763"/>
      <c r="G43" s="1763"/>
      <c r="H43" s="1763"/>
      <c r="I43" s="1763"/>
      <c r="J43" s="1763"/>
      <c r="K43" s="1763"/>
      <c r="L43" s="1763"/>
      <c r="M43" s="1763"/>
      <c r="N43" s="1763"/>
      <c r="O43" s="1763"/>
      <c r="P43" s="1763"/>
      <c r="Q43" s="1763"/>
      <c r="R43" s="1763"/>
      <c r="S43" s="1035"/>
      <c r="T43" s="973" t="s">
        <v>16</v>
      </c>
      <c r="U43" s="1077">
        <f>'Old MC Working'!O30</f>
        <v>0</v>
      </c>
      <c r="V43" s="1059" t="s">
        <v>44</v>
      </c>
      <c r="W43" s="1078">
        <f>'Old MC Working'!E34</f>
        <v>1</v>
      </c>
      <c r="X43" s="1059" t="s">
        <v>48</v>
      </c>
      <c r="Y43" s="1059" t="str">
        <f>'Old MC Working'!B46</f>
        <v>No</v>
      </c>
      <c r="Z43" s="1059" t="s">
        <v>48</v>
      </c>
      <c r="AA43" s="1059">
        <f>IF('Old MC Working'!Q48=0,1,'Old MC Working'!T46)</f>
        <v>0</v>
      </c>
      <c r="AB43" s="1059">
        <f>IF(AND('Old MC Working'!M8="Motor Coach",'Old MC Working'!H9="SLTB Route"),1,0)</f>
        <v>0</v>
      </c>
    </row>
    <row r="44" spans="1:32" ht="18" customHeight="1" x14ac:dyDescent="0.3">
      <c r="A44" s="977"/>
      <c r="B44" s="982"/>
      <c r="C44" s="1111" t="s">
        <v>324</v>
      </c>
      <c r="D44" s="1112"/>
      <c r="E44" s="1112"/>
      <c r="F44" s="1112"/>
      <c r="G44" s="1005" t="s">
        <v>325</v>
      </c>
      <c r="H44" s="1112"/>
      <c r="I44" s="1112"/>
      <c r="J44" s="1112"/>
      <c r="K44" s="1112"/>
      <c r="L44" s="1112"/>
      <c r="M44" s="1112"/>
      <c r="N44" s="1112"/>
      <c r="O44" s="1112"/>
      <c r="P44" s="1112"/>
      <c r="Q44" s="1112"/>
      <c r="R44" s="1112"/>
      <c r="S44" s="1035"/>
      <c r="U44" s="1077"/>
      <c r="V44" s="1059"/>
      <c r="W44" s="1078"/>
      <c r="X44" s="1059"/>
      <c r="Y44" s="1059"/>
      <c r="Z44" s="1059"/>
      <c r="AA44" s="1059"/>
      <c r="AB44" s="1059"/>
    </row>
    <row r="45" spans="1:32" ht="18" customHeight="1" x14ac:dyDescent="0.3">
      <c r="A45" s="977"/>
      <c r="B45" s="982">
        <f>IF(AND('Rates (2)'!D71="Yes",'Old MC Working'!H12="Hybrid"),1,0)</f>
        <v>0</v>
      </c>
      <c r="C45" s="1113" t="s">
        <v>406</v>
      </c>
      <c r="D45" s="1112"/>
      <c r="E45" s="1112"/>
      <c r="F45" s="1112"/>
      <c r="G45" s="1112"/>
      <c r="H45" s="1114" t="s">
        <v>51</v>
      </c>
      <c r="I45" s="1115" t="str">
        <f ca="1">IF(AND(U3=1,'Old MC Working'!M12="Above 250cc")," as below",IF(AND(U3=1,'Old MC Working'!R92=0),"Nil",IF(U3=1,CONCATENATE("Rs.",FIXED('Old MC Working'!R92,0),"/-"),"-")))</f>
        <v>Rs.2,500/-</v>
      </c>
      <c r="J45" s="1116"/>
      <c r="K45" s="1112"/>
      <c r="L45" s="1117" t="str">
        <f>IF(U33="Yes","• Flood &amp; Natural Disaster","")</f>
        <v>• Flood &amp; Natural Disaster</v>
      </c>
      <c r="M45" s="1112"/>
      <c r="N45" s="1112"/>
      <c r="O45" s="1112"/>
      <c r="P45" s="1112"/>
      <c r="Q45" s="1112" t="str">
        <f>IF(U33="Yes","-","")</f>
        <v>-</v>
      </c>
      <c r="R45" s="1115" t="s">
        <v>564</v>
      </c>
      <c r="S45" s="1035"/>
      <c r="U45" s="1077"/>
      <c r="W45" s="1118"/>
    </row>
    <row r="46" spans="1:32" ht="18" customHeight="1" x14ac:dyDescent="0.3">
      <c r="A46" s="977"/>
      <c r="B46" s="982"/>
      <c r="C46" s="1119" t="str">
        <f>IF(AND(U3=1,'Old MC Working'!M12="Above 250cc"),CONCATENATE("  20% of loss with a minimum of Rs.",FIXED('Old MC Working'!R92,0),"/-"),"")</f>
        <v/>
      </c>
      <c r="D46" s="1112"/>
      <c r="E46" s="1112"/>
      <c r="F46" s="1112"/>
      <c r="G46" s="1112"/>
      <c r="H46" s="1112"/>
      <c r="I46" s="1120"/>
      <c r="J46" s="1116"/>
      <c r="K46" s="1112"/>
      <c r="L46" s="1121" t="s">
        <v>565</v>
      </c>
      <c r="M46" s="1122"/>
      <c r="N46" s="985"/>
      <c r="O46" s="985"/>
      <c r="P46" s="1112"/>
      <c r="Q46" s="1112"/>
      <c r="R46" s="1112"/>
      <c r="S46" s="1035"/>
      <c r="U46" s="1077"/>
      <c r="W46" s="1118"/>
    </row>
    <row r="47" spans="1:32" ht="18" customHeight="1" x14ac:dyDescent="0.3">
      <c r="A47" s="977"/>
      <c r="B47" s="982"/>
      <c r="C47" s="1123" t="str">
        <f>IF(AND('Rates (2)'!D67="Yes",OR('Old MC Working'!H12="Hybrid",'Old MC Working'!H12="Electric")),CONCATENATE("• Excess on Inverter 25%; Excess on Battery : ",'Rates (2)'!A68),"")</f>
        <v/>
      </c>
      <c r="D47" s="1124"/>
      <c r="E47" s="1124"/>
      <c r="F47" s="1124"/>
      <c r="G47" s="1124"/>
      <c r="H47" s="1124"/>
      <c r="I47" s="1124"/>
      <c r="J47" s="1125"/>
      <c r="K47" s="1126"/>
      <c r="L47" s="1126"/>
      <c r="M47" s="1126"/>
      <c r="N47" s="1126"/>
      <c r="O47" s="1126"/>
      <c r="P47" s="1126"/>
      <c r="Q47" s="1112"/>
      <c r="R47" s="1112"/>
      <c r="S47" s="1035"/>
      <c r="U47" s="1077"/>
      <c r="W47" s="1118"/>
    </row>
    <row r="48" spans="1:32" ht="18" customHeight="1" x14ac:dyDescent="0.3">
      <c r="A48" s="977"/>
      <c r="B48" s="982"/>
      <c r="C48" s="1767" t="s">
        <v>300</v>
      </c>
      <c r="D48" s="1768"/>
      <c r="E48" s="1768"/>
      <c r="F48" s="1768"/>
      <c r="G48" s="1768"/>
      <c r="H48" s="1768"/>
      <c r="I48" s="1768"/>
      <c r="J48" s="1768"/>
      <c r="K48" s="1768"/>
      <c r="L48" s="1768"/>
      <c r="M48" s="1768"/>
      <c r="N48" s="1768"/>
      <c r="O48" s="1768"/>
      <c r="P48" s="1768"/>
      <c r="Q48" s="1768"/>
      <c r="R48" s="1768"/>
      <c r="S48" s="1035"/>
      <c r="U48" s="1077"/>
      <c r="W48" s="1118"/>
    </row>
    <row r="49" spans="1:24" s="976" customFormat="1" ht="40.5" customHeight="1" x14ac:dyDescent="0.3">
      <c r="A49" s="977"/>
      <c r="B49" s="982"/>
      <c r="C49" s="1769"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69"/>
      <c r="E49" s="1769"/>
      <c r="F49" s="1769"/>
      <c r="G49" s="1769"/>
      <c r="H49" s="1769"/>
      <c r="I49" s="1769"/>
      <c r="J49" s="1769"/>
      <c r="K49" s="1769"/>
      <c r="L49" s="1769"/>
      <c r="M49" s="1769"/>
      <c r="N49" s="1769"/>
      <c r="O49" s="1769"/>
      <c r="P49" s="1769"/>
      <c r="Q49" s="1769"/>
      <c r="R49" s="1769"/>
      <c r="S49" s="1035"/>
      <c r="T49" s="973" t="s">
        <v>132</v>
      </c>
      <c r="U49" s="1127">
        <f>IF(AND('Old MC Working'!M8="Motor Coach",'Old MC Working'!H9="SLTB Route"),1,0)</f>
        <v>0</v>
      </c>
      <c r="V49" s="976" t="s">
        <v>28</v>
      </c>
      <c r="W49" s="1118">
        <f>'Old MC Working'!O56</f>
        <v>0</v>
      </c>
      <c r="X49" s="976" t="str">
        <f ca="1">IF('Old MC Working'!M36&lt;0,"NCB allowed is subject to documentary evidence.","")</f>
        <v/>
      </c>
    </row>
    <row r="50" spans="1:24" s="976" customFormat="1" ht="17.25" customHeight="1" x14ac:dyDescent="0.3">
      <c r="A50" s="977"/>
      <c r="B50" s="982"/>
      <c r="C50" s="1128" t="s">
        <v>566</v>
      </c>
      <c r="D50" s="1005"/>
      <c r="E50" s="1005"/>
      <c r="F50" s="1005"/>
      <c r="G50" s="1005"/>
      <c r="H50" s="1005"/>
      <c r="I50" s="1005"/>
      <c r="J50" s="1005"/>
      <c r="K50" s="1005"/>
      <c r="L50" s="1005"/>
      <c r="M50" s="1005"/>
      <c r="N50" s="1005"/>
      <c r="O50" s="1005"/>
      <c r="P50" s="1005"/>
      <c r="Q50" s="1005"/>
      <c r="R50" s="1005"/>
      <c r="S50" s="1035"/>
      <c r="T50" s="973"/>
      <c r="U50" s="973"/>
    </row>
    <row r="51" spans="1:24" s="976" customFormat="1" ht="14.25" customHeight="1" x14ac:dyDescent="0.3">
      <c r="A51" s="977"/>
      <c r="B51" s="982"/>
      <c r="C51" s="1770" t="s">
        <v>567</v>
      </c>
      <c r="D51" s="1770"/>
      <c r="E51" s="1770"/>
      <c r="F51" s="1770"/>
      <c r="G51" s="1770"/>
      <c r="H51" s="1770"/>
      <c r="I51" s="1770"/>
      <c r="J51" s="1770"/>
      <c r="K51" s="1770"/>
      <c r="L51" s="1770"/>
      <c r="M51" s="1770"/>
      <c r="N51" s="1770"/>
      <c r="O51" s="1770"/>
      <c r="P51" s="1770"/>
      <c r="Q51" s="1770"/>
      <c r="R51" s="1770"/>
      <c r="S51" s="1035"/>
      <c r="T51" s="973"/>
      <c r="U51" s="973"/>
    </row>
    <row r="52" spans="1:24" s="976" customFormat="1" ht="29.25" customHeight="1" x14ac:dyDescent="0.3">
      <c r="A52" s="977"/>
      <c r="B52" s="982"/>
      <c r="C52" s="1770"/>
      <c r="D52" s="1770"/>
      <c r="E52" s="1770"/>
      <c r="F52" s="1770"/>
      <c r="G52" s="1770"/>
      <c r="H52" s="1770"/>
      <c r="I52" s="1770"/>
      <c r="J52" s="1770"/>
      <c r="K52" s="1770"/>
      <c r="L52" s="1770"/>
      <c r="M52" s="1770"/>
      <c r="N52" s="1770"/>
      <c r="O52" s="1770"/>
      <c r="P52" s="1770"/>
      <c r="Q52" s="1770"/>
      <c r="R52" s="1770"/>
      <c r="S52" s="1055"/>
      <c r="T52" s="973"/>
      <c r="U52" s="973"/>
    </row>
    <row r="53" spans="1:24" s="976" customFormat="1" ht="20.149999999999999" customHeight="1" x14ac:dyDescent="0.3">
      <c r="A53" s="977"/>
      <c r="B53" s="982"/>
      <c r="C53" s="1129" t="s">
        <v>568</v>
      </c>
      <c r="D53" s="1130"/>
      <c r="E53" s="1130"/>
      <c r="F53" s="1130"/>
      <c r="G53" s="1130"/>
      <c r="H53" s="1130"/>
      <c r="I53" s="1130"/>
      <c r="J53" s="1131"/>
      <c r="K53" s="1131"/>
      <c r="L53" s="1131"/>
      <c r="M53" s="1131"/>
      <c r="N53" s="1131"/>
      <c r="O53" s="1131"/>
      <c r="P53" s="1131"/>
      <c r="Q53" s="1131"/>
      <c r="R53" s="1131"/>
      <c r="S53" s="1055"/>
      <c r="T53" s="973"/>
      <c r="U53" s="973"/>
    </row>
    <row r="54" spans="1:24" s="976" customFormat="1" ht="29.25" customHeight="1" x14ac:dyDescent="0.3">
      <c r="A54" s="977"/>
      <c r="B54" s="982"/>
      <c r="C54" s="1771" t="s">
        <v>570</v>
      </c>
      <c r="D54" s="1772"/>
      <c r="E54" s="1772"/>
      <c r="F54" s="1772"/>
      <c r="G54" s="1772"/>
      <c r="H54" s="1772"/>
      <c r="I54" s="1772"/>
      <c r="J54" s="1772"/>
      <c r="K54" s="1772"/>
      <c r="L54" s="1772"/>
      <c r="M54" s="1772"/>
      <c r="N54" s="1132"/>
      <c r="O54" s="1132"/>
      <c r="P54" s="1132"/>
      <c r="Q54" s="1132"/>
      <c r="R54" s="1132"/>
      <c r="S54" s="1055"/>
      <c r="T54" s="973"/>
      <c r="U54" s="973"/>
    </row>
    <row r="55" spans="1:24" ht="26.25" customHeight="1" x14ac:dyDescent="0.3">
      <c r="A55" s="977"/>
      <c r="B55" s="982"/>
      <c r="C55" s="1772"/>
      <c r="D55" s="1772"/>
      <c r="E55" s="1772"/>
      <c r="F55" s="1772"/>
      <c r="G55" s="1772"/>
      <c r="H55" s="1772"/>
      <c r="I55" s="1772"/>
      <c r="J55" s="1772"/>
      <c r="K55" s="1772"/>
      <c r="L55" s="1772"/>
      <c r="M55" s="1772"/>
      <c r="N55" s="1132"/>
      <c r="O55" s="1132"/>
      <c r="P55" s="1132"/>
      <c r="Q55" s="1132"/>
      <c r="R55" s="1132"/>
      <c r="S55" s="1055"/>
      <c r="V55" s="976">
        <f>IF(OR('Old MC Working'!E61=0,'Old MC Working'!E61=""),1,0)</f>
        <v>1</v>
      </c>
    </row>
    <row r="56" spans="1:24" ht="18" customHeight="1" x14ac:dyDescent="0.3">
      <c r="A56" s="977"/>
      <c r="B56" s="982"/>
      <c r="C56" s="1133"/>
      <c r="D56" s="1134"/>
      <c r="E56" s="1134"/>
      <c r="F56" s="1134"/>
      <c r="G56" s="1134"/>
      <c r="H56" s="1134"/>
      <c r="I56" s="1134"/>
      <c r="J56" s="1134"/>
      <c r="K56" s="1134"/>
      <c r="L56" s="1134"/>
      <c r="M56" s="1134"/>
      <c r="N56" s="1773"/>
      <c r="O56" s="1773"/>
      <c r="P56" s="1773"/>
      <c r="Q56" s="1773"/>
      <c r="R56" s="1773"/>
      <c r="S56" s="1055"/>
    </row>
    <row r="57" spans="1:24" ht="30.75" hidden="1" customHeight="1" x14ac:dyDescent="0.3">
      <c r="A57" s="977"/>
      <c r="B57" s="982"/>
      <c r="C57" s="1135"/>
      <c r="D57" s="1134"/>
      <c r="E57" s="1134"/>
      <c r="F57" s="1134"/>
      <c r="G57" s="1134"/>
      <c r="H57" s="1134"/>
      <c r="I57" s="1134"/>
      <c r="J57" s="1134"/>
      <c r="K57" s="1134"/>
      <c r="L57" s="1134"/>
      <c r="M57" s="1134"/>
      <c r="N57" s="1134"/>
      <c r="O57" s="1134"/>
      <c r="P57" s="1134"/>
      <c r="Q57" s="1134"/>
      <c r="R57" s="1134"/>
      <c r="S57" s="1055"/>
    </row>
    <row r="58" spans="1:24" ht="15.75" hidden="1" customHeight="1" x14ac:dyDescent="0.3">
      <c r="A58" s="977"/>
      <c r="B58" s="982"/>
      <c r="C58" s="1774"/>
      <c r="D58" s="1774"/>
      <c r="E58" s="1774"/>
      <c r="F58" s="1774"/>
      <c r="G58" s="1774"/>
      <c r="H58" s="1774"/>
      <c r="I58" s="1774"/>
      <c r="J58" s="1136"/>
      <c r="K58" s="1136"/>
      <c r="L58" s="1136"/>
      <c r="M58" s="1137"/>
      <c r="N58" s="985"/>
      <c r="O58" s="985"/>
      <c r="P58" s="985"/>
      <c r="Q58" s="985"/>
      <c r="R58" s="985"/>
      <c r="S58" s="1138"/>
    </row>
    <row r="59" spans="1:24" ht="21" customHeight="1" x14ac:dyDescent="0.3">
      <c r="A59" s="977"/>
      <c r="B59" s="1462"/>
      <c r="C59" s="1463" t="s">
        <v>571</v>
      </c>
      <c r="D59" s="1464">
        <f>'Old MC Working'!H23</f>
        <v>57.6</v>
      </c>
      <c r="E59" s="1465"/>
      <c r="F59" s="1465"/>
      <c r="G59" s="1465"/>
      <c r="H59" s="1465"/>
      <c r="I59" s="1465"/>
      <c r="J59" s="1465"/>
      <c r="K59" s="1465"/>
      <c r="L59" s="1466" t="s">
        <v>572</v>
      </c>
      <c r="M59" s="1467">
        <f>'Old MC Working'!H37</f>
        <v>25</v>
      </c>
      <c r="N59" s="1465"/>
      <c r="O59" s="1468"/>
      <c r="P59" s="1469"/>
      <c r="Q59" s="1470"/>
      <c r="R59" s="1471" t="str">
        <f>CONCATENATE("I - ",'Old MC Working'!M55)</f>
        <v>I - 2180</v>
      </c>
      <c r="S59" s="1138"/>
    </row>
    <row r="60" spans="1:24" ht="15" customHeight="1" thickBot="1" x14ac:dyDescent="0.3">
      <c r="A60" s="574"/>
      <c r="B60" s="575"/>
      <c r="C60" s="1594" t="str">
        <f>CONCATENATE("[MNPS - ",ROUND(-'MC Working'!F3*100,3)," - ",ROUND(-'MC Working'!F7*100,3),"   P- (",'MC Working'!C10,")  S - (",'MC Working'!C9,") ]")</f>
        <v>[MNPS - 56.179 - 30   P- (2000)  S - (3000) ]</v>
      </c>
      <c r="D60" s="1594"/>
      <c r="E60" s="1594"/>
      <c r="F60" s="1594"/>
      <c r="G60" s="575"/>
      <c r="H60" s="575"/>
      <c r="I60" s="575"/>
      <c r="J60" s="575"/>
      <c r="K60" s="575"/>
      <c r="L60" s="575"/>
      <c r="M60" s="575"/>
      <c r="N60" s="575"/>
      <c r="O60" s="576"/>
      <c r="P60" s="577"/>
      <c r="Q60" s="578"/>
      <c r="R60" s="579"/>
      <c r="S60" s="580"/>
    </row>
    <row r="61" spans="1:24" ht="16" hidden="1" thickTop="1" x14ac:dyDescent="0.35">
      <c r="A61" s="1139"/>
      <c r="D61" s="1140"/>
      <c r="E61" s="1140"/>
      <c r="F61" s="1140"/>
      <c r="G61" s="1140"/>
      <c r="H61" s="1140"/>
      <c r="J61" s="1141"/>
      <c r="K61" s="1141"/>
      <c r="L61" s="1141"/>
      <c r="M61" s="1141"/>
      <c r="N61" s="1141"/>
      <c r="O61" s="1141"/>
      <c r="P61" s="1141"/>
      <c r="S61" s="1141"/>
    </row>
    <row r="62" spans="1:24" ht="13" hidden="1" thickTop="1" x14ac:dyDescent="0.25"/>
    <row r="63" spans="1:24" ht="13" hidden="1" thickTop="1" x14ac:dyDescent="0.25"/>
    <row r="64" spans="1:24" ht="13" hidden="1" thickTop="1" x14ac:dyDescent="0.25"/>
    <row r="65" spans="1:19" ht="13" hidden="1" thickTop="1" x14ac:dyDescent="0.25">
      <c r="A65" s="1766" t="s">
        <v>401</v>
      </c>
      <c r="B65" s="1766"/>
      <c r="C65" s="1766"/>
      <c r="D65" s="1766"/>
      <c r="E65" s="1766"/>
      <c r="F65" s="1766"/>
      <c r="G65" s="1766"/>
      <c r="H65" s="1766"/>
      <c r="I65" s="1766"/>
      <c r="J65" s="1766"/>
      <c r="K65" s="1766"/>
      <c r="L65" s="1766"/>
      <c r="M65" s="1766"/>
      <c r="N65" s="1766"/>
      <c r="O65" s="1766"/>
      <c r="P65" s="1766"/>
      <c r="Q65" s="1766"/>
      <c r="R65" s="1766"/>
      <c r="S65" s="1766"/>
    </row>
    <row r="66" spans="1:19" ht="13" hidden="1" thickTop="1" x14ac:dyDescent="0.25">
      <c r="A66" s="1766"/>
      <c r="B66" s="1766"/>
      <c r="C66" s="1766"/>
      <c r="D66" s="1766"/>
      <c r="E66" s="1766"/>
      <c r="F66" s="1766"/>
      <c r="G66" s="1766"/>
      <c r="H66" s="1766"/>
      <c r="I66" s="1766"/>
      <c r="J66" s="1766"/>
      <c r="K66" s="1766"/>
      <c r="L66" s="1766"/>
      <c r="M66" s="1766"/>
      <c r="N66" s="1766"/>
      <c r="O66" s="1766"/>
      <c r="P66" s="1766"/>
      <c r="Q66" s="1766"/>
      <c r="R66" s="1766"/>
      <c r="S66" s="1766"/>
    </row>
    <row r="67" spans="1:19" ht="13" hidden="1" thickTop="1" x14ac:dyDescent="0.25">
      <c r="A67" s="1766"/>
      <c r="B67" s="1766"/>
      <c r="C67" s="1766"/>
      <c r="D67" s="1766"/>
      <c r="E67" s="1766"/>
      <c r="F67" s="1766"/>
      <c r="G67" s="1766"/>
      <c r="H67" s="1766"/>
      <c r="I67" s="1766"/>
      <c r="J67" s="1766"/>
      <c r="K67" s="1766"/>
      <c r="L67" s="1766"/>
      <c r="M67" s="1766"/>
      <c r="N67" s="1766"/>
      <c r="O67" s="1766"/>
      <c r="P67" s="1766"/>
      <c r="Q67" s="1766"/>
      <c r="R67" s="1766"/>
      <c r="S67" s="1766"/>
    </row>
    <row r="68" spans="1:19" ht="13" hidden="1" thickTop="1" x14ac:dyDescent="0.25">
      <c r="A68" s="1766"/>
      <c r="B68" s="1766"/>
      <c r="C68" s="1766"/>
      <c r="D68" s="1766"/>
      <c r="E68" s="1766"/>
      <c r="F68" s="1766"/>
      <c r="G68" s="1766"/>
      <c r="H68" s="1766"/>
      <c r="I68" s="1766"/>
      <c r="J68" s="1766"/>
      <c r="K68" s="1766"/>
      <c r="L68" s="1766"/>
      <c r="M68" s="1766"/>
      <c r="N68" s="1766"/>
      <c r="O68" s="1766"/>
      <c r="P68" s="1766"/>
      <c r="Q68" s="1766"/>
      <c r="R68" s="1766"/>
      <c r="S68" s="1766"/>
    </row>
    <row r="69" spans="1:19" ht="13" hidden="1" thickTop="1" x14ac:dyDescent="0.25">
      <c r="A69" s="1766"/>
      <c r="B69" s="1766"/>
      <c r="C69" s="1766"/>
      <c r="D69" s="1766"/>
      <c r="E69" s="1766"/>
      <c r="F69" s="1766"/>
      <c r="G69" s="1766"/>
      <c r="H69" s="1766"/>
      <c r="I69" s="1766"/>
      <c r="J69" s="1766"/>
      <c r="K69" s="1766"/>
      <c r="L69" s="1766"/>
      <c r="M69" s="1766"/>
      <c r="N69" s="1766"/>
      <c r="O69" s="1766"/>
      <c r="P69" s="1766"/>
      <c r="Q69" s="1766"/>
      <c r="R69" s="1766"/>
      <c r="S69" s="1766"/>
    </row>
    <row r="70" spans="1:19" ht="13" hidden="1" thickTop="1" x14ac:dyDescent="0.25">
      <c r="A70" s="1766"/>
      <c r="B70" s="1766"/>
      <c r="C70" s="1766"/>
      <c r="D70" s="1766"/>
      <c r="E70" s="1766"/>
      <c r="F70" s="1766"/>
      <c r="G70" s="1766"/>
      <c r="H70" s="1766"/>
      <c r="I70" s="1766"/>
      <c r="J70" s="1766"/>
      <c r="K70" s="1766"/>
      <c r="L70" s="1766"/>
      <c r="M70" s="1766"/>
      <c r="N70" s="1766"/>
      <c r="O70" s="1766"/>
      <c r="P70" s="1766"/>
      <c r="Q70" s="1766"/>
      <c r="R70" s="1766"/>
      <c r="S70" s="1766"/>
    </row>
    <row r="71" spans="1:19" ht="13" hidden="1" thickTop="1" x14ac:dyDescent="0.25">
      <c r="A71" s="1766"/>
      <c r="B71" s="1766"/>
      <c r="C71" s="1766"/>
      <c r="D71" s="1766"/>
      <c r="E71" s="1766"/>
      <c r="F71" s="1766"/>
      <c r="G71" s="1766"/>
      <c r="H71" s="1766"/>
      <c r="I71" s="1766"/>
      <c r="J71" s="1766"/>
      <c r="K71" s="1766"/>
      <c r="L71" s="1766"/>
      <c r="M71" s="1766"/>
      <c r="N71" s="1766"/>
      <c r="O71" s="1766"/>
      <c r="P71" s="1766"/>
      <c r="Q71" s="1766"/>
      <c r="R71" s="1766"/>
      <c r="S71" s="1766"/>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42" t="s">
        <v>455</v>
      </c>
    </row>
    <row r="87" spans="6:18" ht="14.5" hidden="1" thickTop="1" x14ac:dyDescent="0.25">
      <c r="F87" s="1060" t="s">
        <v>458</v>
      </c>
      <c r="I87" s="1060" t="s">
        <v>458</v>
      </c>
      <c r="R87" s="1142" t="s">
        <v>454</v>
      </c>
    </row>
    <row r="88" spans="6:18" ht="14.5" hidden="1" thickTop="1" x14ac:dyDescent="0.25">
      <c r="I88" s="1060" t="s">
        <v>461</v>
      </c>
      <c r="R88" s="1142" t="s">
        <v>524</v>
      </c>
    </row>
    <row r="89" spans="6:18" ht="14.5" hidden="1" thickTop="1" x14ac:dyDescent="0.25">
      <c r="I89" s="1060" t="s">
        <v>469</v>
      </c>
      <c r="R89" s="1142" t="s">
        <v>455</v>
      </c>
    </row>
    <row r="90" spans="6:18" ht="14.5" hidden="1" thickTop="1" x14ac:dyDescent="0.25">
      <c r="I90" s="1060" t="s">
        <v>523</v>
      </c>
      <c r="R90" s="1142" t="s">
        <v>382</v>
      </c>
    </row>
    <row r="91" spans="6:18" ht="14.5" hidden="1" thickTop="1" x14ac:dyDescent="0.25">
      <c r="I91" s="1060" t="s">
        <v>472</v>
      </c>
      <c r="R91" s="1142" t="s">
        <v>455</v>
      </c>
    </row>
    <row r="92" spans="6:18" ht="14.5" hidden="1" thickTop="1" x14ac:dyDescent="0.25">
      <c r="I92" s="1060" t="s">
        <v>480</v>
      </c>
      <c r="R92" s="1142" t="s">
        <v>456</v>
      </c>
    </row>
    <row r="93" spans="6:18" ht="14.5" hidden="1" thickTop="1" x14ac:dyDescent="0.25">
      <c r="I93" s="1060" t="s">
        <v>481</v>
      </c>
      <c r="R93" s="1142" t="s">
        <v>457</v>
      </c>
    </row>
    <row r="94" spans="6:18" ht="14.5" hidden="1" thickTop="1" x14ac:dyDescent="0.25">
      <c r="I94" s="1060" t="s">
        <v>485</v>
      </c>
      <c r="R94" s="1142" t="s">
        <v>383</v>
      </c>
    </row>
    <row r="95" spans="6:18" ht="14.5" hidden="1" thickTop="1" x14ac:dyDescent="0.25">
      <c r="I95" s="1060" t="s">
        <v>491</v>
      </c>
      <c r="R95" s="1142" t="s">
        <v>459</v>
      </c>
    </row>
    <row r="96" spans="6:18" ht="14.5" hidden="1" thickTop="1" x14ac:dyDescent="0.25">
      <c r="I96" s="1060" t="s">
        <v>498</v>
      </c>
      <c r="R96" s="1142" t="s">
        <v>390</v>
      </c>
    </row>
    <row r="97" spans="9:18" ht="28.5" hidden="1" thickTop="1" x14ac:dyDescent="0.25">
      <c r="I97" s="1060" t="s">
        <v>501</v>
      </c>
      <c r="R97" s="1142" t="s">
        <v>460</v>
      </c>
    </row>
    <row r="98" spans="9:18" ht="14.5" hidden="1" thickTop="1" x14ac:dyDescent="0.25">
      <c r="I98" s="1060" t="s">
        <v>506</v>
      </c>
      <c r="R98" s="1142" t="s">
        <v>431</v>
      </c>
    </row>
    <row r="99" spans="9:18" ht="14.5" hidden="1" thickTop="1" x14ac:dyDescent="0.25">
      <c r="R99" s="1142" t="s">
        <v>462</v>
      </c>
    </row>
    <row r="100" spans="9:18" ht="28.5" hidden="1" thickTop="1" x14ac:dyDescent="0.25">
      <c r="I100" s="1060">
        <f>IF(OR(F87=I86,F87=I87,F87=I88,F87=I89,F87=I90,F87=I91,F87=I92,F87=I93,F87=I94,F87=I95,F87=I96,F87=I97,F87=I98),1,0)</f>
        <v>1</v>
      </c>
      <c r="R100" s="1142" t="s">
        <v>463</v>
      </c>
    </row>
    <row r="101" spans="9:18" ht="28.5" hidden="1" thickTop="1" x14ac:dyDescent="0.25">
      <c r="R101" s="1142" t="s">
        <v>464</v>
      </c>
    </row>
    <row r="102" spans="9:18" ht="14.5" hidden="1" thickTop="1" x14ac:dyDescent="0.25">
      <c r="R102" s="1142" t="s">
        <v>465</v>
      </c>
    </row>
    <row r="103" spans="9:18" ht="28.5" hidden="1" thickTop="1" x14ac:dyDescent="0.25">
      <c r="R103" s="1142" t="s">
        <v>466</v>
      </c>
    </row>
    <row r="104" spans="9:18" ht="28.5" hidden="1" thickTop="1" x14ac:dyDescent="0.25">
      <c r="R104" s="1142" t="s">
        <v>467</v>
      </c>
    </row>
    <row r="105" spans="9:18" ht="14.5" hidden="1" thickTop="1" x14ac:dyDescent="0.25">
      <c r="R105" s="1142" t="s">
        <v>468</v>
      </c>
    </row>
    <row r="106" spans="9:18" ht="28.5" hidden="1" thickTop="1" x14ac:dyDescent="0.25">
      <c r="R106" s="1142" t="s">
        <v>384</v>
      </c>
    </row>
    <row r="107" spans="9:18" ht="28.5" hidden="1" thickTop="1" x14ac:dyDescent="0.25">
      <c r="R107" s="1142" t="s">
        <v>470</v>
      </c>
    </row>
    <row r="108" spans="9:18" ht="28.5" hidden="1" thickTop="1" x14ac:dyDescent="0.25">
      <c r="R108" s="1142" t="s">
        <v>471</v>
      </c>
    </row>
    <row r="109" spans="9:18" ht="14.5" hidden="1" thickTop="1" x14ac:dyDescent="0.25">
      <c r="R109" s="1142" t="s">
        <v>416</v>
      </c>
    </row>
    <row r="110" spans="9:18" ht="28.5" hidden="1" thickTop="1" x14ac:dyDescent="0.25">
      <c r="R110" s="1142" t="s">
        <v>473</v>
      </c>
    </row>
    <row r="111" spans="9:18" ht="28.5" hidden="1" thickTop="1" x14ac:dyDescent="0.25">
      <c r="R111" s="1142" t="s">
        <v>474</v>
      </c>
    </row>
    <row r="112" spans="9:18" ht="14.5" hidden="1" thickTop="1" x14ac:dyDescent="0.25">
      <c r="R112" s="1142" t="s">
        <v>475</v>
      </c>
    </row>
    <row r="113" spans="18:18" ht="14.5" hidden="1" thickTop="1" x14ac:dyDescent="0.25">
      <c r="R113" s="1142" t="s">
        <v>476</v>
      </c>
    </row>
    <row r="114" spans="18:18" ht="14.5" hidden="1" thickTop="1" x14ac:dyDescent="0.25">
      <c r="R114" s="1142" t="s">
        <v>477</v>
      </c>
    </row>
    <row r="115" spans="18:18" ht="28.5" hidden="1" thickTop="1" x14ac:dyDescent="0.25">
      <c r="R115" s="1142" t="s">
        <v>478</v>
      </c>
    </row>
    <row r="116" spans="18:18" ht="14.5" hidden="1" thickTop="1" x14ac:dyDescent="0.25">
      <c r="R116" s="1142" t="s">
        <v>479</v>
      </c>
    </row>
    <row r="117" spans="18:18" ht="14.5" hidden="1" thickTop="1" x14ac:dyDescent="0.25">
      <c r="R117" s="1142" t="s">
        <v>391</v>
      </c>
    </row>
    <row r="118" spans="18:18" ht="14.5" hidden="1" thickTop="1" x14ac:dyDescent="0.25">
      <c r="R118" s="1142" t="s">
        <v>392</v>
      </c>
    </row>
    <row r="119" spans="18:18" ht="14.5" hidden="1" thickTop="1" x14ac:dyDescent="0.25">
      <c r="R119" s="1142" t="s">
        <v>385</v>
      </c>
    </row>
    <row r="120" spans="18:18" ht="14.5" hidden="1" thickTop="1" x14ac:dyDescent="0.25">
      <c r="R120" s="1142" t="s">
        <v>393</v>
      </c>
    </row>
    <row r="121" spans="18:18" ht="14.5" hidden="1" thickTop="1" x14ac:dyDescent="0.25">
      <c r="R121" s="1142" t="s">
        <v>386</v>
      </c>
    </row>
    <row r="122" spans="18:18" ht="14.5" hidden="1" thickTop="1" x14ac:dyDescent="0.25">
      <c r="R122" s="1142" t="s">
        <v>387</v>
      </c>
    </row>
    <row r="123" spans="18:18" ht="28.5" hidden="1" thickTop="1" x14ac:dyDescent="0.25">
      <c r="R123" s="1142" t="s">
        <v>482</v>
      </c>
    </row>
    <row r="124" spans="18:18" ht="14.5" hidden="1" thickTop="1" x14ac:dyDescent="0.25">
      <c r="R124" s="1142" t="s">
        <v>483</v>
      </c>
    </row>
    <row r="125" spans="18:18" ht="14.5" hidden="1" thickTop="1" x14ac:dyDescent="0.25">
      <c r="R125" s="1142" t="s">
        <v>484</v>
      </c>
    </row>
    <row r="126" spans="18:18" ht="14.5" hidden="1" thickTop="1" x14ac:dyDescent="0.25">
      <c r="R126" s="1142" t="s">
        <v>486</v>
      </c>
    </row>
    <row r="127" spans="18:18" ht="14.5" hidden="1" thickTop="1" x14ac:dyDescent="0.25">
      <c r="R127" s="1142" t="s">
        <v>487</v>
      </c>
    </row>
    <row r="128" spans="18:18" ht="28.5" hidden="1" thickTop="1" x14ac:dyDescent="0.25">
      <c r="R128" s="1142" t="s">
        <v>388</v>
      </c>
    </row>
    <row r="129" spans="18:18" ht="28.5" hidden="1" thickTop="1" x14ac:dyDescent="0.25">
      <c r="R129" s="1142" t="s">
        <v>423</v>
      </c>
    </row>
    <row r="130" spans="18:18" ht="28.5" hidden="1" thickTop="1" x14ac:dyDescent="0.25">
      <c r="R130" s="1142" t="s">
        <v>422</v>
      </c>
    </row>
    <row r="131" spans="18:18" ht="14.5" hidden="1" thickTop="1" x14ac:dyDescent="0.25">
      <c r="R131" s="1142" t="s">
        <v>488</v>
      </c>
    </row>
    <row r="132" spans="18:18" ht="28.5" hidden="1" thickTop="1" x14ac:dyDescent="0.25">
      <c r="R132" s="1142" t="s">
        <v>489</v>
      </c>
    </row>
    <row r="133" spans="18:18" ht="14.5" hidden="1" thickTop="1" x14ac:dyDescent="0.25">
      <c r="R133" s="1142" t="s">
        <v>490</v>
      </c>
    </row>
    <row r="134" spans="18:18" ht="28.5" hidden="1" thickTop="1" x14ac:dyDescent="0.25">
      <c r="R134" s="1142" t="s">
        <v>492</v>
      </c>
    </row>
    <row r="135" spans="18:18" ht="14.5" hidden="1" thickTop="1" x14ac:dyDescent="0.25">
      <c r="R135" s="1142" t="s">
        <v>493</v>
      </c>
    </row>
    <row r="136" spans="18:18" ht="28.5" hidden="1" thickTop="1" x14ac:dyDescent="0.25">
      <c r="R136" s="1142" t="s">
        <v>494</v>
      </c>
    </row>
    <row r="137" spans="18:18" ht="28.5" hidden="1" thickTop="1" x14ac:dyDescent="0.25">
      <c r="R137" s="1142" t="s">
        <v>495</v>
      </c>
    </row>
    <row r="138" spans="18:18" ht="14.5" hidden="1" thickTop="1" x14ac:dyDescent="0.25">
      <c r="R138" s="1142" t="s">
        <v>496</v>
      </c>
    </row>
    <row r="139" spans="18:18" ht="14.5" hidden="1" thickTop="1" x14ac:dyDescent="0.25">
      <c r="R139" s="1142" t="s">
        <v>497</v>
      </c>
    </row>
    <row r="140" spans="18:18" ht="28.5" hidden="1" thickTop="1" x14ac:dyDescent="0.25">
      <c r="R140" s="1142" t="s">
        <v>394</v>
      </c>
    </row>
    <row r="141" spans="18:18" ht="28.5" hidden="1" thickTop="1" x14ac:dyDescent="0.25">
      <c r="R141" s="1142" t="s">
        <v>499</v>
      </c>
    </row>
    <row r="142" spans="18:18" ht="28.5" hidden="1" thickTop="1" x14ac:dyDescent="0.25">
      <c r="R142" s="1142" t="s">
        <v>500</v>
      </c>
    </row>
    <row r="143" spans="18:18" ht="14.5" hidden="1" thickTop="1" x14ac:dyDescent="0.25">
      <c r="R143" s="1142" t="s">
        <v>502</v>
      </c>
    </row>
    <row r="144" spans="18:18" ht="28.5" hidden="1" thickTop="1" x14ac:dyDescent="0.25">
      <c r="R144" s="1142" t="s">
        <v>503</v>
      </c>
    </row>
    <row r="145" spans="18:18" ht="14.5" hidden="1" thickTop="1" x14ac:dyDescent="0.25">
      <c r="R145" s="1142" t="s">
        <v>504</v>
      </c>
    </row>
    <row r="146" spans="18:18" ht="14.5" hidden="1" thickTop="1" x14ac:dyDescent="0.25">
      <c r="R146" s="1142" t="s">
        <v>505</v>
      </c>
    </row>
    <row r="147" spans="18:18" ht="28.5" hidden="1" thickTop="1" x14ac:dyDescent="0.25">
      <c r="R147" s="1142" t="s">
        <v>418</v>
      </c>
    </row>
    <row r="148" spans="18:18" ht="14.5" hidden="1" thickTop="1" x14ac:dyDescent="0.25">
      <c r="R148" s="1142" t="s">
        <v>507</v>
      </c>
    </row>
    <row r="149" spans="18:18" ht="14.5" hidden="1" thickTop="1" x14ac:dyDescent="0.25">
      <c r="R149" s="1142" t="s">
        <v>508</v>
      </c>
    </row>
    <row r="150" spans="18:18" ht="14.5" hidden="1" thickTop="1" x14ac:dyDescent="0.25">
      <c r="R150" s="1142" t="s">
        <v>509</v>
      </c>
    </row>
    <row r="151" spans="18:18" ht="14.5" hidden="1" thickTop="1" x14ac:dyDescent="0.25">
      <c r="R151" s="1142" t="s">
        <v>510</v>
      </c>
    </row>
    <row r="152" spans="18:18" ht="14.5" hidden="1" thickTop="1" x14ac:dyDescent="0.25">
      <c r="R152" s="1142" t="s">
        <v>428</v>
      </c>
    </row>
    <row r="153" spans="18:18" ht="28.5" hidden="1" thickTop="1" x14ac:dyDescent="0.25">
      <c r="R153" s="1142" t="s">
        <v>511</v>
      </c>
    </row>
    <row r="154" spans="18:18" ht="28.5" hidden="1" thickTop="1" x14ac:dyDescent="0.25">
      <c r="R154" s="1142" t="s">
        <v>512</v>
      </c>
    </row>
    <row r="155" spans="18:18" ht="28.5" hidden="1" thickTop="1" x14ac:dyDescent="0.25">
      <c r="R155" s="1142" t="s">
        <v>513</v>
      </c>
    </row>
    <row r="156" spans="18:18" ht="14.5" hidden="1" thickTop="1" x14ac:dyDescent="0.25">
      <c r="R156" s="1142" t="s">
        <v>514</v>
      </c>
    </row>
    <row r="157" spans="18:18" ht="28.5" hidden="1" thickTop="1" x14ac:dyDescent="0.25">
      <c r="R157" s="1142" t="s">
        <v>515</v>
      </c>
    </row>
    <row r="158" spans="18:18" ht="28.5" hidden="1" thickTop="1" x14ac:dyDescent="0.25">
      <c r="R158" s="1142" t="s">
        <v>516</v>
      </c>
    </row>
    <row r="159" spans="18:18" ht="28.5" hidden="1" thickTop="1" x14ac:dyDescent="0.25">
      <c r="R159" s="1142" t="s">
        <v>517</v>
      </c>
    </row>
    <row r="160" spans="18:18" ht="14.5" hidden="1" thickTop="1" x14ac:dyDescent="0.25">
      <c r="R160" s="1142" t="s">
        <v>389</v>
      </c>
    </row>
    <row r="161" spans="18:18" ht="14.5" hidden="1" thickTop="1" x14ac:dyDescent="0.25">
      <c r="R161" s="1142"/>
    </row>
    <row r="162" spans="18:18" ht="14.5" hidden="1" thickTop="1" x14ac:dyDescent="0.25">
      <c r="R162" s="1142"/>
    </row>
    <row r="163" spans="18:18" ht="14.5" hidden="1" thickTop="1" x14ac:dyDescent="0.25">
      <c r="R163" s="1142"/>
    </row>
    <row r="164" spans="18:18" ht="14.5" hidden="1" thickTop="1" x14ac:dyDescent="0.25">
      <c r="R164" s="1142"/>
    </row>
    <row r="165" spans="18:18" ht="14.5" hidden="1" thickTop="1" x14ac:dyDescent="0.25">
      <c r="R165" s="1142"/>
    </row>
    <row r="166" spans="18:18" ht="14.5" hidden="1" thickTop="1" x14ac:dyDescent="0.25">
      <c r="R166" s="1142"/>
    </row>
    <row r="167" spans="18:18" ht="14.5" hidden="1" thickTop="1" x14ac:dyDescent="0.25">
      <c r="R167" s="1142"/>
    </row>
    <row r="168" spans="18:18" ht="14.5" hidden="1" thickTop="1" x14ac:dyDescent="0.25">
      <c r="R168" s="1142"/>
    </row>
    <row r="169" spans="18:18" ht="14.5" hidden="1" thickTop="1" x14ac:dyDescent="0.25">
      <c r="R169" s="1142"/>
    </row>
    <row r="170" spans="18:18" ht="14.5" hidden="1" thickTop="1" x14ac:dyDescent="0.25">
      <c r="R170" s="1142"/>
    </row>
    <row r="171" spans="18:18" ht="14.5" hidden="1" thickTop="1" x14ac:dyDescent="0.25">
      <c r="R171" s="1142"/>
    </row>
    <row r="172" spans="18:18" ht="6.75" customHeight="1" thickTop="1" x14ac:dyDescent="0.25">
      <c r="R172" s="1142"/>
    </row>
    <row r="173" spans="18:18" x14ac:dyDescent="0.25"/>
  </sheetData>
  <sheetProtection algorithmName="SHA-512" hashValue="XA+7Gv51j6vbXsTAq5mRHrxSLh/IgjYEg8ijnYYnS7P/C9CBaN4JvsaGOsO8q3rUWpXNbHf8wnRUnZ7vp5LQ9A==" saltValue="nOndlD3Fu6Ne5O0xOZ3NlQ==" spinCount="100000" sheet="1" objects="1" scenarios="1"/>
  <dataConsolidate/>
  <mergeCells count="27">
    <mergeCell ref="M1:S1"/>
    <mergeCell ref="M2:R2"/>
    <mergeCell ref="P4:R4"/>
    <mergeCell ref="P7:S7"/>
    <mergeCell ref="C8:J8"/>
    <mergeCell ref="P8:R8"/>
    <mergeCell ref="P9:R9"/>
    <mergeCell ref="P10:Q10"/>
    <mergeCell ref="C11:J11"/>
    <mergeCell ref="P11:R11"/>
    <mergeCell ref="P12:R12"/>
    <mergeCell ref="C13:J13"/>
    <mergeCell ref="P13:Q13"/>
    <mergeCell ref="Q16:R17"/>
    <mergeCell ref="C17:I18"/>
    <mergeCell ref="C20:J24"/>
    <mergeCell ref="D41:E41"/>
    <mergeCell ref="C43:R43"/>
    <mergeCell ref="L24:S25"/>
    <mergeCell ref="A65:S71"/>
    <mergeCell ref="C48:R48"/>
    <mergeCell ref="C49:R49"/>
    <mergeCell ref="C51:R52"/>
    <mergeCell ref="C54:M55"/>
    <mergeCell ref="N56:R56"/>
    <mergeCell ref="C58:I58"/>
    <mergeCell ref="C60:F60"/>
  </mergeCells>
  <conditionalFormatting sqref="X32">
    <cfRule type="expression" dxfId="165" priority="24" stopIfTrue="1">
      <formula>E32&gt;9%</formula>
    </cfRule>
  </conditionalFormatting>
  <conditionalFormatting sqref="X49">
    <cfRule type="expression" dxfId="164" priority="25" stopIfTrue="1">
      <formula>T42=1</formula>
    </cfRule>
  </conditionalFormatting>
  <conditionalFormatting sqref="M34">
    <cfRule type="expression" dxfId="163" priority="26" stopIfTrue="1">
      <formula>W32=1</formula>
    </cfRule>
  </conditionalFormatting>
  <conditionalFormatting sqref="F36">
    <cfRule type="expression" dxfId="162" priority="27" stopIfTrue="1">
      <formula>W37=3</formula>
    </cfRule>
  </conditionalFormatting>
  <conditionalFormatting sqref="Q37">
    <cfRule type="expression" dxfId="161" priority="28" stopIfTrue="1">
      <formula>X42=1</formula>
    </cfRule>
  </conditionalFormatting>
  <conditionalFormatting sqref="L39">
    <cfRule type="expression" dxfId="160" priority="29" stopIfTrue="1">
      <formula>U42=1</formula>
    </cfRule>
  </conditionalFormatting>
  <conditionalFormatting sqref="C33">
    <cfRule type="expression" dxfId="159" priority="30" stopIfTrue="1">
      <formula>U33="Yes"</formula>
    </cfRule>
  </conditionalFormatting>
  <conditionalFormatting sqref="X25">
    <cfRule type="expression" dxfId="158" priority="31" stopIfTrue="1">
      <formula>W38=1</formula>
    </cfRule>
  </conditionalFormatting>
  <conditionalFormatting sqref="M33">
    <cfRule type="expression" dxfId="157" priority="32" stopIfTrue="1">
      <formula>W34=1</formula>
    </cfRule>
  </conditionalFormatting>
  <conditionalFormatting sqref="L33">
    <cfRule type="expression" dxfId="156" priority="33" stopIfTrue="1">
      <formula>W34=1</formula>
    </cfRule>
  </conditionalFormatting>
  <conditionalFormatting sqref="D33">
    <cfRule type="expression" dxfId="155" priority="34" stopIfTrue="1">
      <formula>U33="Yes"</formula>
    </cfRule>
  </conditionalFormatting>
  <conditionalFormatting sqref="L34">
    <cfRule type="expression" dxfId="154" priority="37" stopIfTrue="1">
      <formula>W32=1</formula>
    </cfRule>
  </conditionalFormatting>
  <conditionalFormatting sqref="M39">
    <cfRule type="expression" dxfId="153" priority="38" stopIfTrue="1">
      <formula>U42=1</formula>
    </cfRule>
  </conditionalFormatting>
  <conditionalFormatting sqref="L36">
    <cfRule type="expression" dxfId="152" priority="39" stopIfTrue="1">
      <formula>U41=1</formula>
    </cfRule>
  </conditionalFormatting>
  <conditionalFormatting sqref="Y23">
    <cfRule type="expression" dxfId="151" priority="40" stopIfTrue="1">
      <formula>AA37=1</formula>
    </cfRule>
  </conditionalFormatting>
  <conditionalFormatting sqref="W29">
    <cfRule type="expression" dxfId="150" priority="41" stopIfTrue="1">
      <formula>W39=1</formula>
    </cfRule>
  </conditionalFormatting>
  <conditionalFormatting sqref="E36">
    <cfRule type="expression" dxfId="149" priority="42" stopIfTrue="1">
      <formula>U37=1</formula>
    </cfRule>
  </conditionalFormatting>
  <conditionalFormatting sqref="M36">
    <cfRule type="expression" dxfId="148" priority="43" stopIfTrue="1">
      <formula>U41=1</formula>
    </cfRule>
  </conditionalFormatting>
  <conditionalFormatting sqref="D36">
    <cfRule type="expression" dxfId="147" priority="44" stopIfTrue="1">
      <formula>W41=1</formula>
    </cfRule>
  </conditionalFormatting>
  <conditionalFormatting sqref="C36">
    <cfRule type="expression" dxfId="146" priority="45" stopIfTrue="1">
      <formula>W41=1</formula>
    </cfRule>
  </conditionalFormatting>
  <conditionalFormatting sqref="C40">
    <cfRule type="expression" dxfId="145" priority="46" stopIfTrue="1">
      <formula>T40=1</formula>
    </cfRule>
  </conditionalFormatting>
  <conditionalFormatting sqref="L40">
    <cfRule type="expression" dxfId="144" priority="47" stopIfTrue="1">
      <formula>U40=1</formula>
    </cfRule>
  </conditionalFormatting>
  <conditionalFormatting sqref="D40">
    <cfRule type="expression" dxfId="143" priority="48" stopIfTrue="1">
      <formula>T40=1</formula>
    </cfRule>
  </conditionalFormatting>
  <conditionalFormatting sqref="M40">
    <cfRule type="expression" dxfId="142" priority="49" stopIfTrue="1">
      <formula>U40=1</formula>
    </cfRule>
  </conditionalFormatting>
  <conditionalFormatting sqref="I16">
    <cfRule type="expression" dxfId="141" priority="50" stopIfTrue="1">
      <formula>T18="One Year"</formula>
    </cfRule>
  </conditionalFormatting>
  <conditionalFormatting sqref="C53">
    <cfRule type="expression" dxfId="140" priority="51" stopIfTrue="1">
      <formula>V55&lt;&gt;0</formula>
    </cfRule>
  </conditionalFormatting>
  <conditionalFormatting sqref="U49">
    <cfRule type="cellIs" dxfId="139" priority="52" stopIfTrue="1" operator="equal">
      <formula>"."</formula>
    </cfRule>
  </conditionalFormatting>
  <conditionalFormatting sqref="X39:X40">
    <cfRule type="expression" dxfId="138" priority="53" stopIfTrue="1">
      <formula>#REF!&gt;1</formula>
    </cfRule>
  </conditionalFormatting>
  <conditionalFormatting sqref="D41:E41">
    <cfRule type="cellIs" dxfId="137" priority="54" stopIfTrue="1" operator="equal">
      <formula>"-"</formula>
    </cfRule>
  </conditionalFormatting>
  <conditionalFormatting sqref="G39:G40 E35 C9">
    <cfRule type="cellIs" dxfId="136" priority="55" stopIfTrue="1" operator="equal">
      <formula>0</formula>
    </cfRule>
  </conditionalFormatting>
  <conditionalFormatting sqref="H36">
    <cfRule type="expression" dxfId="135" priority="56" stopIfTrue="1">
      <formula>#REF!&gt;1000</formula>
    </cfRule>
  </conditionalFormatting>
  <conditionalFormatting sqref="I39:I40">
    <cfRule type="expression" dxfId="134" priority="57" stopIfTrue="1">
      <formula>#REF!=0</formula>
    </cfRule>
  </conditionalFormatting>
  <conditionalFormatting sqref="R5 P4">
    <cfRule type="cellIs" dxfId="133" priority="58" stopIfTrue="1" operator="equal">
      <formula>0</formula>
    </cfRule>
  </conditionalFormatting>
  <conditionalFormatting sqref="L23">
    <cfRule type="cellIs" dxfId="132" priority="59" stopIfTrue="1" operator="equal">
      <formula>"Total Contribution"</formula>
    </cfRule>
  </conditionalFormatting>
  <conditionalFormatting sqref="C8">
    <cfRule type="cellIs" dxfId="131" priority="23" stopIfTrue="1" operator="equal">
      <formula>0</formula>
    </cfRule>
  </conditionalFormatting>
  <conditionalFormatting sqref="Q38">
    <cfRule type="expression" dxfId="130" priority="22" stopIfTrue="1">
      <formula>V42=1</formula>
    </cfRule>
  </conditionalFormatting>
  <conditionalFormatting sqref="R38">
    <cfRule type="expression" dxfId="129" priority="21" stopIfTrue="1">
      <formula>AA43=1</formula>
    </cfRule>
  </conditionalFormatting>
  <conditionalFormatting sqref="G36">
    <cfRule type="expression" dxfId="128" priority="60" stopIfTrue="1">
      <formula>W35=1</formula>
    </cfRule>
  </conditionalFormatting>
  <conditionalFormatting sqref="F35">
    <cfRule type="expression" dxfId="127" priority="16" stopIfTrue="1">
      <formula>W35=3</formula>
    </cfRule>
  </conditionalFormatting>
  <conditionalFormatting sqref="G35">
    <cfRule type="expression" dxfId="126" priority="17" stopIfTrue="1">
      <formula>W35=1</formula>
    </cfRule>
  </conditionalFormatting>
  <conditionalFormatting sqref="H35">
    <cfRule type="expression" dxfId="125" priority="18" stopIfTrue="1">
      <formula>#REF!&gt;1000</formula>
    </cfRule>
  </conditionalFormatting>
  <conditionalFormatting sqref="L35">
    <cfRule type="expression" dxfId="124" priority="19" stopIfTrue="1">
      <formula>AA37=1</formula>
    </cfRule>
  </conditionalFormatting>
  <conditionalFormatting sqref="M35">
    <cfRule type="expression" dxfId="123" priority="20" stopIfTrue="1">
      <formula>AA37=1</formula>
    </cfRule>
  </conditionalFormatting>
  <conditionalFormatting sqref="G37">
    <cfRule type="expression" dxfId="122" priority="15" stopIfTrue="1">
      <formula>AND(B13=1,I13="Ijarah Leasing")</formula>
    </cfRule>
  </conditionalFormatting>
  <conditionalFormatting sqref="H37">
    <cfRule type="expression" dxfId="121" priority="14" stopIfTrue="1">
      <formula>AND(C13=1,J13="Ijarah")</formula>
    </cfRule>
  </conditionalFormatting>
  <conditionalFormatting sqref="C13">
    <cfRule type="cellIs" dxfId="120" priority="13" stopIfTrue="1" operator="equal">
      <formula>0</formula>
    </cfRule>
  </conditionalFormatting>
  <conditionalFormatting sqref="L37:L38">
    <cfRule type="expression" dxfId="119" priority="12" stopIfTrue="1">
      <formula>AND(AD35="Yes",AD33="Yes")</formula>
    </cfRule>
  </conditionalFormatting>
  <conditionalFormatting sqref="C11">
    <cfRule type="cellIs" dxfId="118" priority="11" stopIfTrue="1" operator="equal">
      <formula>0</formula>
    </cfRule>
  </conditionalFormatting>
  <conditionalFormatting sqref="I35">
    <cfRule type="expression" dxfId="117" priority="10" stopIfTrue="1">
      <formula>Y35=1</formula>
    </cfRule>
  </conditionalFormatting>
  <conditionalFormatting sqref="V41">
    <cfRule type="expression" dxfId="116" priority="61" stopIfTrue="1">
      <formula>$E$36&gt;0</formula>
    </cfRule>
  </conditionalFormatting>
  <conditionalFormatting sqref="C34">
    <cfRule type="expression" dxfId="115" priority="1" stopIfTrue="1">
      <formula>B34="Yes"</formula>
    </cfRule>
  </conditionalFormatting>
  <conditionalFormatting sqref="D34">
    <cfRule type="expression" dxfId="114" priority="2" stopIfTrue="1">
      <formula>B34="Yes"</formula>
    </cfRule>
  </conditionalFormatting>
  <conditionalFormatting sqref="C35">
    <cfRule type="expression" dxfId="113" priority="3" stopIfTrue="1">
      <formula>AND(B34="Yes",B35="Yes")</formula>
    </cfRule>
  </conditionalFormatting>
  <conditionalFormatting sqref="D35">
    <cfRule type="expression" dxfId="112" priority="4" stopIfTrue="1">
      <formula>AND(B34="Yes",B35="Yes")</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200000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6"/>
  <sheetViews>
    <sheetView showGridLines="0" workbookViewId="0">
      <selection activeCell="C13" sqref="C13"/>
    </sheetView>
  </sheetViews>
  <sheetFormatPr defaultRowHeight="12.5" x14ac:dyDescent="0.25"/>
  <cols>
    <col min="2" max="2" width="17.08984375" customWidth="1"/>
    <col min="3" max="3" width="14.36328125" bestFit="1" customWidth="1"/>
    <col min="6" max="6" width="8.90625" bestFit="1" customWidth="1"/>
    <col min="7" max="7" width="22.6328125" customWidth="1"/>
    <col min="8" max="8" width="10.90625" bestFit="1" customWidth="1"/>
    <col min="10" max="10" width="10.36328125" bestFit="1" customWidth="1"/>
    <col min="11" max="11" width="4" bestFit="1" customWidth="1"/>
    <col min="12" max="12" width="8" bestFit="1" customWidth="1"/>
    <col min="13" max="13" width="4" bestFit="1" customWidth="1"/>
    <col min="14" max="14" width="7" bestFit="1" customWidth="1"/>
    <col min="15" max="15" width="5" bestFit="1" customWidth="1"/>
    <col min="18" max="18" width="9.90625" bestFit="1" customWidth="1"/>
    <col min="19" max="19" width="6.90625" bestFit="1" customWidth="1"/>
    <col min="20" max="20" width="8.36328125" customWidth="1"/>
  </cols>
  <sheetData>
    <row r="1" spans="1:22" x14ac:dyDescent="0.25">
      <c r="A1" s="1478"/>
      <c r="B1" s="1478"/>
      <c r="C1" s="1478"/>
      <c r="D1" s="1478"/>
      <c r="E1" s="1478"/>
      <c r="F1" s="1478"/>
      <c r="G1" s="1478"/>
      <c r="H1" s="1478"/>
      <c r="I1" s="1478"/>
      <c r="J1" s="1478"/>
      <c r="K1" s="1478"/>
      <c r="L1" s="1478"/>
      <c r="M1" s="1478"/>
      <c r="N1" s="1478"/>
      <c r="O1" s="1478"/>
      <c r="P1" s="1478"/>
      <c r="Q1" s="1478"/>
      <c r="R1" s="1478"/>
      <c r="S1" s="1478"/>
      <c r="T1" s="1478"/>
      <c r="U1" s="1478"/>
    </row>
    <row r="2" spans="1:22" x14ac:dyDescent="0.25">
      <c r="A2" s="1478"/>
      <c r="B2" s="1478"/>
      <c r="C2" s="1478"/>
      <c r="D2" s="1478"/>
      <c r="E2" s="1478"/>
      <c r="F2" s="1478"/>
      <c r="G2" s="1479" t="s">
        <v>539</v>
      </c>
      <c r="H2" s="1480">
        <f>C4*5%</f>
        <v>35000</v>
      </c>
      <c r="I2" s="1478"/>
      <c r="J2" s="1478"/>
      <c r="K2" s="1478"/>
      <c r="L2" s="1478"/>
      <c r="M2" s="1478"/>
      <c r="N2" s="1478"/>
      <c r="O2" s="1478"/>
      <c r="P2" s="1478"/>
      <c r="Q2" s="1478"/>
      <c r="R2" s="1478"/>
      <c r="S2" s="1478"/>
      <c r="T2" s="1478"/>
      <c r="U2" s="1478"/>
    </row>
    <row r="3" spans="1:22" ht="14" x14ac:dyDescent="0.25">
      <c r="A3" s="1478"/>
      <c r="B3" s="1478"/>
      <c r="C3" s="1478"/>
      <c r="D3" s="1478"/>
      <c r="E3" s="1478"/>
      <c r="F3" s="1498">
        <f>H3/H2</f>
        <v>-0.56179371400127986</v>
      </c>
      <c r="G3" s="1479" t="s">
        <v>30</v>
      </c>
      <c r="H3" s="1480">
        <f>H4-H2</f>
        <v>-19662.779990044797</v>
      </c>
      <c r="I3" s="1478"/>
      <c r="J3" s="1478"/>
      <c r="K3" s="1478"/>
      <c r="L3" s="1478"/>
      <c r="M3" s="1478"/>
      <c r="N3" s="1478">
        <v>0</v>
      </c>
      <c r="O3" s="1478">
        <v>0</v>
      </c>
      <c r="P3" s="1478"/>
      <c r="Q3" s="1478"/>
      <c r="R3" s="1795" t="s">
        <v>549</v>
      </c>
      <c r="S3" s="1795"/>
      <c r="T3" s="1508"/>
      <c r="U3" s="1478"/>
    </row>
    <row r="4" spans="1:22" ht="15.5" x14ac:dyDescent="0.3">
      <c r="A4" s="1478"/>
      <c r="B4" s="1481" t="s">
        <v>540</v>
      </c>
      <c r="C4" s="1482">
        <f>MC!Q16</f>
        <v>700000</v>
      </c>
      <c r="D4" s="1478"/>
      <c r="E4" s="1478"/>
      <c r="F4" s="1478"/>
      <c r="G4" s="1479"/>
      <c r="H4" s="1483">
        <f>H9-H7-H5-H6</f>
        <v>15337.220009955203</v>
      </c>
      <c r="I4" s="1478"/>
      <c r="J4" s="1478"/>
      <c r="K4" s="1478">
        <v>100</v>
      </c>
      <c r="L4" s="1478"/>
      <c r="M4" s="1478"/>
      <c r="N4" s="1478">
        <v>25000</v>
      </c>
      <c r="O4" s="1478">
        <v>200</v>
      </c>
      <c r="P4" s="1478"/>
      <c r="Q4" s="1478"/>
      <c r="R4" s="1496">
        <v>150000</v>
      </c>
      <c r="S4" s="1484">
        <v>3.5951219512195112E-2</v>
      </c>
      <c r="T4" s="1509">
        <v>3000</v>
      </c>
      <c r="U4" s="1478"/>
      <c r="V4" s="1484">
        <v>3.5951219512195112E-2</v>
      </c>
    </row>
    <row r="5" spans="1:22" ht="14" x14ac:dyDescent="0.3">
      <c r="A5" s="1478"/>
      <c r="B5" s="1481"/>
      <c r="C5" s="1481"/>
      <c r="D5" s="1478"/>
      <c r="E5" s="1478"/>
      <c r="F5" s="1451"/>
      <c r="G5" s="1479" t="s">
        <v>38</v>
      </c>
      <c r="H5" s="1485"/>
      <c r="I5" s="1486"/>
      <c r="J5" s="1478"/>
      <c r="K5" s="1478">
        <v>25</v>
      </c>
      <c r="L5" s="1478"/>
      <c r="M5" s="1478"/>
      <c r="N5" s="1478">
        <f>N4+25000</f>
        <v>50000</v>
      </c>
      <c r="O5" s="1478">
        <f>O4+200</f>
        <v>400</v>
      </c>
      <c r="P5" s="1478"/>
      <c r="Q5" s="1478"/>
      <c r="R5" s="1496">
        <v>200000</v>
      </c>
      <c r="S5" s="1484">
        <v>3.1593902439024386E-2</v>
      </c>
      <c r="T5" s="1509">
        <v>3000</v>
      </c>
      <c r="U5" s="1478"/>
      <c r="V5" s="1484">
        <v>3.135000000000001E-2</v>
      </c>
    </row>
    <row r="6" spans="1:22" ht="14" x14ac:dyDescent="0.3">
      <c r="A6" s="1478"/>
      <c r="B6" s="1481" t="s">
        <v>541</v>
      </c>
      <c r="C6" s="1487">
        <f ca="1">H18*Administration!IR9</f>
        <v>16086.054006968643</v>
      </c>
      <c r="D6" s="1478"/>
      <c r="E6" s="1478"/>
      <c r="F6" s="1451"/>
      <c r="G6" s="1479" t="s">
        <v>17</v>
      </c>
      <c r="H6" s="1485">
        <f>VLOOKUP(MC!R34,'MC Working'!N3:O24,2,FALSE)</f>
        <v>0</v>
      </c>
      <c r="I6" s="1451"/>
      <c r="J6" s="1478"/>
      <c r="K6" s="1478">
        <v>75</v>
      </c>
      <c r="L6" s="1478"/>
      <c r="M6" s="1478"/>
      <c r="N6" s="1478">
        <f t="shared" ref="N6:N24" si="0">N5+25000</f>
        <v>75000</v>
      </c>
      <c r="O6" s="1478">
        <f t="shared" ref="O6:O24" si="1">O5+200</f>
        <v>600</v>
      </c>
      <c r="P6" s="1478"/>
      <c r="Q6" s="1478"/>
      <c r="R6" s="1496">
        <v>230000</v>
      </c>
      <c r="S6" s="1484">
        <v>2.8763685636856405E-2</v>
      </c>
      <c r="T6" s="1509">
        <v>3000</v>
      </c>
      <c r="U6" s="1478"/>
      <c r="V6" s="1484">
        <v>2.9816260162601627E-2</v>
      </c>
    </row>
    <row r="7" spans="1:22" ht="14" x14ac:dyDescent="0.3">
      <c r="A7" s="740">
        <f>IF(A15=0,0,250)</f>
        <v>250</v>
      </c>
      <c r="B7" s="744" t="s">
        <v>542</v>
      </c>
      <c r="C7" s="749">
        <f ca="1">(MAX(750,C6*2.5%))+250</f>
        <v>1000</v>
      </c>
      <c r="D7" s="1478"/>
      <c r="E7" s="1478"/>
      <c r="F7" s="1498">
        <f>H7/(H4+H6+H5)</f>
        <v>-0.3</v>
      </c>
      <c r="G7" s="1479" t="s">
        <v>0</v>
      </c>
      <c r="H7" s="1480">
        <f>-H9/70*30</f>
        <v>-4601.1660029865607</v>
      </c>
      <c r="I7" s="1478"/>
      <c r="J7" s="1478"/>
      <c r="K7" s="1478"/>
      <c r="L7" s="1478"/>
      <c r="M7" s="1478"/>
      <c r="N7" s="1478">
        <f t="shared" si="0"/>
        <v>100000</v>
      </c>
      <c r="O7" s="1478">
        <f t="shared" si="1"/>
        <v>800</v>
      </c>
      <c r="P7" s="1478"/>
      <c r="Q7" s="1478"/>
      <c r="R7" s="1496">
        <v>250000</v>
      </c>
      <c r="S7" s="1484">
        <v>2.7641951219512201E-2</v>
      </c>
      <c r="T7" s="1509">
        <v>3000</v>
      </c>
      <c r="U7" s="1478"/>
      <c r="V7" s="1484">
        <v>2.8589268292682938E-2</v>
      </c>
    </row>
    <row r="8" spans="1:22" ht="14" x14ac:dyDescent="0.3">
      <c r="A8" s="740"/>
      <c r="B8" s="744" t="s">
        <v>582</v>
      </c>
      <c r="C8" s="749">
        <v>500</v>
      </c>
      <c r="D8" s="1478"/>
      <c r="E8" s="1478"/>
      <c r="F8" s="1498"/>
      <c r="G8" s="1479"/>
      <c r="H8" s="1480"/>
      <c r="I8" s="1478"/>
      <c r="J8" s="1478"/>
      <c r="K8" s="1478"/>
      <c r="L8" s="1478"/>
      <c r="M8" s="1478"/>
      <c r="N8" s="1478"/>
      <c r="O8" s="1478"/>
      <c r="P8" s="1478"/>
      <c r="Q8" s="1478"/>
      <c r="R8" s="1499">
        <v>275000</v>
      </c>
      <c r="S8" s="1484">
        <v>2.758536585365854E-2</v>
      </c>
      <c r="T8" s="1509">
        <v>3000</v>
      </c>
      <c r="U8" s="1478"/>
      <c r="V8" s="1484"/>
    </row>
    <row r="9" spans="1:22" ht="14" x14ac:dyDescent="0.3">
      <c r="A9" s="740"/>
      <c r="B9" s="744" t="s">
        <v>579</v>
      </c>
      <c r="C9" s="749">
        <v>3000</v>
      </c>
      <c r="D9" s="1478"/>
      <c r="E9" s="1478"/>
      <c r="F9" s="1478"/>
      <c r="G9" s="1479"/>
      <c r="H9" s="1483">
        <f>H18-SUM(H10:H16)</f>
        <v>10736.054006968643</v>
      </c>
      <c r="I9" s="1478"/>
      <c r="J9" s="1478"/>
      <c r="K9" s="1478"/>
      <c r="L9" s="1478"/>
      <c r="M9" s="1478"/>
      <c r="N9" s="1478">
        <f>N7+25000</f>
        <v>125000</v>
      </c>
      <c r="O9" s="1478">
        <f>O7+200</f>
        <v>1000</v>
      </c>
      <c r="P9" s="1478"/>
      <c r="Q9" s="1478"/>
      <c r="R9" s="1499">
        <v>300000</v>
      </c>
      <c r="S9" s="1484">
        <v>2.5308943089430894E-2</v>
      </c>
      <c r="T9" s="1509">
        <v>3000</v>
      </c>
      <c r="U9" s="1478"/>
      <c r="V9" s="1484">
        <v>2.7585365853658537E-2</v>
      </c>
    </row>
    <row r="10" spans="1:22" ht="14" x14ac:dyDescent="0.3">
      <c r="A10" s="1497">
        <f ca="1">(C10+C9)/C6</f>
        <v>0.31082824898100858</v>
      </c>
      <c r="B10" s="1475" t="s">
        <v>580</v>
      </c>
      <c r="C10" s="748">
        <v>2000</v>
      </c>
      <c r="D10" s="1501">
        <f ca="1">ROUNDDOWN((C6*33%)/50,0)*50</f>
        <v>5300</v>
      </c>
      <c r="E10" s="1478"/>
      <c r="F10" s="1504">
        <f>C4*0.2%</f>
        <v>1400</v>
      </c>
      <c r="G10" s="1479" t="s">
        <v>543</v>
      </c>
      <c r="H10" s="742">
        <f>IF($H$22="Yes",C4*0.2%,0)</f>
        <v>1400</v>
      </c>
      <c r="I10" s="1478"/>
      <c r="J10" s="1478"/>
      <c r="K10" s="1478"/>
      <c r="L10" s="1478"/>
      <c r="M10" s="1478"/>
      <c r="N10" s="1478">
        <f t="shared" si="0"/>
        <v>150000</v>
      </c>
      <c r="O10" s="1478">
        <f t="shared" si="1"/>
        <v>1200</v>
      </c>
      <c r="P10" s="1478"/>
      <c r="Q10" s="1478"/>
      <c r="R10" s="1499">
        <v>325000</v>
      </c>
      <c r="S10" s="1484">
        <v>2.5162101313320827E-2</v>
      </c>
      <c r="T10" s="1509">
        <v>3000</v>
      </c>
      <c r="U10" s="1478"/>
      <c r="V10" s="1484">
        <v>2.6911382113821138E-2</v>
      </c>
    </row>
    <row r="11" spans="1:22" ht="14" x14ac:dyDescent="0.3">
      <c r="A11" s="1511">
        <f>IF(A15=0,0,2.5%)</f>
        <v>2.5000000000000001E-2</v>
      </c>
      <c r="B11" s="1475" t="s">
        <v>575</v>
      </c>
      <c r="C11" s="748">
        <f ca="1">SUM(C6:C10)*A11</f>
        <v>564.65135017421608</v>
      </c>
      <c r="D11" s="1478"/>
      <c r="E11" s="1478"/>
      <c r="F11" s="1504">
        <f>C4*0.05%</f>
        <v>350</v>
      </c>
      <c r="G11" s="1479" t="s">
        <v>544</v>
      </c>
      <c r="H11" s="742">
        <f>IF(AND($H$23="Yes",$H$22="Yes"),C4*0.05%,0)</f>
        <v>350</v>
      </c>
      <c r="I11" s="1478"/>
      <c r="J11" s="1478"/>
      <c r="K11" s="1478"/>
      <c r="L11" s="1478">
        <v>100000</v>
      </c>
      <c r="M11" s="1478">
        <v>100</v>
      </c>
      <c r="N11" s="1478">
        <f t="shared" si="0"/>
        <v>175000</v>
      </c>
      <c r="O11" s="1478">
        <f t="shared" si="1"/>
        <v>1400</v>
      </c>
      <c r="P11" s="1478"/>
      <c r="Q11" s="1478"/>
      <c r="R11" s="1499">
        <v>350000</v>
      </c>
      <c r="S11" s="1484">
        <v>2.5983076157292187E-2</v>
      </c>
      <c r="T11" s="1509">
        <v>3000</v>
      </c>
      <c r="U11" s="1478"/>
      <c r="V11" s="1484">
        <v>2.6190994371482181E-2</v>
      </c>
    </row>
    <row r="12" spans="1:22" ht="14" x14ac:dyDescent="0.3">
      <c r="A12" s="1518">
        <v>0.18</v>
      </c>
      <c r="B12" s="1481" t="s">
        <v>1</v>
      </c>
      <c r="C12" s="748">
        <f ca="1">SUM(C6:C11)*A12</f>
        <v>4167.1269642857142</v>
      </c>
      <c r="D12" s="1478"/>
      <c r="E12" s="1478"/>
      <c r="F12" s="1478"/>
      <c r="G12" s="1479" t="s">
        <v>552</v>
      </c>
      <c r="H12" s="1480"/>
      <c r="I12" s="1451"/>
      <c r="J12" s="1478"/>
      <c r="K12" s="1478"/>
      <c r="L12" s="1478">
        <v>300000</v>
      </c>
      <c r="M12" s="1478">
        <v>250</v>
      </c>
      <c r="N12" s="1478">
        <f t="shared" si="0"/>
        <v>200000</v>
      </c>
      <c r="O12" s="1478">
        <f t="shared" si="1"/>
        <v>1600</v>
      </c>
      <c r="P12" s="1478"/>
      <c r="Q12" s="1478"/>
      <c r="R12" s="1499">
        <v>375000</v>
      </c>
      <c r="S12" s="1484">
        <v>2.4518048780487803E-2</v>
      </c>
      <c r="T12" s="1509">
        <v>3000</v>
      </c>
      <c r="U12" s="1478"/>
      <c r="V12" s="1484">
        <v>2.5573519163763058E-2</v>
      </c>
    </row>
    <row r="13" spans="1:22" ht="14" x14ac:dyDescent="0.3">
      <c r="A13" s="1478"/>
      <c r="B13" s="1481" t="s">
        <v>545</v>
      </c>
      <c r="C13" s="1488">
        <f ca="1">SUM(C6:C12)*Administration!IR9</f>
        <v>27317.832321428574</v>
      </c>
      <c r="D13" s="1478"/>
      <c r="E13" s="1478"/>
      <c r="F13" s="1478"/>
      <c r="G13" s="1479" t="s">
        <v>546</v>
      </c>
      <c r="H13" s="1480">
        <f>H2*10%</f>
        <v>3500</v>
      </c>
      <c r="I13" s="1478"/>
      <c r="J13" s="1489" t="s">
        <v>551</v>
      </c>
      <c r="K13" s="1478"/>
      <c r="L13" s="1478">
        <v>500000</v>
      </c>
      <c r="M13" s="1478">
        <v>350</v>
      </c>
      <c r="N13" s="1478">
        <f t="shared" si="0"/>
        <v>225000</v>
      </c>
      <c r="O13" s="1478">
        <f t="shared" si="1"/>
        <v>1800</v>
      </c>
      <c r="P13" s="1478"/>
      <c r="Q13" s="1478"/>
      <c r="R13" s="1499">
        <v>400000</v>
      </c>
      <c r="S13" s="1484">
        <v>2.4448170731707315E-2</v>
      </c>
      <c r="T13" s="1509">
        <v>3000</v>
      </c>
      <c r="U13" s="1478"/>
      <c r="V13" s="1484">
        <v>2.5168455284552842E-2</v>
      </c>
    </row>
    <row r="14" spans="1:22" ht="14" x14ac:dyDescent="0.3">
      <c r="A14" s="1478"/>
      <c r="B14" s="1481"/>
      <c r="C14" s="1481"/>
      <c r="D14" s="1478"/>
      <c r="E14" s="1478"/>
      <c r="F14" s="1451"/>
      <c r="G14" s="1479" t="s">
        <v>547</v>
      </c>
      <c r="H14" s="1480"/>
      <c r="I14" s="1490"/>
      <c r="J14" s="1487">
        <f>(C4*(J17+J18))</f>
        <v>16086.054006968643</v>
      </c>
      <c r="K14" s="1478"/>
      <c r="L14" s="1478">
        <v>1000000</v>
      </c>
      <c r="M14" s="1478">
        <v>600</v>
      </c>
      <c r="N14" s="1478">
        <f t="shared" si="0"/>
        <v>250000</v>
      </c>
      <c r="O14" s="1478">
        <f t="shared" si="1"/>
        <v>2000</v>
      </c>
      <c r="P14" s="1478"/>
      <c r="Q14" s="1478"/>
      <c r="R14" s="1499">
        <v>425000</v>
      </c>
      <c r="S14" s="1484">
        <v>2.3249118671858995E-2</v>
      </c>
      <c r="T14" s="1509">
        <v>3000</v>
      </c>
      <c r="U14" s="1478"/>
      <c r="V14" s="1484">
        <v>2.5057926829268291E-2</v>
      </c>
    </row>
    <row r="15" spans="1:22" ht="14" x14ac:dyDescent="0.3">
      <c r="A15" s="740">
        <v>1</v>
      </c>
      <c r="B15" s="1481"/>
      <c r="C15" s="1481"/>
      <c r="D15" s="1478"/>
      <c r="E15" s="1478"/>
      <c r="F15" s="1478"/>
      <c r="G15" s="1479" t="s">
        <v>37</v>
      </c>
      <c r="H15" s="1491">
        <f>VLOOKUP(MC!R33,'MC Working'!L11:M14,2,FALSE)</f>
        <v>100</v>
      </c>
      <c r="I15" s="1478"/>
      <c r="J15" s="1478"/>
      <c r="K15" s="1478"/>
      <c r="L15" s="1478"/>
      <c r="M15" s="1478"/>
      <c r="N15" s="1478">
        <f t="shared" si="0"/>
        <v>275000</v>
      </c>
      <c r="O15" s="1478">
        <f t="shared" si="1"/>
        <v>2200</v>
      </c>
      <c r="P15" s="1478"/>
      <c r="Q15" s="1478"/>
      <c r="R15" s="1499">
        <v>450000</v>
      </c>
      <c r="S15" s="1484">
        <v>2.3211072396438253E-2</v>
      </c>
      <c r="T15" s="1509">
        <v>3000</v>
      </c>
      <c r="U15" s="1478"/>
      <c r="V15" s="1484">
        <v>2.4960401721664277E-2</v>
      </c>
    </row>
    <row r="16" spans="1:22" ht="14.5" thickBot="1" x14ac:dyDescent="0.35">
      <c r="A16" s="1512">
        <f ca="1">TODAY()</f>
        <v>45351</v>
      </c>
      <c r="B16" s="1478"/>
      <c r="C16" s="1478"/>
      <c r="D16" s="1478"/>
      <c r="E16" s="1478"/>
      <c r="F16" s="1478"/>
      <c r="G16" s="1479" t="s">
        <v>548</v>
      </c>
      <c r="H16" s="1491"/>
      <c r="I16" s="1478"/>
      <c r="J16" s="1486"/>
      <c r="K16" s="1478"/>
      <c r="L16" s="1478"/>
      <c r="M16" s="1478"/>
      <c r="N16" s="1478">
        <f t="shared" si="0"/>
        <v>300000</v>
      </c>
      <c r="O16" s="1478">
        <f t="shared" si="1"/>
        <v>2400</v>
      </c>
      <c r="P16" s="1478"/>
      <c r="Q16" s="1478"/>
      <c r="R16" s="1499">
        <v>475000</v>
      </c>
      <c r="S16" s="1484">
        <v>2.3177030992114437E-2</v>
      </c>
      <c r="T16" s="1509">
        <v>3000</v>
      </c>
      <c r="U16" s="1478"/>
      <c r="V16" s="1484">
        <v>2.4873712737127376E-2</v>
      </c>
    </row>
    <row r="17" spans="1:22" ht="14.5" thickBot="1" x14ac:dyDescent="0.35">
      <c r="A17" s="1512"/>
      <c r="B17" s="1478"/>
      <c r="C17" s="1478"/>
      <c r="D17" s="1478"/>
      <c r="E17" s="1478"/>
      <c r="F17" s="1515">
        <f ca="1">IF(YEAR(A16)&gt;2023,0.2%*C4,IF(MONTH(A16)=8,0.033%*C4,IF(MONTH(A16)=9,0.066%*C4,IF(MONTH(A16)=10,0.099%*C4,IF(MONTH(A16)=11,0.132%*C4,IF(MONTH(A16)=12,0.2%*C4,0))))))</f>
        <v>1400</v>
      </c>
      <c r="G17" s="1513" t="s">
        <v>581</v>
      </c>
      <c r="I17" s="1478"/>
      <c r="J17" s="1493">
        <f>VLOOKUP(C4,R4:S22,2,1)</f>
        <v>2.2980077152812348E-2</v>
      </c>
      <c r="K17" s="1478"/>
      <c r="L17" s="1478"/>
      <c r="M17" s="1478"/>
      <c r="N17" s="1478">
        <f t="shared" si="0"/>
        <v>325000</v>
      </c>
      <c r="O17" s="1478">
        <f t="shared" si="1"/>
        <v>2600</v>
      </c>
      <c r="P17" s="1478"/>
      <c r="Q17" s="1478"/>
      <c r="R17" s="1499">
        <v>500000</v>
      </c>
      <c r="S17" s="1484">
        <v>2.3146393728223E-2</v>
      </c>
      <c r="T17" s="1509">
        <v>3000</v>
      </c>
      <c r="U17" s="1478"/>
      <c r="V17" s="1484">
        <v>2.4796148908857511E-2</v>
      </c>
    </row>
    <row r="18" spans="1:22" ht="14" x14ac:dyDescent="0.3">
      <c r="A18" s="1478"/>
      <c r="B18" s="1478"/>
      <c r="C18" s="1478"/>
      <c r="D18" s="1478"/>
      <c r="E18" s="1478"/>
      <c r="F18" s="1478"/>
      <c r="G18" s="1479"/>
      <c r="H18" s="1492">
        <f>J14+(H15-100)+H6+H5+H12+(H10-F10)+(H11-F11)</f>
        <v>16086.054006968643</v>
      </c>
      <c r="I18" s="1478"/>
      <c r="J18" s="1495">
        <v>0</v>
      </c>
      <c r="K18" s="1478"/>
      <c r="L18" s="1478"/>
      <c r="M18" s="1478"/>
      <c r="N18" s="1478">
        <f t="shared" si="0"/>
        <v>350000</v>
      </c>
      <c r="O18" s="1478">
        <f t="shared" si="1"/>
        <v>2800</v>
      </c>
      <c r="P18" s="1478"/>
      <c r="Q18" s="1478"/>
      <c r="R18" s="1499">
        <v>550000</v>
      </c>
      <c r="S18" s="1484">
        <v>2.3093474817865063E-2</v>
      </c>
      <c r="T18" s="1509">
        <v>3000</v>
      </c>
      <c r="U18" s="1478"/>
      <c r="V18" s="1484">
        <v>2.4726341463414639E-2</v>
      </c>
    </row>
    <row r="19" spans="1:22" ht="14" x14ac:dyDescent="0.3">
      <c r="A19" s="1478"/>
      <c r="B19" s="1478"/>
      <c r="C19" s="1478"/>
      <c r="D19" s="1478"/>
      <c r="E19" s="1478"/>
      <c r="F19" s="1478"/>
      <c r="G19" s="1481" t="s">
        <v>545</v>
      </c>
      <c r="H19" s="1494">
        <f ca="1">C13</f>
        <v>27317.832321428574</v>
      </c>
      <c r="I19" s="1478"/>
      <c r="J19" s="1478"/>
      <c r="K19" s="1478"/>
      <c r="L19" s="1478"/>
      <c r="M19" s="1478"/>
      <c r="N19" s="1478">
        <f t="shared" si="0"/>
        <v>375000</v>
      </c>
      <c r="O19" s="1478">
        <f t="shared" si="1"/>
        <v>3000</v>
      </c>
      <c r="P19" s="1478"/>
      <c r="Q19" s="1478"/>
      <c r="R19" s="1499">
        <v>600000</v>
      </c>
      <c r="S19" s="1484">
        <v>2.3049375725900122E-2</v>
      </c>
      <c r="T19" s="1509">
        <v>3000</v>
      </c>
      <c r="U19" s="1478"/>
      <c r="V19" s="1484">
        <v>2.4605764966740579E-2</v>
      </c>
    </row>
    <row r="20" spans="1:22" ht="14" x14ac:dyDescent="0.3">
      <c r="A20" s="1478"/>
      <c r="B20" s="1478"/>
      <c r="C20" s="1478"/>
      <c r="D20" s="1478"/>
      <c r="E20" s="1478"/>
      <c r="F20" s="1478"/>
      <c r="G20" s="1478"/>
      <c r="H20" s="1478"/>
      <c r="I20" s="1478"/>
      <c r="J20" s="1478"/>
      <c r="K20" s="1478"/>
      <c r="L20" s="1478"/>
      <c r="M20" s="1478"/>
      <c r="N20" s="1478">
        <f t="shared" si="0"/>
        <v>400000</v>
      </c>
      <c r="O20" s="1478">
        <f t="shared" si="1"/>
        <v>3200</v>
      </c>
      <c r="P20" s="1478"/>
      <c r="Q20" s="1478"/>
      <c r="R20" s="1499">
        <v>650000</v>
      </c>
      <c r="S20" s="1484">
        <v>2.3012061109622086E-2</v>
      </c>
      <c r="T20" s="1509">
        <v>3000</v>
      </c>
      <c r="U20" s="1478"/>
      <c r="V20" s="1484">
        <v>2.4505284552845532E-2</v>
      </c>
    </row>
    <row r="21" spans="1:22" ht="14" x14ac:dyDescent="0.3">
      <c r="A21" s="1478"/>
      <c r="B21" s="1478"/>
      <c r="C21" s="1478"/>
      <c r="D21" s="1478"/>
      <c r="E21" s="1478"/>
      <c r="F21" s="1478"/>
      <c r="G21" s="1478"/>
      <c r="H21" s="1478"/>
      <c r="I21" s="1478"/>
      <c r="J21" s="1478"/>
      <c r="K21" s="1478"/>
      <c r="L21" s="1478"/>
      <c r="M21" s="1478"/>
      <c r="N21" s="1478">
        <f t="shared" si="0"/>
        <v>425000</v>
      </c>
      <c r="O21" s="1478">
        <f t="shared" si="1"/>
        <v>3400</v>
      </c>
      <c r="P21" s="1478"/>
      <c r="Q21" s="1478"/>
      <c r="R21" s="1499">
        <v>700000</v>
      </c>
      <c r="S21" s="1484">
        <v>2.2980077152812348E-2</v>
      </c>
      <c r="T21" s="1509">
        <v>3000</v>
      </c>
      <c r="U21" s="1478"/>
      <c r="V21" s="1484">
        <v>2.4420262664165103E-2</v>
      </c>
    </row>
    <row r="22" spans="1:22" ht="14" x14ac:dyDescent="0.3">
      <c r="A22" s="1478"/>
      <c r="B22" s="1478"/>
      <c r="C22" s="1478"/>
      <c r="D22" s="1478"/>
      <c r="E22" s="1478"/>
      <c r="F22" s="1478"/>
      <c r="G22" s="1476" t="s">
        <v>543</v>
      </c>
      <c r="H22" s="1503" t="s">
        <v>78</v>
      </c>
      <c r="I22" s="1478"/>
      <c r="J22" s="1478"/>
      <c r="K22" s="1478"/>
      <c r="L22" s="1478"/>
      <c r="M22" s="1478"/>
      <c r="N22" s="1478">
        <f t="shared" si="0"/>
        <v>450000</v>
      </c>
      <c r="O22" s="1478">
        <f t="shared" si="1"/>
        <v>3600</v>
      </c>
      <c r="P22" s="1478"/>
      <c r="Q22" s="1478"/>
      <c r="R22" s="1496">
        <v>700000</v>
      </c>
      <c r="S22" s="1484">
        <v>2.2980077152812348E-2</v>
      </c>
      <c r="T22" s="1509">
        <v>3000</v>
      </c>
      <c r="U22" s="1478"/>
      <c r="V22" s="1484">
        <v>2.4347386759581879E-2</v>
      </c>
    </row>
    <row r="23" spans="1:22" x14ac:dyDescent="0.25">
      <c r="A23" s="1478"/>
      <c r="B23" s="1478"/>
      <c r="C23" s="1478"/>
      <c r="D23" s="1478"/>
      <c r="E23" s="1451"/>
      <c r="F23" s="1451"/>
      <c r="G23" s="1476" t="s">
        <v>544</v>
      </c>
      <c r="H23" s="1503" t="str">
        <f>MC!T20</f>
        <v>Yes</v>
      </c>
      <c r="I23" s="1451"/>
      <c r="J23" s="1451"/>
      <c r="K23" s="1451"/>
      <c r="L23" s="1451"/>
      <c r="M23" s="1451"/>
      <c r="N23" s="1478">
        <f t="shared" si="0"/>
        <v>475000</v>
      </c>
      <c r="O23" s="1478">
        <f t="shared" si="1"/>
        <v>3800</v>
      </c>
      <c r="P23" s="1451"/>
      <c r="Q23" s="1451"/>
      <c r="R23" s="1451"/>
      <c r="S23" s="1451"/>
      <c r="T23" s="1451"/>
      <c r="U23" s="1451"/>
    </row>
    <row r="24" spans="1:22" x14ac:dyDescent="0.25">
      <c r="A24" s="1451"/>
      <c r="B24" s="1478"/>
      <c r="C24" s="1478"/>
      <c r="D24" s="1451"/>
      <c r="E24" s="1451"/>
      <c r="F24" s="1451"/>
      <c r="G24" s="1451"/>
      <c r="H24" s="1451"/>
      <c r="I24" s="1451"/>
      <c r="J24" s="1451"/>
      <c r="K24" s="1451"/>
      <c r="L24" s="1451"/>
      <c r="M24" s="1451"/>
      <c r="N24" s="1478">
        <f t="shared" si="0"/>
        <v>500000</v>
      </c>
      <c r="O24" s="1478">
        <f t="shared" si="1"/>
        <v>4000</v>
      </c>
      <c r="P24" s="1451"/>
      <c r="Q24" s="1451"/>
      <c r="R24" s="1451"/>
      <c r="S24" s="1451"/>
      <c r="T24" s="1451"/>
      <c r="U24" s="1451"/>
    </row>
    <row r="25" spans="1:22" x14ac:dyDescent="0.25">
      <c r="A25" s="1451"/>
      <c r="B25" s="1451"/>
      <c r="C25" s="1451"/>
      <c r="D25" s="1451"/>
      <c r="E25" s="1451"/>
      <c r="F25" s="1451"/>
      <c r="G25" s="1451"/>
      <c r="H25" s="1451"/>
      <c r="I25" s="1451"/>
      <c r="J25" s="1451"/>
      <c r="K25" s="1451"/>
      <c r="L25" s="1451"/>
      <c r="M25" s="1451"/>
      <c r="N25" s="1478"/>
      <c r="O25" s="1478"/>
      <c r="P25" s="1451"/>
      <c r="Q25" s="1451"/>
      <c r="R25" s="1451"/>
      <c r="S25" s="1451"/>
      <c r="T25" s="1451"/>
      <c r="U25" s="1451"/>
    </row>
    <row r="26" spans="1:22" x14ac:dyDescent="0.25">
      <c r="A26" s="1451"/>
      <c r="B26" s="1451"/>
      <c r="C26" s="1451"/>
      <c r="D26" s="1451"/>
      <c r="E26" s="1451"/>
      <c r="F26" s="1451"/>
      <c r="G26" s="1451"/>
      <c r="H26" s="1451"/>
      <c r="I26" s="1451"/>
      <c r="J26" s="1451"/>
      <c r="K26" s="1451"/>
      <c r="L26" s="1451"/>
      <c r="M26" s="1451"/>
      <c r="N26" s="1478"/>
      <c r="O26" s="1478"/>
      <c r="P26" s="1451"/>
      <c r="Q26" s="1451"/>
      <c r="R26" s="1451"/>
      <c r="S26" s="1451"/>
      <c r="T26" s="1451"/>
      <c r="U26" s="1451"/>
    </row>
    <row r="27" spans="1:22" x14ac:dyDescent="0.25">
      <c r="A27" s="1451"/>
      <c r="B27" s="1451"/>
      <c r="C27" s="1451"/>
      <c r="D27" s="1451"/>
      <c r="E27" s="1451"/>
      <c r="F27" s="1451"/>
      <c r="G27" s="1451"/>
      <c r="H27" s="1451"/>
      <c r="I27" s="1451"/>
      <c r="J27" s="1451"/>
      <c r="K27" s="1451"/>
      <c r="L27" s="1451"/>
      <c r="M27" s="1451"/>
      <c r="N27" s="1451"/>
      <c r="O27" s="1451"/>
      <c r="P27" s="1451"/>
      <c r="Q27" s="1451"/>
      <c r="R27" s="1451"/>
      <c r="S27" s="1451"/>
      <c r="T27" s="1451"/>
      <c r="U27" s="1451"/>
    </row>
    <row r="28" spans="1:22" x14ac:dyDescent="0.25">
      <c r="A28" s="1451"/>
      <c r="B28" s="1451"/>
      <c r="C28" s="1451"/>
      <c r="D28" s="1451"/>
      <c r="G28" s="1451"/>
      <c r="H28" s="1451"/>
    </row>
    <row r="29" spans="1:22" x14ac:dyDescent="0.25">
      <c r="B29" s="1451"/>
      <c r="C29" s="1451"/>
      <c r="D29" s="1451"/>
    </row>
    <row r="30" spans="1:22" x14ac:dyDescent="0.25">
      <c r="B30" s="1451"/>
      <c r="C30" s="1451"/>
      <c r="D30" s="1451"/>
    </row>
    <row r="31" spans="1:22" x14ac:dyDescent="0.25">
      <c r="B31" s="1451"/>
      <c r="C31" s="1451"/>
      <c r="D31" s="1451"/>
    </row>
    <row r="32" spans="1:22" x14ac:dyDescent="0.25">
      <c r="B32" s="1451"/>
      <c r="C32" s="1451"/>
      <c r="D32" s="1451"/>
    </row>
    <row r="33" spans="2:4" x14ac:dyDescent="0.25">
      <c r="B33" s="1451"/>
      <c r="C33" s="1451"/>
      <c r="D33" s="1451"/>
    </row>
    <row r="34" spans="2:4" x14ac:dyDescent="0.25">
      <c r="B34" s="1451"/>
      <c r="C34" s="1451"/>
      <c r="D34" s="1451"/>
    </row>
    <row r="35" spans="2:4" x14ac:dyDescent="0.25">
      <c r="B35" s="1451"/>
      <c r="C35" s="1451"/>
      <c r="D35" s="1451"/>
    </row>
    <row r="36" spans="2:4" x14ac:dyDescent="0.25">
      <c r="B36" s="1451"/>
      <c r="C36" s="1451"/>
      <c r="D36" s="1451"/>
    </row>
  </sheetData>
  <sheetProtection algorithmName="SHA-512" hashValue="q4LJE491lVRSUqIsDML8rMKMTXayIVqn6/vCVSubLKeUWBSsRExq56D9jTpaixRUWg6OkbfTURD44TGfyo6g3A==" saltValue="Kzb2OzpJ9nN9JXDDVwcjMA==" spinCount="100000" sheet="1" objects="1" scenarios="1"/>
  <mergeCells count="1">
    <mergeCell ref="R3:S3"/>
  </mergeCells>
  <conditionalFormatting sqref="F17">
    <cfRule type="expression" dxfId="111" priority="1" stopIfTrue="1">
      <formula>G17=1</formula>
    </cfRule>
  </conditionalFormatting>
  <dataValidations disablePrompts="1" count="2">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90625" style="1451" customWidth="1"/>
    <col min="2" max="2" width="0.54296875" style="1451" customWidth="1"/>
    <col min="3" max="3" width="5.36328125" style="1451" customWidth="1"/>
    <col min="4" max="4" width="3.36328125" style="1451" customWidth="1"/>
    <col min="5" max="5" width="4.36328125" style="1451" customWidth="1"/>
    <col min="6" max="6" width="33.36328125" style="1451" customWidth="1"/>
    <col min="7" max="7" width="4.6328125" style="1451" customWidth="1"/>
    <col min="8" max="8" width="18.54296875" style="1451" customWidth="1"/>
    <col min="9" max="9" width="16.453125" style="1451" customWidth="1"/>
    <col min="10" max="10" width="3.90625" style="1451" customWidth="1"/>
    <col min="11" max="11" width="14.54296875" style="1451" customWidth="1"/>
    <col min="12" max="12" width="4" style="1451" customWidth="1"/>
    <col min="13" max="13" width="25.36328125" style="1451" customWidth="1"/>
    <col min="14" max="14" width="11.453125" style="1451" customWidth="1"/>
    <col min="15" max="15" width="9.90625" style="1451" customWidth="1"/>
    <col min="16" max="16" width="13.54296875" style="1451" customWidth="1"/>
    <col min="17" max="17" width="5.453125" style="1452" customWidth="1"/>
    <col min="18" max="18" width="6.36328125" style="1451" hidden="1" customWidth="1"/>
    <col min="19" max="19" width="5" style="1451" hidden="1" customWidth="1"/>
    <col min="20" max="20" width="9.54296875" style="1451" hidden="1" customWidth="1"/>
    <col min="21" max="21" width="5.36328125" style="1451" hidden="1" customWidth="1"/>
    <col min="22" max="22" width="4.54296875" style="1451" hidden="1" customWidth="1"/>
    <col min="23" max="23" width="2.90625" style="1451" hidden="1" customWidth="1"/>
    <col min="24" max="24" width="0" style="1451" hidden="1" customWidth="1"/>
    <col min="25" max="25" width="5.90625" style="1451" hidden="1" customWidth="1"/>
    <col min="26" max="26" width="7.08984375" style="1451" hidden="1" customWidth="1"/>
    <col min="27" max="27" width="26.54296875" style="1451" hidden="1" customWidth="1"/>
    <col min="28" max="29" width="0" style="1451" hidden="1" customWidth="1"/>
    <col min="30" max="30" width="27.08984375" style="1451" hidden="1" customWidth="1"/>
    <col min="31" max="35" width="0" style="1451" hidden="1" customWidth="1"/>
    <col min="36" max="36" width="0" style="1453" hidden="1" customWidth="1"/>
    <col min="37" max="38" width="0" style="1451" hidden="1" customWidth="1"/>
    <col min="39" max="39" width="0" style="1452" hidden="1" customWidth="1"/>
    <col min="40" max="46" width="0" style="1451" hidden="1" customWidth="1"/>
    <col min="47" max="47" width="0" style="1453" hidden="1" customWidth="1"/>
    <col min="48" max="49" width="0" style="1451" hidden="1" customWidth="1"/>
    <col min="50" max="50" width="47.453125" style="1454" hidden="1" customWidth="1"/>
    <col min="51" max="16384" width="0" style="1451" hidden="1"/>
  </cols>
  <sheetData>
    <row r="1" spans="2:47" s="973" customFormat="1" ht="45" customHeight="1" thickTop="1" thickBot="1" x14ac:dyDescent="0.35">
      <c r="B1" s="1143"/>
      <c r="C1" s="1144">
        <f ca="1">IF(OR(C69=0,R15=0),0,1)</f>
        <v>1</v>
      </c>
      <c r="D1" s="1145"/>
      <c r="E1" s="1146"/>
      <c r="F1" s="1146"/>
      <c r="G1" s="1146"/>
      <c r="H1" s="1146"/>
      <c r="I1" s="1146"/>
      <c r="J1" s="1146"/>
      <c r="K1" s="1146"/>
      <c r="L1" s="1146"/>
      <c r="M1" s="1147"/>
      <c r="N1" s="1866"/>
      <c r="O1" s="1867"/>
      <c r="P1" s="974"/>
      <c r="Q1" s="974"/>
      <c r="R1" s="974"/>
      <c r="S1" s="974"/>
      <c r="T1" s="974"/>
      <c r="U1" s="973">
        <f>IF(G36="Yes",H23+H36,H23)</f>
        <v>57.6</v>
      </c>
      <c r="V1" s="974"/>
      <c r="W1" s="974"/>
      <c r="X1" s="974"/>
      <c r="Y1" s="974"/>
      <c r="Z1" s="974"/>
      <c r="AA1" s="1148" t="s">
        <v>405</v>
      </c>
      <c r="AB1" s="974"/>
      <c r="AM1" s="1149"/>
    </row>
    <row r="2" spans="2:47" s="973" customFormat="1" ht="18.5" thickBot="1" x14ac:dyDescent="0.45">
      <c r="B2" s="1150"/>
      <c r="C2" s="1151" t="s">
        <v>114</v>
      </c>
      <c r="D2" s="1152"/>
      <c r="E2" s="1153" t="s">
        <v>174</v>
      </c>
      <c r="F2" s="1154"/>
      <c r="G2" s="1155" t="s">
        <v>282</v>
      </c>
      <c r="H2" s="1868" t="s">
        <v>569</v>
      </c>
      <c r="I2" s="1869"/>
      <c r="J2" s="1156"/>
      <c r="K2" s="1870" t="s">
        <v>415</v>
      </c>
      <c r="L2" s="1870"/>
      <c r="M2" s="1871"/>
      <c r="N2" s="1158">
        <f>IF(N1="takafulshariahamana",1,0)</f>
        <v>0</v>
      </c>
      <c r="O2" s="973">
        <f>IF(AND(M8='Administration (2)'!C10,H9='Administration (2)'!C23),0,1)</f>
        <v>1</v>
      </c>
      <c r="Q2" s="973">
        <f>IF(M8='Administration (2)'!C10,0,1)</f>
        <v>1</v>
      </c>
      <c r="R2" s="973">
        <f>IF(H9='Administration (2)'!C23,1,0)</f>
        <v>0</v>
      </c>
      <c r="S2" s="973">
        <f>IF(AND('Rates (2)'!D63="Yes",H11="Chinese"),1,IF(AND('Old MC Working'!H11="Chinese",'Old MC Working'!H8&lt;&gt;'Administration (2)'!C14),0,1))</f>
        <v>1</v>
      </c>
      <c r="T2" s="973">
        <f>O2+Q2+R2</f>
        <v>2</v>
      </c>
      <c r="U2" s="1159">
        <f>IF(OR(Z15=0,T2=3,Z2=0),0,1)*Q15*V2*S2</f>
        <v>1</v>
      </c>
      <c r="V2" s="1159">
        <f>IF(H13="",0,1)</f>
        <v>1</v>
      </c>
      <c r="W2" s="973">
        <f>IF(M8="Trade Plate",X2,1)</f>
        <v>1</v>
      </c>
      <c r="X2" s="973">
        <f>IF(H9='Administration (2)'!C20,1,0)</f>
        <v>1</v>
      </c>
      <c r="Y2" s="973">
        <f>IF(M8="Trade Plate",0,1)</f>
        <v>1</v>
      </c>
      <c r="Z2" s="1160">
        <f>IF('Rates (2)'!D50="Yes",1,IF(AND(H9='Administration (2)'!C22,OR(M8='Administration (2)'!C13,M8='Administration (2)'!C14)),0,1))</f>
        <v>1</v>
      </c>
      <c r="AA2" s="973">
        <f>IF(OR(H9='Administration (2)'!C22,H9='Administration (2)'!C23),0,1)</f>
        <v>1</v>
      </c>
    </row>
    <row r="3" spans="2:47" s="973" customFormat="1" ht="18" customHeight="1" thickBot="1" x14ac:dyDescent="0.45">
      <c r="B3" s="1150"/>
      <c r="C3" s="1161"/>
      <c r="D3" s="1162">
        <f>IF(H3="One Year",1,0)</f>
        <v>1</v>
      </c>
      <c r="E3" s="1153" t="s">
        <v>301</v>
      </c>
      <c r="F3" s="1154"/>
      <c r="G3" s="1155" t="s">
        <v>282</v>
      </c>
      <c r="H3" s="1163" t="s">
        <v>303</v>
      </c>
      <c r="I3" s="1164" t="str">
        <f>IF('Calculation (2)'!S6=0,CONCATENATE("     ",'Calculation (2)'!H9," Days"),IF(OR('Calculation (2)'!O6&lt;'Calculation (2)'!O3,'Calculation (2)'!O6&gt;='Calculation (2)'!O4),"Invalid Cover  Period",CONCATENATE("     ",'Calculation (2)'!H9," Days")))</f>
        <v xml:space="preserve">     97 Days</v>
      </c>
      <c r="J3" s="1164"/>
      <c r="K3" s="985"/>
      <c r="L3" s="1872" t="str">
        <f>IF(D3=0,"Charge SRCC/TC Full?","")</f>
        <v/>
      </c>
      <c r="M3" s="1873"/>
      <c r="N3" s="1165">
        <f>IF(H3="One Year",1,IF('Old MC Working'!H3="Short Period",'Calculation (2)'!O12,'Calculation (2)'!O14)*'Calculation (2)'!S3*'Calculation (2)'!S4*'Calculation (2)'!S6*'Calculation (2)'!N11)</f>
        <v>1</v>
      </c>
      <c r="O3" s="1166" t="e">
        <f>IF(#REF!='Rates (2)'!J86,'Rates (2)'!K86,IF(#REF!='Rates (2)'!J87,'Rates (2)'!K87,IF(#REF!='Rates (2)'!J88,'Rates (2)'!K88,IF(#REF!='Rates (2)'!J89,'Rates (2)'!K89,IF(#REF!='Rates (2)'!J90,'Rates (2)'!K90,0)))))</f>
        <v>#REF!</v>
      </c>
      <c r="P3" s="1166"/>
      <c r="Q3" s="1166"/>
      <c r="R3" s="1166"/>
      <c r="S3" s="1060"/>
      <c r="U3" s="1159"/>
      <c r="V3" s="1159"/>
      <c r="Z3" s="1160"/>
    </row>
    <row r="4" spans="2:47" s="973" customFormat="1" ht="0.75" hidden="1" customHeight="1" thickBot="1" x14ac:dyDescent="0.35">
      <c r="B4" s="1150"/>
      <c r="C4" s="1161"/>
      <c r="D4" s="1152"/>
      <c r="E4" s="1037"/>
      <c r="F4" s="1167" t="str">
        <f>IF(D3=0,"PERIOD                                       FROM","")</f>
        <v/>
      </c>
      <c r="G4" s="1168">
        <v>24</v>
      </c>
      <c r="H4" s="1169" t="s">
        <v>351</v>
      </c>
      <c r="I4" s="1169">
        <v>2013</v>
      </c>
      <c r="J4" s="1170"/>
      <c r="K4" s="1164" t="str">
        <f>IF('Calculation (2)'!S3=0,"Date Error","")</f>
        <v/>
      </c>
      <c r="L4" s="1872"/>
      <c r="M4" s="1873"/>
      <c r="N4" s="1171">
        <f>IF(M5="No",N3,1)</f>
        <v>1</v>
      </c>
      <c r="O4" s="1166" t="s">
        <v>410</v>
      </c>
      <c r="P4" s="1166" t="s">
        <v>411</v>
      </c>
      <c r="Q4" s="1166"/>
      <c r="R4" s="1166"/>
      <c r="S4" s="1060"/>
      <c r="T4" s="1060"/>
      <c r="U4" s="1172"/>
      <c r="V4" s="1172"/>
      <c r="Z4" s="1160"/>
    </row>
    <row r="5" spans="2:47" s="973" customFormat="1" ht="24" hidden="1" customHeight="1" thickBot="1" x14ac:dyDescent="0.4">
      <c r="B5" s="1150"/>
      <c r="C5" s="1161"/>
      <c r="D5" s="1152"/>
      <c r="E5" s="1173"/>
      <c r="F5" s="1174" t="str">
        <f>IF(D3=0,"To","")</f>
        <v/>
      </c>
      <c r="G5" s="1168">
        <v>28</v>
      </c>
      <c r="H5" s="1169" t="s">
        <v>354</v>
      </c>
      <c r="I5" s="1175">
        <v>2013</v>
      </c>
      <c r="J5" s="1170"/>
      <c r="K5" s="1164" t="str">
        <f>IF('Calculation (2)'!S6=0,"Date Error","")</f>
        <v/>
      </c>
      <c r="L5" s="1124"/>
      <c r="M5" s="1176" t="s">
        <v>78</v>
      </c>
      <c r="N5" s="1171" t="str">
        <f>'Rates (2)'!D81</f>
        <v>No</v>
      </c>
      <c r="O5" s="1177">
        <f>H15*N7%</f>
        <v>35000</v>
      </c>
      <c r="P5" s="1177">
        <f>(O5-M40-M42)/P6*100</f>
        <v>30227.272727272724</v>
      </c>
      <c r="Q5" s="1166"/>
      <c r="R5" s="1166"/>
      <c r="S5" s="1060"/>
      <c r="T5" s="1060"/>
      <c r="U5" s="1172"/>
      <c r="V5" s="1172"/>
      <c r="Z5" s="1160"/>
    </row>
    <row r="6" spans="2:47" s="973" customFormat="1" ht="21.75" customHeight="1" thickTop="1" thickBot="1" x14ac:dyDescent="0.45">
      <c r="B6" s="1150"/>
      <c r="C6" s="1178"/>
      <c r="D6" s="1152"/>
      <c r="E6" s="1179" t="s">
        <v>375</v>
      </c>
      <c r="F6" s="1180"/>
      <c r="G6" s="1155" t="s">
        <v>399</v>
      </c>
      <c r="H6" s="1181" t="s">
        <v>446</v>
      </c>
      <c r="I6" s="1874"/>
      <c r="J6" s="1875"/>
      <c r="K6" s="1876"/>
      <c r="L6" s="1877" t="str">
        <f>MC!C8</f>
        <v>to be advised</v>
      </c>
      <c r="M6" s="1878"/>
      <c r="N6" s="1182" t="s">
        <v>49</v>
      </c>
      <c r="O6" s="973">
        <f>IF(AND('Rates (2)'!D79="Yes",(O57+Q57=1)),0,1)</f>
        <v>1</v>
      </c>
      <c r="P6" s="1183">
        <f>IF(H9="Hiring",140,110)</f>
        <v>110</v>
      </c>
      <c r="Q6" s="1184">
        <f>IF(AND(M8='Administration (2)'!C7,H9='Administration (2)'!C20),'Rates (2)'!D6,R6)</f>
        <v>2.2000000000000002</v>
      </c>
      <c r="R6" s="973">
        <f>IF(AND(M8='Administration (2)'!C12,H9='Administration (2)'!C20),'Rates (2)'!D12,T6)</f>
        <v>2.2000000000000002</v>
      </c>
      <c r="T6" s="973">
        <f>IF(AND(M8='Administration (2)'!C8,H9='Administration (2)'!C20),'Rates (2)'!D8,U6)</f>
        <v>2.2000000000000002</v>
      </c>
      <c r="U6" s="1185">
        <f>IF(M8='Administration (2)'!C9,'Rates (2)'!D5,W6)</f>
        <v>2.2000000000000002</v>
      </c>
      <c r="V6" s="1185"/>
      <c r="W6" s="1185">
        <f>IF(M8='Administration (2)'!C10,'Rates (2)'!D11,X6)</f>
        <v>2.2000000000000002</v>
      </c>
      <c r="X6" s="1185">
        <f>IF(M8='Administration (2)'!C11,'Rates (2)'!D10,Y6)</f>
        <v>2.2000000000000002</v>
      </c>
      <c r="Y6" s="973">
        <f>IF(AND(M8='Administration (2)'!C12,H9='Administration (2)'!C21),'Rates (2)'!D13,Z6)</f>
        <v>2.2000000000000002</v>
      </c>
      <c r="Z6" s="1185">
        <f>IF(M8='Administration (2)'!C13,'Rates (2)'!D3,AA6)</f>
        <v>2.2000000000000002</v>
      </c>
      <c r="AA6" s="1185">
        <f>IF(M8='Administration (2)'!C14,'Rates (2)'!D4,AB6)</f>
        <v>2.2000000000000002</v>
      </c>
      <c r="AB6" s="973">
        <f>IF(AND(M8='Administration (2)'!C7,H9='Administration (2)'!C21),'Rates (2)'!D7,AC6)</f>
        <v>0</v>
      </c>
      <c r="AC6" s="973">
        <f>IF(AND(M8='Administration (2)'!C7,H9='Administration (2)'!C22),'Rates (2)'!D7,AD6)</f>
        <v>0</v>
      </c>
      <c r="AD6" s="973">
        <f>IF(AND(M8='Administration (2)'!C8,H9='Administration (2)'!C21),'Rates (2)'!D9,AE6)</f>
        <v>0</v>
      </c>
      <c r="AE6" s="973">
        <f>IF(AND(M8='Administration (2)'!C8,H9='Administration (2)'!C22),'Rates (2)'!D7,AF6)</f>
        <v>0</v>
      </c>
      <c r="AF6" s="973">
        <f>IF(AND(M8='Administration (2)'!C12,H9='Administration (2)'!C22),'Rates (2)'!D13,AG6)</f>
        <v>0</v>
      </c>
      <c r="AG6" s="973">
        <f>IF(M8='Administration (2)'!C15,'Rates (2)'!D14,AH6)</f>
        <v>0</v>
      </c>
      <c r="AH6" s="973">
        <f>IF(M8='Administration (2)'!C17,'Rates (2)'!D16,AI6)</f>
        <v>0</v>
      </c>
      <c r="AI6" s="973">
        <f>IF(M8='Administration (2)'!C16,'Rates (2)'!D16,0)</f>
        <v>0</v>
      </c>
      <c r="AM6" s="973" t="str">
        <f>'Administration (2)'!G7</f>
        <v>Motor Car</v>
      </c>
      <c r="AP6" s="973" t="str">
        <f>'Administration (2)'!I20</f>
        <v>Private Use Only</v>
      </c>
    </row>
    <row r="7" spans="2:47" s="973" customFormat="1" ht="21" thickBot="1" x14ac:dyDescent="0.5">
      <c r="B7" s="1150"/>
      <c r="C7" s="1178"/>
      <c r="D7" s="1152"/>
      <c r="E7" s="1179" t="s">
        <v>280</v>
      </c>
      <c r="F7" s="1180"/>
      <c r="G7" s="1155" t="s">
        <v>400</v>
      </c>
      <c r="H7" s="1855" t="str">
        <f>MC!C11</f>
        <v>to be advised</v>
      </c>
      <c r="I7" s="1856"/>
      <c r="J7" s="1856"/>
      <c r="K7" s="1857"/>
      <c r="L7" s="1858" t="str">
        <f>IF(AND(H15&gt;0,L6=""),"Enter Name","")</f>
        <v/>
      </c>
      <c r="M7" s="1859"/>
      <c r="N7" s="1186">
        <f>IF(M12="Below 250cc",5,10)</f>
        <v>5</v>
      </c>
      <c r="P7" s="1187"/>
      <c r="Q7" s="973">
        <f>Q6*U2</f>
        <v>2.2000000000000002</v>
      </c>
      <c r="T7" s="973" t="str">
        <f>'Administration (2)'!C20</f>
        <v>Private Use Only</v>
      </c>
      <c r="U7" s="1159" t="str">
        <f>'Administration (2)'!C21</f>
        <v>Hiring</v>
      </c>
      <c r="V7" s="1159"/>
      <c r="W7" s="973" t="str">
        <f>'Administration (2)'!C22</f>
        <v>Rent A Vehicle</v>
      </c>
      <c r="X7" s="973">
        <f>IF(M8='Administration (2)'!C10,'Administration (2)'!C23,0)</f>
        <v>0</v>
      </c>
      <c r="Z7" s="1188"/>
      <c r="AM7" s="973" t="str">
        <f>'Administration (2)'!G8</f>
        <v>Jeep</v>
      </c>
      <c r="AP7" s="973" t="str">
        <f>'Administration (2)'!I21</f>
        <v>Hiring</v>
      </c>
    </row>
    <row r="8" spans="2:47" s="973" customFormat="1" ht="21.75" customHeight="1" thickBot="1" x14ac:dyDescent="0.45">
      <c r="B8" s="1150"/>
      <c r="C8" s="1189"/>
      <c r="D8" s="1152"/>
      <c r="E8" s="1179" t="s">
        <v>376</v>
      </c>
      <c r="F8" s="1190"/>
      <c r="G8" s="1155" t="s">
        <v>399</v>
      </c>
      <c r="H8" s="1860" t="s">
        <v>361</v>
      </c>
      <c r="I8" s="1861"/>
      <c r="J8" s="1191"/>
      <c r="K8" s="1192">
        <v>1.2500000000000001E-2</v>
      </c>
      <c r="L8" s="1101" t="str">
        <f>'Administration (2)'!C11</f>
        <v>Motor Lorry</v>
      </c>
      <c r="M8" s="1193" t="str">
        <f>IF(AND(H8='Administration (2)'!C14,'Old MC Working'!H11="Chinese"),'Administration (2)'!C13,IF(AND(H8='Administration (2)'!C11,'Old MC Working'!H11="Chinese"),'Administration (2)'!C16,'Old MC Working'!H8))</f>
        <v>Motor Cycle</v>
      </c>
      <c r="N8" s="1194">
        <f>IF(AND(H12="hybrid",H14="No",'Rates (2)'!D75="Yes",B12="individual"),'Rates (2)'!F75,0)</f>
        <v>0</v>
      </c>
      <c r="O8" s="1140">
        <f>IF(H9="",0,1)</f>
        <v>1</v>
      </c>
      <c r="P8" s="1140"/>
      <c r="Q8" s="1140"/>
      <c r="R8" s="1140"/>
      <c r="S8" s="1140"/>
      <c r="T8" s="1140"/>
      <c r="U8" s="1195"/>
      <c r="V8" s="1195"/>
      <c r="W8" s="973">
        <f>IF(O11=1,U11,U8)</f>
        <v>0</v>
      </c>
      <c r="Z8" s="1188"/>
      <c r="AM8" s="973" t="str">
        <f>'Administration (2)'!G9</f>
        <v>Dual Purpose</v>
      </c>
      <c r="AP8" s="973" t="str">
        <f>'Administration (2)'!I22</f>
        <v>Rent A Vehicle</v>
      </c>
      <c r="AU8" s="973">
        <v>1970</v>
      </c>
    </row>
    <row r="9" spans="2:47" s="973" customFormat="1" ht="16.5" customHeight="1" thickBot="1" x14ac:dyDescent="0.45">
      <c r="B9" s="1150"/>
      <c r="C9" s="1189"/>
      <c r="D9" s="1152"/>
      <c r="E9" s="1179" t="s">
        <v>35</v>
      </c>
      <c r="F9" s="1190"/>
      <c r="G9" s="1155" t="s">
        <v>399</v>
      </c>
      <c r="H9" s="1862" t="s">
        <v>323</v>
      </c>
      <c r="I9" s="1863"/>
      <c r="J9" s="1196"/>
      <c r="K9" s="1864" t="str">
        <f>IF(OR(T2=3,W2=0),"ERROR",IF(O8=0,"&lt;= Select Usage of Vehicle",IF(Z2=0,"NOT ALLOWED","")))</f>
        <v/>
      </c>
      <c r="L9" s="1864"/>
      <c r="M9" s="1865"/>
      <c r="N9" s="1194"/>
      <c r="O9" s="1140"/>
      <c r="P9" s="1140"/>
      <c r="Q9" s="1140"/>
      <c r="R9" s="1140"/>
      <c r="S9" s="1140"/>
      <c r="T9" s="1140"/>
      <c r="U9" s="1195"/>
      <c r="V9" s="1195"/>
      <c r="Z9" s="1188"/>
      <c r="AM9" s="973" t="str">
        <f>'Administration (2)'!G10</f>
        <v>Motor Coach</v>
      </c>
      <c r="AP9" s="973" t="str">
        <f>'Administration (2)'!I23</f>
        <v xml:space="preserve">SLTB Route </v>
      </c>
      <c r="AU9" s="973">
        <f t="shared" ref="AU9:AU42" si="0">AU8+1</f>
        <v>1971</v>
      </c>
    </row>
    <row r="10" spans="2:47" s="973" customFormat="1" ht="18.5" thickBot="1" x14ac:dyDescent="0.45">
      <c r="B10" s="1150"/>
      <c r="C10" s="1189"/>
      <c r="D10" s="1152"/>
      <c r="E10" s="1845" t="s">
        <v>108</v>
      </c>
      <c r="F10" s="1845"/>
      <c r="G10" s="1155" t="s">
        <v>400</v>
      </c>
      <c r="H10" s="1846" t="str">
        <f>MC!P8</f>
        <v>to be advised</v>
      </c>
      <c r="I10" s="1847"/>
      <c r="J10" s="1196"/>
      <c r="K10" s="1198" t="s">
        <v>380</v>
      </c>
      <c r="L10" s="1848" t="str">
        <f>MC!P11</f>
        <v>TO BE ADVISED</v>
      </c>
      <c r="M10" s="1849"/>
      <c r="N10" s="1144"/>
      <c r="O10" s="1140"/>
      <c r="P10" s="1140"/>
      <c r="Q10" s="1140"/>
      <c r="R10" s="1140"/>
      <c r="S10" s="1140"/>
      <c r="T10" s="1140"/>
      <c r="U10" s="1199"/>
      <c r="V10" s="1199"/>
      <c r="Z10" s="1188"/>
      <c r="AM10" s="973" t="str">
        <f>'Administration (2)'!G11</f>
        <v>Motor Lorry</v>
      </c>
      <c r="AP10" s="973" t="str">
        <f>'Administration (2)'!I24</f>
        <v/>
      </c>
      <c r="AU10" s="973">
        <f t="shared" si="0"/>
        <v>1972</v>
      </c>
    </row>
    <row r="11" spans="2:47" s="973" customFormat="1" ht="20.25" customHeight="1" thickBot="1" x14ac:dyDescent="0.45">
      <c r="B11" s="1150"/>
      <c r="C11" s="1189"/>
      <c r="D11" s="1152"/>
      <c r="E11" s="1197" t="s">
        <v>377</v>
      </c>
      <c r="F11" s="1200"/>
      <c r="G11" s="1155" t="s">
        <v>399</v>
      </c>
      <c r="H11" s="1850" t="str">
        <f>MC!P9</f>
        <v>INDIA</v>
      </c>
      <c r="I11" s="1851"/>
      <c r="J11" s="1852" t="s">
        <v>451</v>
      </c>
      <c r="K11" s="1853"/>
      <c r="L11" s="1854"/>
      <c r="M11" s="1201" t="str">
        <f>IF(J11="","&lt;= Enter Field","")</f>
        <v/>
      </c>
      <c r="N11" s="1202"/>
      <c r="O11" s="1140">
        <f>IF(OR(L10="",L6="",H11="",H12="",H13="",H14="",K14="",L13="",J11="",K14=0,AND(O6=0,N16=0)),0,1)</f>
        <v>1</v>
      </c>
      <c r="P11" s="1140"/>
      <c r="Q11" s="1140"/>
      <c r="R11" s="1140"/>
      <c r="S11" s="1140"/>
      <c r="T11" s="1140"/>
      <c r="U11" s="1203"/>
      <c r="V11" s="1203"/>
      <c r="Z11" s="1188"/>
      <c r="AM11" s="973" t="str">
        <f>'Administration (2)'!G12</f>
        <v>Three Wheeler</v>
      </c>
      <c r="AU11" s="973">
        <f t="shared" si="0"/>
        <v>1973</v>
      </c>
    </row>
    <row r="12" spans="2:47" s="973" customFormat="1" ht="18.5" thickBot="1" x14ac:dyDescent="0.45">
      <c r="B12" s="1150"/>
      <c r="C12" s="1189" t="str">
        <f>IF(H12="Petrol (non hybrid)","Petrol",IF(H12="Diesel (non hybrid)","Diesel",IF(H12="Hybrid","Hybrid","Electric")))</f>
        <v>Petrol</v>
      </c>
      <c r="D12" s="1152"/>
      <c r="E12" s="1197" t="s">
        <v>357</v>
      </c>
      <c r="F12" s="1200"/>
      <c r="G12" s="1155" t="s">
        <v>399</v>
      </c>
      <c r="H12" s="1837" t="s">
        <v>452</v>
      </c>
      <c r="I12" s="1838"/>
      <c r="J12" s="1839" t="str">
        <f>IF(H8="Motor Cycle","Important --&gt;","")</f>
        <v>Important --&gt;</v>
      </c>
      <c r="K12" s="1840"/>
      <c r="L12" s="1840"/>
      <c r="M12" s="1204" t="str">
        <f>MC!R10</f>
        <v>Below 250cc</v>
      </c>
      <c r="N12" s="1194"/>
      <c r="O12" s="1140"/>
      <c r="P12" s="1140"/>
      <c r="Q12" s="973">
        <f>IF(M8='Administration (2)'!C7,'Rates (2)'!F6,IF(M8='Administration (2)'!C8,'Rates (2)'!F8,IF(M8='Administration (2)'!C9,'Rates (2)'!F5,IF(M8='Administration (2)'!C10,'Rates (2)'!F11,IF(M8='Administration (2)'!C13,'Rates (2)'!F3,IF(M8='Administration (2)'!C14,'Rates (2)'!F4,IF(M8='Administration (2)'!C11,'Rates (2)'!F10,IF(M8='Administration (2)'!C12,'Rates (2)'!F12,R12))))))))</f>
        <v>2</v>
      </c>
      <c r="R12" s="973">
        <f>IF(M8='Administration (2)'!C15,'Rates (2)'!F14,IF(M8='Administration (2)'!C17,'Rates (2)'!F17,IF(M8='Administration (2)'!C19,'Rates (2)'!F15,IF(M8='Administration (2)'!C16,'Rates (2)'!F16,0))))</f>
        <v>0</v>
      </c>
      <c r="T12" s="973">
        <f>IF(L13&gt;Q12,Q12,L13)</f>
        <v>2</v>
      </c>
      <c r="U12" s="1205"/>
      <c r="V12" s="1205"/>
      <c r="Z12" s="1188"/>
      <c r="AM12" s="973" t="str">
        <f>'Administration (2)'!G14</f>
        <v>Motor Cycle</v>
      </c>
      <c r="AU12" s="973">
        <f>AU11+1</f>
        <v>1974</v>
      </c>
    </row>
    <row r="13" spans="2:47" s="973" customFormat="1" ht="18.5" thickBot="1" x14ac:dyDescent="0.45">
      <c r="B13" s="1150"/>
      <c r="C13" s="1189"/>
      <c r="D13" s="1152"/>
      <c r="E13" s="1179" t="s">
        <v>281</v>
      </c>
      <c r="F13" s="1008"/>
      <c r="G13" s="1155" t="s">
        <v>399</v>
      </c>
      <c r="H13" s="1206">
        <f>MC!P13</f>
        <v>2020</v>
      </c>
      <c r="I13" s="1812" t="str">
        <f>IF(H13="","     Enter Year of Make",IF(Z15=0,CONCATENATE("     Vehicles Above ", 'Administration (2)'!F29," Yrs Not Covered"),""))</f>
        <v/>
      </c>
      <c r="J13" s="1813"/>
      <c r="K13" s="1813"/>
      <c r="L13" s="1207">
        <v>2</v>
      </c>
      <c r="M13" s="1208" t="str">
        <f>IF(OR(L13="",L13=0),"Enter No. of Seats",IF(L13&gt;Q12,CONCATENATE("Max.",Q12," Seats Allowed"),"No.of Seats"))</f>
        <v>No.of Seats</v>
      </c>
      <c r="N13" s="1194"/>
      <c r="O13" s="1140"/>
      <c r="P13" s="1140"/>
      <c r="U13" s="1205"/>
      <c r="V13" s="1205"/>
      <c r="Z13" s="1188"/>
      <c r="AM13" s="973" t="str">
        <f>'Administration (2)'!G15</f>
        <v>Tractor</v>
      </c>
      <c r="AU13" s="973">
        <f t="shared" si="0"/>
        <v>1975</v>
      </c>
    </row>
    <row r="14" spans="2:47" s="973" customFormat="1" ht="18.5" thickBot="1" x14ac:dyDescent="0.45">
      <c r="B14" s="1150"/>
      <c r="C14" s="1189"/>
      <c r="D14" s="1152"/>
      <c r="E14" s="1179" t="s">
        <v>374</v>
      </c>
      <c r="F14" s="1200"/>
      <c r="G14" s="1155" t="s">
        <v>399</v>
      </c>
      <c r="H14" s="1209" t="str">
        <f>IF(MC!C13="Not Applicable","No","Yes")</f>
        <v>Yes</v>
      </c>
      <c r="I14" s="1841" t="str">
        <f>IF(H14="Yes","NAME OF CO.","")</f>
        <v>NAME OF CO.</v>
      </c>
      <c r="J14" s="1842"/>
      <c r="K14" s="1843" t="str">
        <f>MC!C13</f>
        <v>HNB FINANCE</v>
      </c>
      <c r="L14" s="1843"/>
      <c r="M14" s="1844"/>
      <c r="N14" s="1194"/>
      <c r="O14" s="1140"/>
      <c r="P14" s="1140"/>
      <c r="T14" s="1210"/>
      <c r="X14" s="1211" t="s">
        <v>222</v>
      </c>
      <c r="Z14" s="1188"/>
      <c r="AM14" s="973" t="str">
        <f>'Administration (2)'!G13</f>
        <v>Motor Cycle (Chinese)</v>
      </c>
      <c r="AU14" s="973">
        <f t="shared" si="0"/>
        <v>1976</v>
      </c>
    </row>
    <row r="15" spans="2:47" s="973" customFormat="1" ht="23.25" customHeight="1" thickBot="1" x14ac:dyDescent="0.45">
      <c r="B15" s="1150"/>
      <c r="C15" s="1189"/>
      <c r="D15" s="1152"/>
      <c r="E15" s="1826" t="str">
        <f>IF(H15&gt;'Rates (2)'!B27,"SUM COVERED - Above Retention","SUM COVERED"                                    )</f>
        <v>SUM COVERED</v>
      </c>
      <c r="F15" s="1826"/>
      <c r="G15" s="1155" t="s">
        <v>399</v>
      </c>
      <c r="H15" s="1827">
        <f>MC!Q16</f>
        <v>700000</v>
      </c>
      <c r="I15" s="1828"/>
      <c r="J15" s="1212"/>
      <c r="K15" s="1213" t="str">
        <f>IF(AND('Rates (2)'!D63="Yes",H11="Chinese"),"N.B.- Chinese Vehicle",IF(AND(H11="Chinese",H8&lt;&gt;'Administration (2)'!C14),"Chinese Vehicles NOT covered",IF(Q15=0,"EXCEED AUTHORIZED LIMIT","")))</f>
        <v/>
      </c>
      <c r="L15" s="1214"/>
      <c r="M15" s="1215" t="str">
        <f>IF(MC!B13=1,MC!T13,"")</f>
        <v/>
      </c>
      <c r="N15" s="1216"/>
      <c r="O15" s="1217">
        <f>IF(T47=0,'Rates (2)'!B25,'Rates (2)'!B24)</f>
        <v>1000000</v>
      </c>
      <c r="P15" s="1217"/>
      <c r="Q15" s="973">
        <f>IF(H15&gt;O15,0,1)</f>
        <v>1</v>
      </c>
      <c r="R15" s="973">
        <f>IF(AND(H15&gt;0,O11&gt;0,O8=1),1,0)</f>
        <v>1</v>
      </c>
      <c r="T15" s="1210"/>
      <c r="X15" s="1211">
        <f ca="1">YEAR(F69)</f>
        <v>2024</v>
      </c>
      <c r="Y15" s="973">
        <f ca="1">X15-H13</f>
        <v>4</v>
      </c>
      <c r="Z15" s="1218">
        <f>IF('Rates (2)'!D52="Yes",1,IF(Y15&gt;'Administration (2)'!F29,0,1))</f>
        <v>1</v>
      </c>
      <c r="AM15" s="973" t="str">
        <f>'Administration (2)'!G16</f>
        <v>Motor Lorry (Chinese)</v>
      </c>
      <c r="AU15" s="973">
        <f t="shared" si="0"/>
        <v>1977</v>
      </c>
    </row>
    <row r="16" spans="2:47" s="973" customFormat="1" ht="16.5" customHeight="1" thickTop="1" thickBot="1" x14ac:dyDescent="0.35">
      <c r="B16" s="1150"/>
      <c r="C16" s="1189"/>
      <c r="D16" s="1219"/>
      <c r="E16" s="1829" t="str">
        <f ca="1">IF('Old MC Working'!$C$69=0,"This Quotation system is not valid anymore",IF(C66-F69&lt;14,CONCATENATE("This quotation shall expire within ",C66-F69," days"),IF(AND('Rates (2)'!D79="No",O16=1,H14="No",(O57+Q57=1)),"Should Obtain 3 Tier Quotation","")))</f>
        <v/>
      </c>
      <c r="F16" s="1829"/>
      <c r="G16" s="1829"/>
      <c r="H16" s="1829"/>
      <c r="I16" s="1831" t="str">
        <f>IF(N16=0,"Please Get 3 Tier Quotation",IF(H8="","Enter Vehicle Type",IF(H9="","Enter Vehicle Usage",IF(H11="","Enter Vehicle Country of Make",IF(H12="","Enter Fuel Type",IF(H13="","Enter Year of Make",IF(H14="","Enter Lease Status",IF(L6="","Enter Proposer 2nd Name",""))))))))</f>
        <v/>
      </c>
      <c r="J16" s="1831"/>
      <c r="K16" s="1831"/>
      <c r="L16" s="1831"/>
      <c r="M16" s="1832"/>
      <c r="N16" s="1220">
        <f>IF(AND(O6=0,O16=1,H14="No"),0,1)</f>
        <v>1</v>
      </c>
      <c r="O16" s="1140">
        <f>IF(H11="Chinese",0,1)</f>
        <v>1</v>
      </c>
      <c r="P16" s="1140"/>
      <c r="R16" s="1205"/>
      <c r="S16" s="1205"/>
      <c r="T16" s="1210"/>
      <c r="Z16" s="1188"/>
      <c r="AA16" s="974"/>
      <c r="AB16" s="974"/>
      <c r="AC16" s="974"/>
      <c r="AD16" s="974"/>
      <c r="AM16" s="973" t="str">
        <f>'Administration (2)'!G17</f>
        <v>Others</v>
      </c>
      <c r="AU16" s="973">
        <f t="shared" si="0"/>
        <v>1978</v>
      </c>
    </row>
    <row r="17" spans="2:50" s="973" customFormat="1" ht="15" customHeight="1" thickTop="1" thickBot="1" x14ac:dyDescent="0.35">
      <c r="B17" s="1150"/>
      <c r="C17" s="1189"/>
      <c r="D17" s="1152"/>
      <c r="E17" s="1830"/>
      <c r="F17" s="1830"/>
      <c r="G17" s="1830"/>
      <c r="H17" s="1830"/>
      <c r="I17" s="1833"/>
      <c r="J17" s="1833"/>
      <c r="K17" s="1833"/>
      <c r="L17" s="1833"/>
      <c r="M17" s="1834"/>
      <c r="N17" s="183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09"/>
      <c r="P17" s="1140"/>
      <c r="R17" s="1205"/>
      <c r="S17" s="1205"/>
      <c r="T17" s="1210"/>
      <c r="Z17" s="1188"/>
      <c r="AM17" s="973">
        <f>'Administration (2)'!G19</f>
        <v>0</v>
      </c>
      <c r="AU17" s="973">
        <f t="shared" si="0"/>
        <v>1979</v>
      </c>
    </row>
    <row r="18" spans="2:50" s="973" customFormat="1" ht="15" customHeight="1" thickBot="1" x14ac:dyDescent="0.35">
      <c r="B18" s="1150"/>
      <c r="C18" s="1189"/>
      <c r="D18" s="1152"/>
      <c r="E18" s="1221" t="s">
        <v>267</v>
      </c>
      <c r="F18" s="984"/>
      <c r="G18" s="984"/>
      <c r="H18" s="1222"/>
      <c r="I18" s="1223">
        <f>IF(K14=F112,1000,0)</f>
        <v>0</v>
      </c>
      <c r="J18" s="1222"/>
      <c r="K18" s="984"/>
      <c r="L18" s="984"/>
      <c r="M18" s="1224"/>
      <c r="N18" s="1836"/>
      <c r="O18" s="1811"/>
      <c r="P18" s="1140"/>
      <c r="R18" s="1205"/>
      <c r="S18" s="1205"/>
      <c r="T18" s="1210"/>
      <c r="Z18" s="1188"/>
      <c r="AU18" s="973">
        <f t="shared" si="0"/>
        <v>1980</v>
      </c>
    </row>
    <row r="19" spans="2:50" s="973" customFormat="1" ht="15.5" thickBot="1" x14ac:dyDescent="0.35">
      <c r="B19" s="1150"/>
      <c r="C19" s="1189"/>
      <c r="D19" s="1152"/>
      <c r="E19" s="1225" t="s">
        <v>378</v>
      </c>
      <c r="F19" s="1226"/>
      <c r="G19" s="1226"/>
      <c r="H19" s="1227"/>
      <c r="I19" s="1228"/>
      <c r="J19" s="1228"/>
      <c r="K19" s="984"/>
      <c r="L19" s="1229">
        <v>0</v>
      </c>
      <c r="M19" s="1230">
        <f ca="1">IF(AND($C$2="Yes",L19=1),N19*C69,(H15*N7%*R15*C69))*N3</f>
        <v>35000</v>
      </c>
      <c r="N19" s="1231">
        <v>0</v>
      </c>
      <c r="O19" s="1140"/>
      <c r="P19" s="1140"/>
      <c r="Q19" s="1232">
        <v>0.01</v>
      </c>
      <c r="R19" s="1205"/>
      <c r="S19" s="1233"/>
      <c r="T19" s="1234"/>
      <c r="U19" s="1233"/>
      <c r="V19" s="1233"/>
      <c r="W19" s="976"/>
      <c r="X19" s="976"/>
      <c r="Y19" s="976"/>
      <c r="Z19" s="1235"/>
      <c r="AA19" s="976"/>
      <c r="AU19" s="973">
        <f t="shared" si="0"/>
        <v>1981</v>
      </c>
    </row>
    <row r="20" spans="2:50" s="973" customFormat="1" ht="15.9" customHeight="1" thickBot="1" x14ac:dyDescent="0.35">
      <c r="B20" s="1150"/>
      <c r="C20" s="1189"/>
      <c r="D20" s="1236" t="s">
        <v>284</v>
      </c>
      <c r="E20" s="1237" t="s">
        <v>9</v>
      </c>
      <c r="F20" s="1105" t="s">
        <v>166</v>
      </c>
      <c r="G20" s="1105"/>
      <c r="H20" s="1238"/>
      <c r="I20" s="1228"/>
      <c r="J20" s="1228"/>
      <c r="K20" s="984"/>
      <c r="L20" s="1229">
        <v>0</v>
      </c>
      <c r="M20" s="1239">
        <f ca="1">IF(AND($C$2="Yes",L20=1),N20,(M19*H20%))</f>
        <v>0</v>
      </c>
      <c r="N20" s="1231">
        <v>0</v>
      </c>
      <c r="O20" s="1140"/>
      <c r="P20" s="1140"/>
      <c r="Q20" s="1232"/>
      <c r="R20" s="1205"/>
      <c r="S20" s="1233"/>
      <c r="T20" s="1234"/>
      <c r="U20" s="1233"/>
      <c r="V20" s="1233"/>
      <c r="W20" s="976"/>
      <c r="X20" s="976"/>
      <c r="Y20" s="976"/>
      <c r="Z20" s="1235"/>
      <c r="AA20" s="976"/>
      <c r="AM20" s="1149"/>
      <c r="AU20" s="973">
        <f t="shared" si="0"/>
        <v>1982</v>
      </c>
    </row>
    <row r="21" spans="2:50" s="973" customFormat="1" ht="15.9" customHeight="1" thickBot="1" x14ac:dyDescent="0.45">
      <c r="B21" s="1240" t="str">
        <f>IF(C21=0,"No",IF(C21=1,"Yes","Free"))</f>
        <v>Free</v>
      </c>
      <c r="C21" s="1241">
        <f>IF(H14="Yes",2,0)</f>
        <v>2</v>
      </c>
      <c r="D21" s="1236" t="s">
        <v>284</v>
      </c>
      <c r="E21" s="1237" t="s">
        <v>9</v>
      </c>
      <c r="F21" s="1105" t="s">
        <v>11</v>
      </c>
      <c r="G21" s="1105"/>
      <c r="H21" s="1242" t="str">
        <f>IF(B21="Free","Free",IF(B21="Yes","Charged",""))</f>
        <v>Free</v>
      </c>
      <c r="I21" s="1228"/>
      <c r="J21" s="1228"/>
      <c r="K21" s="984"/>
      <c r="L21" s="1243"/>
      <c r="M21" s="1244">
        <f ca="1">M19*'Rates (2)'!K13%*Q21</f>
        <v>0</v>
      </c>
      <c r="N21" s="1231"/>
      <c r="Q21" s="973">
        <f>IF(B21="Yes",1,0)</f>
        <v>0</v>
      </c>
      <c r="R21" s="1245"/>
      <c r="S21" s="1246"/>
      <c r="T21" s="1233"/>
      <c r="U21" s="1233"/>
      <c r="V21" s="1233"/>
      <c r="W21" s="976"/>
      <c r="X21" s="976"/>
      <c r="Y21" s="976"/>
      <c r="Z21" s="976"/>
      <c r="AA21" s="976"/>
      <c r="AM21" s="1149"/>
      <c r="AU21" s="973">
        <f t="shared" si="0"/>
        <v>1983</v>
      </c>
    </row>
    <row r="22" spans="2:50" s="973" customFormat="1" ht="15.9" customHeight="1" thickBot="1" x14ac:dyDescent="0.35">
      <c r="B22" s="1247"/>
      <c r="C22" s="1144"/>
      <c r="D22" s="1236" t="s">
        <v>284</v>
      </c>
      <c r="E22" s="1237" t="s">
        <v>9</v>
      </c>
      <c r="F22" s="1105" t="s">
        <v>2</v>
      </c>
      <c r="G22" s="1105"/>
      <c r="H22" s="1248">
        <v>0</v>
      </c>
      <c r="I22" s="1249">
        <f>IF(AND($C$2="Yes",L22=1),K22,H22)</f>
        <v>0</v>
      </c>
      <c r="J22" s="1250"/>
      <c r="K22" s="1251">
        <v>10000</v>
      </c>
      <c r="L22" s="1229">
        <v>0</v>
      </c>
      <c r="M22" s="1252">
        <f>IF(AND($C$2="Yes",L22=1),N22,-IF(I22=2000,MIN('Rates (2)'!K38/100*M19,'Rates (2)'!J38),IF(I22=5000,MIN('Rates (2)'!J39,'Rates (2)'!K39/100*M19),IF(I22=10000,MIN('Rates (2)'!K40/100*M19,'Rates (2)'!J40)))))</f>
        <v>0</v>
      </c>
      <c r="N22" s="1231">
        <v>0</v>
      </c>
      <c r="O22" s="1253">
        <f>IF(I22&gt;0,1,0)</f>
        <v>0</v>
      </c>
      <c r="P22" s="1253"/>
      <c r="Q22" s="1254"/>
      <c r="R22" s="1205"/>
      <c r="S22" s="1233"/>
      <c r="T22" s="1233"/>
      <c r="U22" s="1233"/>
      <c r="V22" s="1233"/>
      <c r="W22" s="1255"/>
      <c r="X22" s="976"/>
      <c r="Y22" s="976"/>
      <c r="Z22" s="1256">
        <f ca="1">M35+M36</f>
        <v>14839.999999999996</v>
      </c>
      <c r="AA22" s="976"/>
      <c r="AM22" s="1149"/>
      <c r="AU22" s="973">
        <f t="shared" si="0"/>
        <v>1984</v>
      </c>
    </row>
    <row r="23" spans="2:50" s="973" customFormat="1" ht="15.9" customHeight="1" thickBot="1" x14ac:dyDescent="0.35">
      <c r="B23" s="1247"/>
      <c r="C23" s="1144"/>
      <c r="D23" s="1236" t="s">
        <v>284</v>
      </c>
      <c r="E23" s="1237" t="s">
        <v>9</v>
      </c>
      <c r="F23" s="1105" t="s">
        <v>3</v>
      </c>
      <c r="G23" s="1105"/>
      <c r="H23" s="1257">
        <f>IF(M12="Below 250cc",57.6,0)</f>
        <v>57.6</v>
      </c>
      <c r="I23" s="1817" t="str">
        <f ca="1">IF(AND(U23=0,M23&lt;0),"   (Special Rebate Allowed)",IF(U23=0,"   (Rebate Not Allowed)",IF(AND(H12="Hybrid",M23&lt;0),"N.B:- Hybrid Vehicle",IF(AND(H11="Korean",M23&lt;0),"N.B:- Korean Vehicle",""))))</f>
        <v/>
      </c>
      <c r="J23" s="1818"/>
      <c r="K23" s="1818"/>
      <c r="L23" s="1818"/>
      <c r="M23" s="1258">
        <f ca="1">IF(AND($C$2="Yes",O23=1),N23,IF(AND(U23=0,C24=1),-((M19+M21+M22)*I24%),-((M19+M21+M22)*H23%*U23)))</f>
        <v>-20160.000000000004</v>
      </c>
      <c r="N23" s="1231">
        <v>0</v>
      </c>
      <c r="O23" s="1259">
        <v>0</v>
      </c>
      <c r="P23" s="1260">
        <f ca="1">IF(M23&lt;0,1,0)</f>
        <v>1</v>
      </c>
      <c r="Q23" s="1261">
        <f>'Rates (2)'!C29</f>
        <v>75</v>
      </c>
      <c r="R23" s="1262">
        <f>IF(AND(T47=0,'Rates (2)'!C28="No"),1,0)</f>
        <v>0</v>
      </c>
      <c r="S23" s="1263"/>
      <c r="T23" s="1263">
        <f>IF(R23=1,0,IF(AND(H11="Chinese",'Rates (2)'!D64="No"),0,IF(AND(H12="Hybrid",'Rates (2)'!D76="No"),0,IF(AND(H11="Korean",'Rates (2)'!D58="Yes"),1,IF(AND(H11="Korean",H14="No",'Rates (2)'!D58="No"),0,IF(AND(H11="Korean",H14="Yes",'Rates (2)'!D58="No",OR(J11="Reconditioned",J11="Registered")),0,Q23))))))</f>
        <v>75</v>
      </c>
      <c r="U23" s="1263">
        <f>IF(T23=0,0,1)</f>
        <v>1</v>
      </c>
      <c r="V23" s="1263"/>
      <c r="W23" s="1264"/>
      <c r="X23" s="1264"/>
      <c r="Y23" s="1264">
        <v>0</v>
      </c>
      <c r="Z23" s="1264">
        <f ca="1">Z22*-H37%</f>
        <v>-3709.9999999999991</v>
      </c>
      <c r="AA23" s="1264"/>
      <c r="AB23" s="1166"/>
      <c r="AC23" s="1166"/>
      <c r="AD23" s="1166"/>
      <c r="AE23" s="1166"/>
      <c r="AM23" s="1149"/>
      <c r="AU23" s="973">
        <f t="shared" si="0"/>
        <v>1985</v>
      </c>
    </row>
    <row r="24" spans="2:50" s="973" customFormat="1" ht="16" thickBot="1" x14ac:dyDescent="0.4">
      <c r="B24" s="1247"/>
      <c r="C24" s="1144">
        <f>IF(H24=D24,1,0)</f>
        <v>0</v>
      </c>
      <c r="D24" s="1265" t="s">
        <v>404</v>
      </c>
      <c r="E24" s="1266"/>
      <c r="F24" s="985"/>
      <c r="G24" s="1267" t="str">
        <f>IF(U23=0,"Enter Password for Special Rebate =&gt;","")</f>
        <v/>
      </c>
      <c r="H24" s="1268"/>
      <c r="I24" s="1269">
        <v>15</v>
      </c>
      <c r="J24" s="1269"/>
      <c r="K24" s="1270"/>
      <c r="L24" s="1270" t="s">
        <v>285</v>
      </c>
      <c r="M24" s="1271">
        <f ca="1">SUM(M19:M23)</f>
        <v>14839.999999999996</v>
      </c>
      <c r="N24" s="1272"/>
      <c r="O24" s="1253">
        <f ca="1">O23+M24</f>
        <v>14839.999999999996</v>
      </c>
      <c r="P24" s="1253"/>
      <c r="Q24" s="1273"/>
      <c r="R24" s="1273"/>
      <c r="S24" s="1274"/>
      <c r="T24" s="1274"/>
      <c r="U24" s="1274"/>
      <c r="V24" s="1274"/>
      <c r="W24" s="976"/>
      <c r="X24" s="976"/>
      <c r="Y24" s="976"/>
      <c r="Z24" s="1275" t="s">
        <v>158</v>
      </c>
      <c r="AA24" s="976"/>
      <c r="AD24" s="1276" t="s">
        <v>157</v>
      </c>
      <c r="AJ24" s="973">
        <v>0</v>
      </c>
      <c r="AM24" s="1149"/>
      <c r="AU24" s="973">
        <f t="shared" si="0"/>
        <v>1986</v>
      </c>
    </row>
    <row r="25" spans="2:50" s="973" customFormat="1" ht="18" customHeight="1" thickBot="1" x14ac:dyDescent="0.4">
      <c r="B25" s="1247"/>
      <c r="C25" s="1144"/>
      <c r="D25" s="1236" t="s">
        <v>284</v>
      </c>
      <c r="E25" s="1237" t="s">
        <v>9</v>
      </c>
      <c r="F25" s="1105" t="s">
        <v>326</v>
      </c>
      <c r="G25" s="1090" t="s">
        <v>26</v>
      </c>
      <c r="H25" s="1277">
        <f>IF(MC!R34&lt;&gt;"",MC!R34,50000)</f>
        <v>0</v>
      </c>
      <c r="I25" s="1819" t="s">
        <v>447</v>
      </c>
      <c r="J25" s="1820"/>
      <c r="K25" s="1821"/>
      <c r="L25" s="1278">
        <f>IF(H15&gt;0,AD25,0)</f>
        <v>1</v>
      </c>
      <c r="M25" s="1279">
        <f>(H25/25000)*200</f>
        <v>0</v>
      </c>
      <c r="N25" s="1231">
        <v>0</v>
      </c>
      <c r="O25" s="1161">
        <v>0</v>
      </c>
      <c r="P25" s="1140">
        <f>IF(H25&gt;0,1,0)</f>
        <v>0</v>
      </c>
      <c r="Q25" s="1140">
        <f>IF(L27&gt;0,1,0)</f>
        <v>1</v>
      </c>
      <c r="R25" s="1161">
        <f>P25+Q25</f>
        <v>1</v>
      </c>
      <c r="S25" s="1280"/>
      <c r="T25" s="1280"/>
      <c r="U25" s="1280">
        <f>IF(T47=0,'Rates (2)'!K10,IF(U57=1,'Rates (2)'!K8,'Rates (2)'!K9))</f>
        <v>25</v>
      </c>
      <c r="V25" s="1280"/>
      <c r="W25" s="976">
        <f>IF(OR(U62=1,'Rates (2)'!D41="Yes"),MIN(H25/25000*MIN(L25,AC25)*U25,X25),0)</f>
        <v>0</v>
      </c>
      <c r="X25" s="976">
        <f>MIN(H25/25000*MIN(L25,AC25)*U25*Y25,'Rates (2)'!C40/25000*MIN(L25,AC25)*U25*Y25)</f>
        <v>0</v>
      </c>
      <c r="Y25" s="976">
        <f>IF('Rates (2)'!D39="Yes",1,0)</f>
        <v>1</v>
      </c>
      <c r="Z25" s="1281">
        <f>IF(AND(AA25=1,R25=2),MAX(H25,'Rates (2)'!C40),IF(AND(AA25=1,R25&lt;2),'Rates (2)'!C40,IF(AND(AA25=0,R25=2),H25,0)))</f>
        <v>0</v>
      </c>
      <c r="AA25" s="976">
        <f>IF(OR(AND(U62=1,'Rates (2)'!D39="Yes",'Rates (2)'!C40&gt;0),AND(U62=0,'Rates (2)'!D39="Yes",'Rates (2)'!C40&gt;0,'Rates (2)'!D41="Yes")),1,0)</f>
        <v>0</v>
      </c>
      <c r="AB25" s="973">
        <f>IF(AND(AA25=1,H25&lt;'Rates (2)'!C40),AC25,L27)</f>
        <v>1</v>
      </c>
      <c r="AC25" s="973">
        <f>IF(OR(O57+Q57=1,W57=1),MIN(L13,Q12,'Rates (2)'!D42),0)</f>
        <v>0</v>
      </c>
      <c r="AD25" s="973">
        <f>IF(AND(AA25=1,L27&lt;=AC25,H25&lt;='Rates (2)'!C40),AC25,IF(AND(AA25=1,L27=0,H25&gt;'Rates (2)'!C40),AC25,AE25))</f>
        <v>1</v>
      </c>
      <c r="AE25" s="973">
        <f>IF(AND(L27&gt;Q12,Q12&gt;L13),L13,IF(AND(L27&gt;Q12,Q12&lt;=L13),Q12,IF(AND(L27&lt;Q12,L27&gt;L13),L13,L27)))</f>
        <v>1</v>
      </c>
      <c r="AJ25" s="973">
        <f>IF(AND(H9='Administration (2)'!C20,OR(M8='Administration (2)'!C7,M8='Administration (2)'!C8,M8='Administration (2)'!C9)),50000,25000)</f>
        <v>25000</v>
      </c>
      <c r="AM25" s="1149"/>
      <c r="AU25" s="973">
        <f t="shared" si="0"/>
        <v>1987</v>
      </c>
    </row>
    <row r="26" spans="2:50" s="973" customFormat="1" ht="1.5" customHeight="1" thickBot="1" x14ac:dyDescent="0.35">
      <c r="B26" s="1247"/>
      <c r="C26" s="1144"/>
      <c r="D26" s="1282"/>
      <c r="E26" s="1283">
        <f>IF(I25="Full Seating Capacity",1,0)</f>
        <v>0</v>
      </c>
      <c r="F26" s="1027" t="str">
        <f>IF(H25&gt;0,"Full Seating Capacity","")</f>
        <v/>
      </c>
      <c r="G26" s="1283">
        <f>IF(OR(I25="Participant Only",I25="Participant &amp; Driver Only"),1,0)</f>
        <v>0</v>
      </c>
      <c r="H26" s="1105" t="str">
        <f>IF(H25&gt;0,"for Participant","")</f>
        <v/>
      </c>
      <c r="I26" s="1284">
        <f>IF(H15&gt;0,Z25,0)</f>
        <v>0</v>
      </c>
      <c r="J26" s="1284"/>
      <c r="K26" s="1031" t="str">
        <f>IF(H25&gt;0,"for Driver","")</f>
        <v/>
      </c>
      <c r="L26" s="1283">
        <f>IF(OR(I25="Driver Only",I25="Participant &amp; Driver Only"),1,0)</f>
        <v>1</v>
      </c>
      <c r="M26" s="1285"/>
      <c r="N26" s="1216"/>
      <c r="O26" s="1140" t="str">
        <f>IF(AND(E26=0,L25&gt;0),CONCATENATE(MIN(L25,L13)," Persons"),IF(E26=1,"Full Seating Capacity",IF(AND(G26=1,L26=1),"Participant &amp; Driver",IF(G26=1,"Participant only",IF(L26=1,"Driver only","")))))</f>
        <v>1 Persons</v>
      </c>
      <c r="P26" s="1140"/>
      <c r="Q26" s="1140"/>
      <c r="R26" s="1161"/>
      <c r="S26" s="1280"/>
      <c r="T26" s="1280"/>
      <c r="U26" s="1280"/>
      <c r="V26" s="1280"/>
      <c r="W26" s="976"/>
      <c r="X26" s="976"/>
      <c r="Y26" s="976"/>
      <c r="Z26" s="1281"/>
      <c r="AA26" s="976"/>
      <c r="AJ26" s="973">
        <f>AJ25+25000</f>
        <v>50000</v>
      </c>
      <c r="AM26" s="1149"/>
      <c r="AU26" s="973">
        <f t="shared" si="0"/>
        <v>1988</v>
      </c>
      <c r="AX26" s="1286"/>
    </row>
    <row r="27" spans="2:50" s="973" customFormat="1" ht="26.25" hidden="1" customHeight="1" thickBot="1" x14ac:dyDescent="0.35">
      <c r="B27" s="1247"/>
      <c r="C27" s="1144"/>
      <c r="D27" s="1282"/>
      <c r="E27" s="985"/>
      <c r="F27" s="1822" t="str">
        <f>IF(OR($R$25&gt;1,AA25=1),"If PAB for Terrorism is Required for paid Driver or workers, state their number","")</f>
        <v/>
      </c>
      <c r="G27" s="1822"/>
      <c r="H27" s="1822"/>
      <c r="I27" s="1287">
        <v>0</v>
      </c>
      <c r="J27" s="1288"/>
      <c r="K27" s="1289"/>
      <c r="L27" s="1287">
        <f>IF(E26=1,L13,IF(AND(G26=1,L26=1),2,IF(OR(G26=1,L26=1),1,0)))</f>
        <v>1</v>
      </c>
      <c r="M27" s="1290"/>
      <c r="O27" s="1140"/>
      <c r="P27" s="1140"/>
      <c r="Q27" s="1291"/>
      <c r="R27" s="1292"/>
      <c r="S27" s="1293"/>
      <c r="T27" s="1293"/>
      <c r="U27" s="1293"/>
      <c r="V27" s="1293"/>
      <c r="W27" s="1294"/>
      <c r="X27" s="1294"/>
      <c r="Y27" s="976"/>
      <c r="Z27" s="1281"/>
      <c r="AA27" s="976"/>
      <c r="AJ27" s="973">
        <f t="shared" ref="AJ27:AJ43" si="1">AJ26+25000</f>
        <v>75000</v>
      </c>
      <c r="AM27" s="1149"/>
      <c r="AU27" s="973">
        <f t="shared" si="0"/>
        <v>1989</v>
      </c>
      <c r="AX27" s="1286"/>
    </row>
    <row r="28" spans="2:50" s="973" customFormat="1" ht="20.25" hidden="1" customHeight="1" thickBot="1" x14ac:dyDescent="0.35">
      <c r="B28" s="1247"/>
      <c r="C28" s="1144"/>
      <c r="D28" s="1282"/>
      <c r="E28" s="1295"/>
      <c r="F28" s="1822"/>
      <c r="G28" s="1822"/>
      <c r="H28" s="1822"/>
      <c r="I28" s="1823" t="str">
        <f>IF(AND(H25=0,L25=0),"",IF(I27&gt;L25,"Invalid Entry",""))</f>
        <v/>
      </c>
      <c r="J28" s="1823"/>
      <c r="K28" s="1823"/>
      <c r="L28" s="985"/>
      <c r="M28" s="1279"/>
      <c r="N28" s="1296"/>
      <c r="O28" s="1253"/>
      <c r="P28" s="1253"/>
      <c r="Q28" s="1292"/>
      <c r="R28" s="1161"/>
      <c r="S28" s="1280"/>
      <c r="T28" s="1280"/>
      <c r="U28" s="1280"/>
      <c r="V28" s="1280"/>
      <c r="W28" s="976"/>
      <c r="X28" s="976"/>
      <c r="Y28" s="976"/>
      <c r="Z28" s="976">
        <f>IF(I27&gt;L25,L25,I27)</f>
        <v>0</v>
      </c>
      <c r="AA28" s="976"/>
      <c r="AJ28" s="973">
        <f t="shared" si="1"/>
        <v>100000</v>
      </c>
      <c r="AM28" s="1149"/>
      <c r="AU28" s="973">
        <f t="shared" si="0"/>
        <v>1990</v>
      </c>
      <c r="AX28" s="1286"/>
    </row>
    <row r="29" spans="2:50" s="973" customFormat="1" ht="20.25" customHeight="1" thickBot="1" x14ac:dyDescent="0.4">
      <c r="B29" s="1247"/>
      <c r="C29" s="1144"/>
      <c r="D29" s="1236" t="s">
        <v>284</v>
      </c>
      <c r="E29" s="1237" t="s">
        <v>9</v>
      </c>
      <c r="F29" s="1041" t="s">
        <v>47</v>
      </c>
      <c r="G29" s="1041"/>
      <c r="H29" s="1297">
        <v>0</v>
      </c>
      <c r="I29" s="1298" t="str">
        <f>IF(L13&gt;Q12,CONCATENATE(Q12-1," Passengers"),CONCATENATE(L13-1," passengers"))</f>
        <v>1 passengers</v>
      </c>
      <c r="J29" s="1157"/>
      <c r="K29" s="1299">
        <f>IF(AND(H8="Three Wheeler",K14=F112,H29&lt;20000),20000,H29)</f>
        <v>0</v>
      </c>
      <c r="L29" s="1300"/>
      <c r="M29" s="1301">
        <f>IF(AND($C$2="Yes",O29=1),N29,IF(K29=2000,'Rates (2)'!K27,IF(K29=10000,'Rates (2)'!M27,IF(K29=20000,'Rates (2)'!K28,IF(K29=50000,'Rates (2)'!M28,IF(K29=100000,'Rates (2)'!K29,IF(K29=200000,'Rates (2)'!M29,IF(K29=500000,'Rates (2)'!K30,))))))))*T29*U2*R15*Y2*Z49*Y49*Q65*N3</f>
        <v>0</v>
      </c>
      <c r="N29" s="1231">
        <v>0</v>
      </c>
      <c r="O29" s="1259">
        <v>0</v>
      </c>
      <c r="P29" s="1140">
        <f>IF(K29&gt;0,1,0)</f>
        <v>0</v>
      </c>
      <c r="Q29" s="1140">
        <f>IF(I29&gt;0,1,0)</f>
        <v>1</v>
      </c>
      <c r="R29" s="1161">
        <f>P29+Q29</f>
        <v>1</v>
      </c>
      <c r="S29" s="1280"/>
      <c r="T29" s="1233">
        <f>IF(I29&gt;L13-1,L13-1,I29)</f>
        <v>1</v>
      </c>
      <c r="U29" s="1233"/>
      <c r="V29" s="1233">
        <f>IF(AND(H9='Administration (2)'!C21,OR('Old MC Working'!M8='Administration (2)'!C7,M8='Administration (2)'!C8,M8='Administration (2)'!C9,M8='Administration (2)'!C10,M8='Administration (2)'!C12)),2000,0)</f>
        <v>0</v>
      </c>
      <c r="W29" s="976"/>
      <c r="X29" s="976"/>
      <c r="Y29" s="976"/>
      <c r="Z29" s="976"/>
      <c r="AA29" s="976"/>
      <c r="AJ29" s="973">
        <f t="shared" si="1"/>
        <v>125000</v>
      </c>
      <c r="AM29" s="1149"/>
      <c r="AU29" s="973">
        <f t="shared" si="0"/>
        <v>1991</v>
      </c>
      <c r="AX29" s="1302"/>
    </row>
    <row r="30" spans="2:50" s="973" customFormat="1" ht="21" customHeight="1" thickBot="1" x14ac:dyDescent="0.35">
      <c r="B30" s="1247"/>
      <c r="C30" s="1303" t="s">
        <v>78</v>
      </c>
      <c r="D30" s="1236" t="s">
        <v>284</v>
      </c>
      <c r="E30" s="1237" t="s">
        <v>9</v>
      </c>
      <c r="F30" s="1304" t="str">
        <f>IF(O31=0,"Goods Cover               (Not Provided)",IF(AND(C30="Yes",H30=0),"Goods Cover    - Enter Goods Value","Goods Cover              Goods Value-&gt;"))</f>
        <v>Goods Cover               (Not Provided)</v>
      </c>
      <c r="G30" s="985"/>
      <c r="H30" s="1305">
        <v>0</v>
      </c>
      <c r="I30" s="1824" t="s">
        <v>39</v>
      </c>
      <c r="J30" s="1825"/>
      <c r="K30" s="1306" t="s">
        <v>403</v>
      </c>
      <c r="L30" s="1229">
        <v>0</v>
      </c>
      <c r="M30" s="1244"/>
      <c r="N30" s="1231">
        <v>0</v>
      </c>
      <c r="O30" s="1140">
        <f>IF(AND(C30="Yes",H30&gt;0),1,0)</f>
        <v>0</v>
      </c>
      <c r="P30" s="1140"/>
      <c r="Q30" s="1149"/>
      <c r="S30" s="976"/>
      <c r="T30" s="976">
        <f>IF(C30="Yes",'Rates (2)'!B33,0)</f>
        <v>5000</v>
      </c>
      <c r="U30" s="1256">
        <f>IF(AND(O31=1,C30="Yes"),'Rates (2)'!B31,0)</f>
        <v>0</v>
      </c>
      <c r="V30" s="1256"/>
      <c r="W30" s="976"/>
      <c r="X30" s="976"/>
      <c r="Y30" s="976"/>
      <c r="Z30" s="976"/>
      <c r="AA30" s="976"/>
      <c r="AJ30" s="973">
        <f t="shared" si="1"/>
        <v>150000</v>
      </c>
      <c r="AM30" s="1149"/>
      <c r="AU30" s="973">
        <f t="shared" si="0"/>
        <v>1992</v>
      </c>
    </row>
    <row r="31" spans="2:50" s="973" customFormat="1" ht="0.75" customHeight="1" thickBot="1" x14ac:dyDescent="0.35">
      <c r="B31" s="1307">
        <v>1</v>
      </c>
      <c r="C31" s="1151">
        <v>1</v>
      </c>
      <c r="D31" s="1308"/>
      <c r="E31" s="1309" t="str">
        <f>IF(AND(H30&gt;0,O31&gt;0),"Select Nature of Goods","")</f>
        <v/>
      </c>
      <c r="F31" s="985"/>
      <c r="G31" s="1310" t="s">
        <v>9</v>
      </c>
      <c r="H31" s="731" t="str">
        <f>IF(AND(H30&gt;0,O31=1),"Non Hazardous","")</f>
        <v/>
      </c>
      <c r="I31" s="1311">
        <f>H30*'Rates (2)'!K53%*T31*O30*O31</f>
        <v>0</v>
      </c>
      <c r="J31" s="1312"/>
      <c r="K31" s="1312"/>
      <c r="L31" s="1312"/>
      <c r="M31" s="1313"/>
      <c r="N31" s="1314"/>
      <c r="O31" s="973">
        <f>IF(OR(H8='Administration (2)'!C9,H8='Administration (2)'!C11,H8='Administration (2)'!C12,H8='Administration (2)'!CY1548),1,IF('Rates (2)'!D47="Yes",1,0))</f>
        <v>0</v>
      </c>
      <c r="Q31" s="973">
        <f>B31</f>
        <v>1</v>
      </c>
      <c r="R31" s="973">
        <f>IF(Q31+Q32=3,0,1)</f>
        <v>1</v>
      </c>
      <c r="S31" s="976"/>
      <c r="T31" s="976">
        <f>IF((E32+E33)=0,1,0)</f>
        <v>0</v>
      </c>
      <c r="U31" s="976">
        <f>IF(T31=1,1,0)</f>
        <v>0</v>
      </c>
      <c r="V31" s="976"/>
      <c r="W31" s="976"/>
      <c r="X31" s="976"/>
      <c r="Y31" s="976"/>
      <c r="Z31" s="976"/>
      <c r="AA31" s="976"/>
      <c r="AJ31" s="973">
        <f t="shared" si="1"/>
        <v>175000</v>
      </c>
      <c r="AM31" s="1149"/>
      <c r="AU31" s="973">
        <f t="shared" si="0"/>
        <v>1993</v>
      </c>
      <c r="AX31" s="1302" t="s">
        <v>392</v>
      </c>
    </row>
    <row r="32" spans="2:50" s="973" customFormat="1" ht="23.25" hidden="1" customHeight="1" thickBot="1" x14ac:dyDescent="0.35">
      <c r="B32" s="1247"/>
      <c r="D32" s="1308"/>
      <c r="E32" s="1229">
        <f>IF(I30="Hazardous",1,0)</f>
        <v>0</v>
      </c>
      <c r="F32" s="985"/>
      <c r="G32" s="1310" t="s">
        <v>9</v>
      </c>
      <c r="H32" s="731" t="str">
        <f>IF(AND(H30&gt;0,O31=1),"Hazardous","")</f>
        <v/>
      </c>
      <c r="I32" s="1311">
        <f>H30*'Rates (2)'!K54%*Q32*O30*O31</f>
        <v>0</v>
      </c>
      <c r="J32" s="1312"/>
      <c r="K32" s="1312"/>
      <c r="L32" s="1312"/>
      <c r="M32" s="1313"/>
      <c r="N32" s="1314"/>
      <c r="Q32" s="973">
        <f>IF(Q33=1,0,E32)</f>
        <v>0</v>
      </c>
      <c r="S32" s="976"/>
      <c r="T32" s="976" t="str">
        <f>IF(AND(E33=1,H30&gt;0,C30="Yes"),"Extra Hazardous",U32)</f>
        <v>-</v>
      </c>
      <c r="U32" s="976" t="str">
        <f>IF(AND(H30&gt;0,E32=1,C30="Yes"),"Hazardous",W32)</f>
        <v>-</v>
      </c>
      <c r="V32" s="976"/>
      <c r="W32" s="976" t="str">
        <f>IF(AND(H30&gt;0,C30="Yes"),"Non Hazardous","-")</f>
        <v>-</v>
      </c>
      <c r="X32" s="976"/>
      <c r="Y32" s="976"/>
      <c r="Z32" s="976"/>
      <c r="AA32" s="976"/>
      <c r="AJ32" s="973">
        <f t="shared" si="1"/>
        <v>200000</v>
      </c>
      <c r="AM32" s="1149"/>
      <c r="AU32" s="973">
        <f t="shared" si="0"/>
        <v>1994</v>
      </c>
      <c r="AX32" s="1302" t="s">
        <v>385</v>
      </c>
    </row>
    <row r="33" spans="2:50" s="973" customFormat="1" ht="18" hidden="1" customHeight="1" thickTop="1" thickBot="1" x14ac:dyDescent="0.35">
      <c r="B33" s="1247"/>
      <c r="D33" s="1308"/>
      <c r="E33" s="1229">
        <f>IF(I30="Extra Hazardous",1,0)</f>
        <v>1</v>
      </c>
      <c r="F33" s="985"/>
      <c r="G33" s="1310" t="s">
        <v>9</v>
      </c>
      <c r="H33" s="731" t="str">
        <f>IF(AND(H30&gt;0,O31=1),"Extra Hazardous","")</f>
        <v/>
      </c>
      <c r="I33" s="1311">
        <f>H30*'Rates (2)'!K55%*E33*O30*O31</f>
        <v>0</v>
      </c>
      <c r="J33" s="1312"/>
      <c r="K33" s="1312"/>
      <c r="L33" s="1312"/>
      <c r="M33" s="1313"/>
      <c r="N33" s="180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09"/>
      <c r="Q33" s="973">
        <f>E33</f>
        <v>1</v>
      </c>
      <c r="S33" s="976"/>
      <c r="T33" s="976"/>
      <c r="U33" s="976"/>
      <c r="V33" s="976"/>
      <c r="W33" s="976"/>
      <c r="X33" s="976"/>
      <c r="Y33" s="976"/>
      <c r="Z33" s="976"/>
      <c r="AA33" s="976"/>
      <c r="AJ33" s="973">
        <f t="shared" si="1"/>
        <v>225000</v>
      </c>
      <c r="AM33" s="1149"/>
      <c r="AU33" s="973">
        <f t="shared" si="0"/>
        <v>1995</v>
      </c>
      <c r="AX33" s="1302" t="s">
        <v>393</v>
      </c>
    </row>
    <row r="34" spans="2:50" s="973" customFormat="1" ht="18" customHeight="1" thickBot="1" x14ac:dyDescent="0.35">
      <c r="B34" s="1247"/>
      <c r="D34" s="1308"/>
      <c r="E34" s="1229">
        <f>IF(K30="With Fire",1,0)</f>
        <v>1</v>
      </c>
      <c r="F34" s="1121" t="str">
        <f>IF(AND(H30&gt;0,O31=1),"Select to include Damage by Fire","")</f>
        <v/>
      </c>
      <c r="G34" s="1310" t="s">
        <v>9</v>
      </c>
      <c r="H34" s="731" t="str">
        <f>IF(AND(H30&gt;0,O31=1),"Fire","")</f>
        <v/>
      </c>
      <c r="I34" s="1311">
        <f>H30*E34*'Rates (2)'!K56%*O30*O31</f>
        <v>0</v>
      </c>
      <c r="J34" s="1312"/>
      <c r="K34" s="1312"/>
      <c r="L34" s="1312"/>
      <c r="M34" s="1313"/>
      <c r="N34" s="1810"/>
      <c r="O34" s="1811"/>
      <c r="S34" s="976"/>
      <c r="T34" s="976"/>
      <c r="U34" s="976"/>
      <c r="V34" s="976"/>
      <c r="W34" s="976"/>
      <c r="X34" s="976"/>
      <c r="Y34" s="976"/>
      <c r="Z34" s="976"/>
      <c r="AA34" s="976"/>
      <c r="AJ34" s="973">
        <f t="shared" si="1"/>
        <v>250000</v>
      </c>
      <c r="AM34" s="1149"/>
      <c r="AU34" s="1315">
        <f t="shared" si="0"/>
        <v>1996</v>
      </c>
    </row>
    <row r="35" spans="2:50" s="973" customFormat="1" ht="16.5" thickTop="1" thickBot="1" x14ac:dyDescent="0.4">
      <c r="B35" s="1247"/>
      <c r="C35" s="1189"/>
      <c r="D35" s="1316"/>
      <c r="E35" s="1317"/>
      <c r="F35" s="1318"/>
      <c r="G35" s="1319"/>
      <c r="H35" s="1320">
        <f>IF(H36=0,H37,H36)</f>
        <v>25</v>
      </c>
      <c r="I35" s="1321"/>
      <c r="J35" s="1321"/>
      <c r="K35" s="1322"/>
      <c r="L35" s="1322" t="s">
        <v>286</v>
      </c>
      <c r="M35" s="1323">
        <f ca="1">M24+M25+M30</f>
        <v>14839.999999999996</v>
      </c>
      <c r="N35" s="1272"/>
      <c r="O35" s="1140"/>
      <c r="P35" s="1140"/>
      <c r="Q35" s="1205"/>
      <c r="AJ35" s="973">
        <f t="shared" si="1"/>
        <v>275000</v>
      </c>
      <c r="AM35" s="1149"/>
      <c r="AU35" s="1315">
        <f t="shared" si="0"/>
        <v>1997</v>
      </c>
    </row>
    <row r="36" spans="2:50" s="973" customFormat="1" ht="15.9" customHeight="1" thickBot="1" x14ac:dyDescent="0.4">
      <c r="B36" s="1247"/>
      <c r="C36" s="1144" t="str">
        <f>IF(H38="Upfront NCB","NCB (No Claim Bonus)","No Claim Bonus (NCB)")</f>
        <v>No Claim Bonus (NCB)</v>
      </c>
      <c r="D36" s="1236" t="s">
        <v>284</v>
      </c>
      <c r="E36" s="1237" t="s">
        <v>9</v>
      </c>
      <c r="F36" s="1105" t="s">
        <v>320</v>
      </c>
      <c r="G36" s="1324">
        <f>H36+H37</f>
        <v>25</v>
      </c>
      <c r="H36" s="1325">
        <f>MC!T34</f>
        <v>0</v>
      </c>
      <c r="I36" s="1812" t="str">
        <f>IF(H36&gt;R36,CONCATENATE("NCB ALLOWED - ",R36),IF(H36&gt;0,"Earned NCB - NOT Upfront NCB",IF(AND(M8='Administration (2)'!C19,H9='Administration (2)'!C20),"NCB Not Allowed","")))</f>
        <v/>
      </c>
      <c r="J36" s="1813"/>
      <c r="K36" s="1813"/>
      <c r="L36" s="1229">
        <v>0</v>
      </c>
      <c r="M36" s="1258">
        <f ca="1">IF(AND($C$2="Yes",L36=1),N36,(-M35/1*MIN(H36%,R36%)*Y2))</f>
        <v>0</v>
      </c>
      <c r="N36" s="1326">
        <v>0</v>
      </c>
      <c r="O36" s="1140">
        <f ca="1">IF(OR(AND(H36&gt;0%,M36&lt;0),M37&lt;0),1,0)</f>
        <v>1</v>
      </c>
      <c r="P36" s="1140"/>
      <c r="Q36" s="1327"/>
      <c r="R36" s="1328">
        <f>IF(T47=0,35,IF(U57=1,75,65))</f>
        <v>35</v>
      </c>
      <c r="S36" s="1328"/>
      <c r="T36" s="1205"/>
      <c r="U36" s="1205"/>
      <c r="V36" s="1205"/>
      <c r="AJ36" s="973">
        <f t="shared" si="1"/>
        <v>300000</v>
      </c>
      <c r="AU36" s="1315">
        <f t="shared" si="0"/>
        <v>1998</v>
      </c>
      <c r="AX36" s="1329"/>
    </row>
    <row r="37" spans="2:50" s="973" customFormat="1" ht="15.9" customHeight="1" thickBot="1" x14ac:dyDescent="0.4">
      <c r="B37" s="1247"/>
      <c r="C37" s="1144"/>
      <c r="D37" s="1236"/>
      <c r="E37" s="1330" t="s">
        <v>9</v>
      </c>
      <c r="F37" s="1105" t="s">
        <v>321</v>
      </c>
      <c r="G37" s="1331">
        <f>IF(H36+H37&gt;35,35-H36,H37)</f>
        <v>25</v>
      </c>
      <c r="H37" s="1332">
        <f>IF(M12="Below 250cc",25,0)</f>
        <v>25</v>
      </c>
      <c r="I37" s="1814" t="str">
        <f>IF(G37&lt;&gt;H37,CONCATENATE(G37,"% NCB Allowed (Max - 35%)"),"")</f>
        <v/>
      </c>
      <c r="J37" s="1815"/>
      <c r="K37" s="1815"/>
      <c r="L37" s="1229">
        <v>0</v>
      </c>
      <c r="M37" s="1333">
        <f ca="1">IF(AND($C$2="Yes",L37=1),Q37,(-M35/1*G37%))</f>
        <v>-3709.9999999999991</v>
      </c>
      <c r="N37" s="1326">
        <v>-121</v>
      </c>
      <c r="O37" s="1140"/>
      <c r="P37" s="1140"/>
      <c r="Q37" s="1327"/>
      <c r="R37" s="1328">
        <f>IF(H36+H37&gt;R36,0,1)</f>
        <v>1</v>
      </c>
      <c r="S37" s="1328"/>
      <c r="T37" s="1205"/>
      <c r="U37" s="1205"/>
      <c r="V37" s="1205"/>
      <c r="AU37" s="1315">
        <f t="shared" si="0"/>
        <v>1999</v>
      </c>
      <c r="AX37" s="1329"/>
    </row>
    <row r="38" spans="2:50" s="973" customFormat="1" ht="15" customHeight="1" thickBot="1" x14ac:dyDescent="0.35">
      <c r="B38" s="1247"/>
      <c r="C38" s="1189"/>
      <c r="D38" s="1334"/>
      <c r="E38" s="1335"/>
      <c r="F38" s="1318"/>
      <c r="G38" s="1336"/>
      <c r="H38" s="1337" t="s">
        <v>320</v>
      </c>
      <c r="I38" s="1338" t="s">
        <v>398</v>
      </c>
      <c r="J38" s="1339"/>
      <c r="K38" s="1340"/>
      <c r="L38" s="1322" t="s">
        <v>287</v>
      </c>
      <c r="M38" s="1323">
        <f ca="1">(M35+M36+M37)*C69</f>
        <v>11129.999999999996</v>
      </c>
      <c r="N38" s="1272"/>
      <c r="O38" s="1341">
        <f ca="1">M35+M36</f>
        <v>14839.999999999996</v>
      </c>
      <c r="P38" s="973">
        <f>IF(O44=1,'Rates (2)'!K4,'Rates (2)'!K3)</f>
        <v>0.2</v>
      </c>
      <c r="Q38" s="973">
        <f>IF(B40="Yes",1,0)</f>
        <v>1</v>
      </c>
      <c r="R38" s="1342"/>
      <c r="S38" s="1342"/>
      <c r="T38" s="1342"/>
      <c r="U38" s="1342"/>
      <c r="V38" s="1342"/>
      <c r="AA38" s="976"/>
      <c r="AB38" s="976"/>
      <c r="AC38" s="976"/>
      <c r="AD38" s="976"/>
      <c r="AE38" s="976"/>
      <c r="AF38" s="976"/>
      <c r="AG38" s="976"/>
      <c r="AH38" s="976"/>
      <c r="AJ38" s="973">
        <f>AJ36+25000</f>
        <v>325000</v>
      </c>
      <c r="AU38" s="1315">
        <f t="shared" si="0"/>
        <v>2000</v>
      </c>
      <c r="AX38" s="1329"/>
    </row>
    <row r="39" spans="2:50" s="973" customFormat="1" ht="15" customHeight="1" thickBot="1" x14ac:dyDescent="0.45">
      <c r="B39" s="1240" t="str">
        <f>IF(C39=1,"Yes","No")</f>
        <v>Yes</v>
      </c>
      <c r="C39" s="1343">
        <v>1</v>
      </c>
      <c r="D39" s="1236" t="s">
        <v>284</v>
      </c>
      <c r="E39" s="1237" t="s">
        <v>9</v>
      </c>
      <c r="F39" s="1105" t="s">
        <v>288</v>
      </c>
      <c r="G39" s="1105"/>
      <c r="H39" s="1344"/>
      <c r="I39" s="1228"/>
      <c r="J39" s="1228"/>
      <c r="K39" s="984"/>
      <c r="L39" s="1229">
        <v>0</v>
      </c>
      <c r="M39" s="1244">
        <f ca="1">IF(AND($C$2="Yes",L39=1),N39,IF(B39="Yes",M19*'Rates (2)'!K11%,0))</f>
        <v>3500</v>
      </c>
      <c r="N39" s="1231">
        <v>0</v>
      </c>
      <c r="O39" s="973">
        <f>IF(B40="Yes",1,0)</f>
        <v>1</v>
      </c>
      <c r="P39" s="973">
        <f>IF(O44=1,'Rates (2)'!K6,'Rates (2)'!K5)</f>
        <v>0.05</v>
      </c>
      <c r="Q39" s="973">
        <f>IF(B41="Yes",1,0)</f>
        <v>1</v>
      </c>
      <c r="R39" s="1342"/>
      <c r="S39" s="1342"/>
      <c r="T39" s="1342"/>
      <c r="U39" s="1342"/>
      <c r="V39" s="1342"/>
      <c r="AA39" s="976"/>
      <c r="AB39" s="976"/>
      <c r="AC39" s="976"/>
      <c r="AD39" s="976"/>
      <c r="AE39" s="976"/>
      <c r="AF39" s="976"/>
      <c r="AG39" s="976"/>
      <c r="AH39" s="976"/>
      <c r="AJ39" s="973">
        <f t="shared" si="1"/>
        <v>350000</v>
      </c>
      <c r="AU39" s="1315">
        <f t="shared" si="0"/>
        <v>2001</v>
      </c>
      <c r="AX39" s="1329"/>
    </row>
    <row r="40" spans="2:50" s="973" customFormat="1" ht="15.9" customHeight="1" thickBot="1" x14ac:dyDescent="0.35">
      <c r="B40" s="1240" t="str">
        <f>IF(C40=1,"Yes","No")</f>
        <v>Yes</v>
      </c>
      <c r="C40" s="1343">
        <v>1</v>
      </c>
      <c r="D40" s="1236" t="s">
        <v>284</v>
      </c>
      <c r="E40" s="1237" t="s">
        <v>9</v>
      </c>
      <c r="F40" s="1105" t="s">
        <v>14</v>
      </c>
      <c r="G40" s="1105"/>
      <c r="H40" s="1228"/>
      <c r="I40" s="1228"/>
      <c r="J40" s="1228"/>
      <c r="K40" s="984"/>
      <c r="L40" s="1229">
        <v>0</v>
      </c>
      <c r="M40" s="1244">
        <f>IF(AND($C$2="Yes",L40=1),N40,(Q38*P38%*H15*U2*Z2*N4))</f>
        <v>1400</v>
      </c>
      <c r="N40" s="1231">
        <v>0</v>
      </c>
      <c r="O40" s="1816"/>
      <c r="P40" s="1816"/>
      <c r="Q40" s="1816"/>
      <c r="R40" s="1816"/>
      <c r="S40" s="1816"/>
      <c r="T40" s="1816"/>
      <c r="U40" s="1816"/>
      <c r="V40" s="1816"/>
      <c r="AA40" s="976"/>
      <c r="AB40" s="976"/>
      <c r="AC40" s="976"/>
      <c r="AD40" s="976"/>
      <c r="AE40" s="976"/>
      <c r="AF40" s="976"/>
      <c r="AG40" s="976"/>
      <c r="AH40" s="976"/>
      <c r="AJ40" s="973">
        <f t="shared" si="1"/>
        <v>375000</v>
      </c>
      <c r="AU40" s="1315">
        <f t="shared" si="0"/>
        <v>2002</v>
      </c>
      <c r="AX40" s="1329"/>
    </row>
    <row r="41" spans="2:50" s="973" customFormat="1" ht="15.9" customHeight="1" thickBot="1" x14ac:dyDescent="0.35">
      <c r="B41" s="1240" t="str">
        <f>IF(C42=1,"Yes","No")</f>
        <v>Yes</v>
      </c>
      <c r="C41" s="1189"/>
      <c r="D41" s="1345">
        <f>IF(OR($R$25&gt;1,AA25=1),1,0)</f>
        <v>0</v>
      </c>
      <c r="E41" s="1229">
        <v>1</v>
      </c>
      <c r="F41" s="1105" t="str">
        <f>IF(AND($C$40=1,D41=1),CONCATENATE("     PAB by SRCC (Rs.",Y42,")"),"")</f>
        <v/>
      </c>
      <c r="G41" s="1229">
        <v>1</v>
      </c>
      <c r="H41" s="1346" t="str">
        <f>IF(AND($C$40=1,M30&gt;0),"   Goods Cover by SRCC","")</f>
        <v/>
      </c>
      <c r="I41" s="1347"/>
      <c r="J41" s="1229">
        <v>1</v>
      </c>
      <c r="K41" s="1348" t="str">
        <f>IF(AND($C$40=1,OR(H50&gt;0,H51&gt;0)),"WCT by SRCC","")</f>
        <v/>
      </c>
      <c r="L41" s="1229">
        <v>1</v>
      </c>
      <c r="M41" s="1244">
        <v>0</v>
      </c>
      <c r="N41" s="1231">
        <v>0</v>
      </c>
      <c r="O41" s="1816"/>
      <c r="P41" s="1816"/>
      <c r="Q41" s="1816"/>
      <c r="R41" s="1816"/>
      <c r="S41" s="1816"/>
      <c r="T41" s="1816"/>
      <c r="U41" s="1816"/>
      <c r="V41" s="1816"/>
      <c r="X41" s="1342" t="s">
        <v>19</v>
      </c>
      <c r="Y41" s="1342" t="s">
        <v>17</v>
      </c>
      <c r="Z41" s="1342" t="s">
        <v>18</v>
      </c>
      <c r="AA41" s="1349"/>
      <c r="AB41" s="1350" t="s">
        <v>147</v>
      </c>
      <c r="AC41" s="1351" t="s">
        <v>150</v>
      </c>
      <c r="AD41" s="1352" t="s">
        <v>151</v>
      </c>
      <c r="AE41" s="1351" t="s">
        <v>150</v>
      </c>
      <c r="AF41" s="976"/>
      <c r="AG41" s="976" t="s">
        <v>153</v>
      </c>
      <c r="AH41" s="976" t="s">
        <v>152</v>
      </c>
      <c r="AJ41" s="973">
        <f t="shared" si="1"/>
        <v>400000</v>
      </c>
      <c r="AU41" s="1315">
        <f t="shared" si="0"/>
        <v>2003</v>
      </c>
    </row>
    <row r="42" spans="2:50" s="973" customFormat="1" ht="18.75" customHeight="1" thickBot="1" x14ac:dyDescent="0.35">
      <c r="B42" s="1353"/>
      <c r="C42" s="1354">
        <f>IF(MC!T20="No",0,1)</f>
        <v>1</v>
      </c>
      <c r="D42" s="1236" t="s">
        <v>284</v>
      </c>
      <c r="E42" s="1237" t="s">
        <v>9</v>
      </c>
      <c r="F42" s="1105" t="s">
        <v>379</v>
      </c>
      <c r="G42" s="1105"/>
      <c r="H42" s="1355" t="str">
        <f>IF(X42&gt;0,CONCATENATE("    (Rs.",X42,")"),"")</f>
        <v/>
      </c>
      <c r="I42" s="1228"/>
      <c r="J42" s="1228"/>
      <c r="K42" s="1355" t="str">
        <f>IF(Z42&gt;0,CONCATENATE("  (Rs.",FIXED(Z42),")"),"")</f>
        <v/>
      </c>
      <c r="L42" s="1229">
        <v>0</v>
      </c>
      <c r="M42" s="1244">
        <f>IF(AND($C$2="Yes",L42=1),N41,(H15*P39%*Q39*U2*Q38*Z2*N4))</f>
        <v>350</v>
      </c>
      <c r="N42" s="1356">
        <v>0</v>
      </c>
      <c r="O42" s="1161"/>
      <c r="Q42" s="1357" t="str">
        <f>IF(G41=1,"Yes","No")</f>
        <v>Yes</v>
      </c>
      <c r="R42" s="1184"/>
      <c r="T42" s="1161" t="str">
        <f>IF(E41=1,"Yes","No")</f>
        <v>Yes</v>
      </c>
      <c r="U42" s="1184"/>
      <c r="W42" s="1161" t="str">
        <f>IF(J41=1,"Yes","No")</f>
        <v>Yes</v>
      </c>
      <c r="X42" s="1358">
        <f>IF(AND(B40="Yes",Q42="Yes",C30="Yes"),H30*'Rates (2)'!Q8%,0)*Z49*O31</f>
        <v>0</v>
      </c>
      <c r="Y42" s="1358">
        <f>IF(AND(B40="Yes",T42="Yes"),AE42,0)</f>
        <v>0</v>
      </c>
      <c r="Z42" s="1358">
        <f>IF(AND(B40="Yes",W42="Yes"),(M50+M51)*'Rates (2)'!Q9%,0)</f>
        <v>0</v>
      </c>
      <c r="AA42" s="1359"/>
      <c r="AB42" s="1360">
        <f>IF(Y48="Commercial Vehicle Policy",1,0)</f>
        <v>0</v>
      </c>
      <c r="AC42" s="1360">
        <f>IF(OR(Y48="Private car policy",Y48="Motor Cycle Policy"),1,0)</f>
        <v>1</v>
      </c>
      <c r="AD42" s="976">
        <f>IF(AND(M8='Administration (2)'!C10,H9='Administration (2)'!C23),1,0)</f>
        <v>0</v>
      </c>
      <c r="AE42" s="976">
        <f>IF(AC42=1,I26*L25*'Rates (2)'!Q6%,AF42)</f>
        <v>0</v>
      </c>
      <c r="AF42" s="976">
        <f>AG42+AH42</f>
        <v>0</v>
      </c>
      <c r="AG42" s="976">
        <f>Z28*I26*'Rates (2)'!Q6%</f>
        <v>0</v>
      </c>
      <c r="AH42" s="976">
        <f>IF(AD42=1,(L25-Z28)*Z25*'Rates (2)'!Q7%,(L25-Z28)*Z25*'Rates (2)'!Q6%)</f>
        <v>0</v>
      </c>
      <c r="AJ42" s="973">
        <f>AJ41+25000</f>
        <v>425000</v>
      </c>
      <c r="AU42" s="1315">
        <f t="shared" si="0"/>
        <v>2004</v>
      </c>
      <c r="AX42" s="1329"/>
    </row>
    <row r="43" spans="2:50" s="973" customFormat="1" ht="15.9" customHeight="1" x14ac:dyDescent="0.3">
      <c r="B43" s="1353"/>
      <c r="C43" s="1189"/>
      <c r="D43" s="1361"/>
      <c r="E43" s="1229">
        <v>0</v>
      </c>
      <c r="F43" s="1105" t="str">
        <f>IF(AND($C$40=1,C42=1,D41=1),CONCATENATE("     PAB by TC (Rs.",Y43,")"),"")</f>
        <v/>
      </c>
      <c r="G43" s="1229">
        <v>1</v>
      </c>
      <c r="H43" s="1346" t="str">
        <f>IF(AND($C$40=1,C42=1,M30&gt;0),"   Goods Cover by TC","")</f>
        <v/>
      </c>
      <c r="I43" s="1347"/>
      <c r="J43" s="1229">
        <v>1</v>
      </c>
      <c r="K43" s="1348" t="str">
        <f>IF(AND($C$40=1,C42=1,OR(H50&gt;0,H51&gt;0)),"WCT by TC","")</f>
        <v/>
      </c>
      <c r="L43" s="1229">
        <v>0</v>
      </c>
      <c r="M43" s="1244">
        <f>IF(AND($C$2="Yes",L43=1),N43,(SUM(X43:Z43)*U2*R15*Y2))</f>
        <v>0</v>
      </c>
      <c r="N43" s="1231">
        <v>0</v>
      </c>
      <c r="O43" s="1161"/>
      <c r="Q43" s="1357" t="str">
        <f>IF(G43=1,"Yes","No")</f>
        <v>Yes</v>
      </c>
      <c r="R43" s="1362"/>
      <c r="T43" s="1161" t="str">
        <f>IF(E43=1,"Yes","No")</f>
        <v>No</v>
      </c>
      <c r="U43" s="1362"/>
      <c r="W43" s="1161" t="str">
        <f>IF(J43=1,"Yes","No")</f>
        <v>Yes</v>
      </c>
      <c r="X43" s="1358">
        <f>IF(AND(B40="Yes",B41="Yes",Q42="Yes",Q43="Yes",C30="Yes"),H30*'Rates (2)'!R8%,0)*Z49*O31</f>
        <v>0</v>
      </c>
      <c r="Y43" s="1358">
        <f>IF(AND(B40="Yes",B41="Yes",T42="Yes",T43="Yes"),AE43,0)</f>
        <v>0</v>
      </c>
      <c r="Z43" s="1358">
        <f>IF(AND(B40="Yes",B41="Yes",W42="Yes",W43="Yes"),(M50+M51)*'Rates (2)'!R9%,0)</f>
        <v>0</v>
      </c>
      <c r="AA43" s="1359"/>
      <c r="AB43" s="1360"/>
      <c r="AC43" s="1360"/>
      <c r="AD43" s="976"/>
      <c r="AE43" s="976">
        <f>IF(AC42=1,I26*L25*'Rates (2)'!R6%,AF43)</f>
        <v>0</v>
      </c>
      <c r="AF43" s="976">
        <f>AG43+AH43</f>
        <v>0</v>
      </c>
      <c r="AG43" s="976">
        <f>Z28*I26*'Rates (2)'!R4%</f>
        <v>0</v>
      </c>
      <c r="AH43" s="976">
        <f>IF(AD42=1,'Rates (2)'!R7,(L25-Z28)*Z25*'Rates (2)'!R5%)</f>
        <v>0</v>
      </c>
      <c r="AJ43" s="973">
        <f t="shared" si="1"/>
        <v>450000</v>
      </c>
      <c r="AU43" s="1315">
        <f t="shared" ref="AU43:AU84" ca="1" si="2">IF(AU42&gt;=$AW$46,"",AU42+1)</f>
        <v>2005</v>
      </c>
      <c r="AX43" s="1329"/>
    </row>
    <row r="44" spans="2:50" s="973" customFormat="1" ht="15.9" customHeight="1" x14ac:dyDescent="0.3">
      <c r="B44" s="1353"/>
      <c r="C44" s="1189"/>
      <c r="D44" s="1236" t="s">
        <v>284</v>
      </c>
      <c r="E44" s="1237" t="s">
        <v>9</v>
      </c>
      <c r="F44" s="1105" t="s">
        <v>125</v>
      </c>
      <c r="G44" s="1105"/>
      <c r="H44" s="1355" t="s">
        <v>320</v>
      </c>
      <c r="I44" s="1228"/>
      <c r="J44" s="1228"/>
      <c r="K44" s="1355" t="str">
        <f>IF(Z43&gt;0,CONCATENATE("  (Rs.",FIXED(Z43),")"),"")</f>
        <v/>
      </c>
      <c r="L44" s="1229">
        <v>0</v>
      </c>
      <c r="M44" s="1244">
        <f ca="1">IF(AND($C$2="Yes",L44=1),M19*N44%,(M19*'Rates (2)'!K14%*O44*R44))</f>
        <v>0</v>
      </c>
      <c r="N44" s="1363">
        <v>0</v>
      </c>
      <c r="O44" s="1161">
        <f>IF(OR(H9='Administration (2)'!C21,H9='Administration (2)'!C22),1,Q44)</f>
        <v>0</v>
      </c>
      <c r="P44" s="1161"/>
      <c r="Q44" s="1161">
        <f>IF(AND(M8='Administration (2)'!C10,H9='Administration (2)'!C23),1,0)</f>
        <v>0</v>
      </c>
      <c r="R44" s="1205">
        <f>IF('Rates (2)'!M14="Free",0,1)</f>
        <v>1</v>
      </c>
      <c r="S44" s="1205"/>
      <c r="T44" s="1205"/>
      <c r="U44" s="1205"/>
      <c r="V44" s="1205"/>
      <c r="X44" s="1211"/>
      <c r="Y44" s="1211"/>
      <c r="Z44" s="1211"/>
      <c r="AA44" s="976"/>
      <c r="AB44" s="976"/>
      <c r="AC44" s="976"/>
      <c r="AD44" s="976"/>
      <c r="AE44" s="976"/>
      <c r="AF44" s="976"/>
      <c r="AG44" s="976"/>
      <c r="AH44" s="976"/>
      <c r="AJ44" s="973">
        <f>AJ43+25000</f>
        <v>475000</v>
      </c>
      <c r="AU44" s="1315">
        <f t="shared" ca="1" si="2"/>
        <v>2006</v>
      </c>
      <c r="AX44" s="1329"/>
    </row>
    <row r="45" spans="2:50" s="973" customFormat="1" ht="15" customHeight="1" thickBot="1" x14ac:dyDescent="0.35">
      <c r="B45" s="1353" t="str">
        <f>IF(C47=1,"Yes","No")</f>
        <v>No</v>
      </c>
      <c r="C45" s="1364">
        <v>0</v>
      </c>
      <c r="D45" s="1236" t="s">
        <v>284</v>
      </c>
      <c r="E45" s="1237" t="s">
        <v>9</v>
      </c>
      <c r="F45" s="1105" t="s">
        <v>450</v>
      </c>
      <c r="G45" s="1105"/>
      <c r="H45" s="1228"/>
      <c r="I45" s="1228"/>
      <c r="J45" s="1228"/>
      <c r="K45" s="984"/>
      <c r="L45" s="1229">
        <v>0</v>
      </c>
      <c r="M45" s="1244"/>
      <c r="N45" s="1365">
        <v>0</v>
      </c>
      <c r="O45" s="1280">
        <f>C45</f>
        <v>0</v>
      </c>
      <c r="P45" s="1280"/>
      <c r="Q45" s="1280"/>
      <c r="R45" s="1233">
        <f>IF('Rates (2)'!M15="Free",0,1)</f>
        <v>1</v>
      </c>
      <c r="S45" s="1233"/>
      <c r="T45" s="1233"/>
      <c r="U45" s="1233"/>
      <c r="V45" s="1205"/>
      <c r="AA45" s="976"/>
      <c r="AB45" s="976"/>
      <c r="AC45" s="976"/>
      <c r="AD45" s="976"/>
      <c r="AE45" s="976"/>
      <c r="AF45" s="976"/>
      <c r="AG45" s="976"/>
      <c r="AH45" s="976"/>
      <c r="AJ45" s="973">
        <f>IF(AJ44=500000,"",AJ44+25000)</f>
        <v>500000</v>
      </c>
      <c r="AU45" s="1315">
        <f t="shared" ca="1" si="2"/>
        <v>2007</v>
      </c>
      <c r="AX45" s="1329"/>
    </row>
    <row r="46" spans="2:50" s="973" customFormat="1" ht="15.75" customHeight="1" thickBot="1" x14ac:dyDescent="0.35">
      <c r="B46" s="1240" t="str">
        <f>IF(C46=1,"Yes","No")</f>
        <v>No</v>
      </c>
      <c r="C46" s="1366">
        <v>0</v>
      </c>
      <c r="D46" s="1236" t="s">
        <v>284</v>
      </c>
      <c r="E46" s="1237" t="s">
        <v>9</v>
      </c>
      <c r="F46" s="1105" t="s">
        <v>279</v>
      </c>
      <c r="G46" s="1105"/>
      <c r="H46" s="1813" t="str">
        <f>IF(U57=1,"Free Cover",IF(AND(B46="Yes",Q48=1,Q46=0,U46=0),"Only for Private Dual Purpose Vehicles",""))</f>
        <v/>
      </c>
      <c r="I46" s="1813"/>
      <c r="J46" s="1813"/>
      <c r="K46" s="1813"/>
      <c r="L46" s="1229">
        <v>0</v>
      </c>
      <c r="M46" s="1244">
        <f ca="1">IF(AND($C$2="Yes",L46=1),N46,(M19*'Rates (2)'!K19%*T46))</f>
        <v>0</v>
      </c>
      <c r="N46" s="1367">
        <v>0</v>
      </c>
      <c r="O46" s="976">
        <f>IF(B46="Yes",1,0)</f>
        <v>0</v>
      </c>
      <c r="P46" s="976"/>
      <c r="Q46" s="976">
        <f>IF(AND(M8='Administration (2)'!C9,H9='Administration (2)'!C20),1,U46)</f>
        <v>0</v>
      </c>
      <c r="R46" s="1233">
        <f>O46+Q46</f>
        <v>0</v>
      </c>
      <c r="S46" s="1233"/>
      <c r="T46" s="1233">
        <f>IF(R46=2,1,0)</f>
        <v>0</v>
      </c>
      <c r="U46" s="1233">
        <f>IF(AND('Rates (2)'!O19="Yes",Q48=1),1,0)</f>
        <v>0</v>
      </c>
      <c r="V46" s="1205"/>
      <c r="AA46" s="976"/>
      <c r="AB46" s="976"/>
      <c r="AC46" s="976"/>
      <c r="AD46" s="976"/>
      <c r="AE46" s="976"/>
      <c r="AF46" s="976"/>
      <c r="AG46" s="976"/>
      <c r="AH46" s="976"/>
      <c r="AU46" s="1315">
        <f t="shared" ca="1" si="2"/>
        <v>2008</v>
      </c>
      <c r="AW46" s="973">
        <f ca="1">YEAR(F69)</f>
        <v>2024</v>
      </c>
      <c r="AX46" s="1329"/>
    </row>
    <row r="47" spans="2:50" s="973" customFormat="1" ht="15.75" customHeight="1" thickBot="1" x14ac:dyDescent="0.35">
      <c r="B47" s="1353"/>
      <c r="C47" s="1189"/>
      <c r="D47" s="1236" t="s">
        <v>284</v>
      </c>
      <c r="E47" s="1237" t="s">
        <v>9</v>
      </c>
      <c r="F47" s="1105" t="s">
        <v>448</v>
      </c>
      <c r="G47" s="1105"/>
      <c r="H47" s="1368">
        <v>300000</v>
      </c>
      <c r="I47" s="1228" t="s">
        <v>110</v>
      </c>
      <c r="J47" s="1228"/>
      <c r="K47" s="1369" t="str">
        <f>IF(AND(H47&gt;0,T47=0),"Not Applicable",0)</f>
        <v>Not Applicable</v>
      </c>
      <c r="L47" s="1229">
        <v>1</v>
      </c>
      <c r="M47" s="1301">
        <v>0</v>
      </c>
      <c r="N47" s="1367">
        <v>0</v>
      </c>
      <c r="O47" s="1370">
        <f>IF(H47&gt;0,1,0)</f>
        <v>1</v>
      </c>
      <c r="P47" s="1370"/>
      <c r="Q47" s="1280"/>
      <c r="R47" s="1233"/>
      <c r="S47" s="1233"/>
      <c r="T47" s="976">
        <f>IF(OR(M8='Administration (2)'!C13,M8='Administration (2)'!C14,),0,1)</f>
        <v>0</v>
      </c>
      <c r="U47" s="1233"/>
      <c r="V47" s="1205"/>
      <c r="AA47" s="976"/>
      <c r="AB47" s="976"/>
      <c r="AC47" s="976"/>
      <c r="AD47" s="976"/>
      <c r="AE47" s="976"/>
      <c r="AF47" s="976"/>
      <c r="AG47" s="976"/>
      <c r="AH47" s="976"/>
      <c r="AU47" s="1315">
        <f t="shared" ca="1" si="2"/>
        <v>2009</v>
      </c>
      <c r="AX47" s="1329"/>
    </row>
    <row r="48" spans="2:50" s="973" customFormat="1" ht="15.9" customHeight="1" thickBot="1" x14ac:dyDescent="0.35">
      <c r="B48" s="1353"/>
      <c r="C48" s="1189"/>
      <c r="D48" s="1236" t="s">
        <v>284</v>
      </c>
      <c r="E48" s="1237" t="s">
        <v>9</v>
      </c>
      <c r="F48" s="1105" t="s">
        <v>6</v>
      </c>
      <c r="G48" s="1105"/>
      <c r="H48" s="1371">
        <f>IF(MC!R33&lt;&gt;"",MC!R33,100000)</f>
        <v>100000</v>
      </c>
      <c r="I48" s="1228" t="s">
        <v>109</v>
      </c>
      <c r="J48" s="1228"/>
      <c r="K48" s="1372">
        <f>IF(AND(Q48=0,H48&gt;0),"Free Unlimited Cover",0)</f>
        <v>0</v>
      </c>
      <c r="L48" s="1229">
        <v>0</v>
      </c>
      <c r="M48" s="1301">
        <f>IF(AND($C$2="Yes",L48=1),N48,IF(H48&lt;100000,0,IF(H48=100000,'Rates (2)'!K17*R48,IF(H48&lt;=300000,'Rates (2)'!K18*R48,IF(H48&lt;=500000,'Rates (2)'!M17*R48,IF(H48&lt;=1000000,'Rates (2)'!M18*R48,IF(H48&lt;=2000000,1200*R48,H48*0.1%)))))))*U2*Q48*R15*Z2*Q65*N3</f>
        <v>100</v>
      </c>
      <c r="N48" s="1367">
        <v>0</v>
      </c>
      <c r="O48" s="1370">
        <f>IF(H48&gt;1,1,0)</f>
        <v>1</v>
      </c>
      <c r="P48" s="1370"/>
      <c r="Q48" s="1373">
        <f>IF(O57+Q57=1,0,1)</f>
        <v>1</v>
      </c>
      <c r="R48" s="1233">
        <f>IF(AND(H48&gt;=100000,Q48=1),1,0)</f>
        <v>1</v>
      </c>
      <c r="S48" s="1233"/>
      <c r="T48" s="976">
        <f>IF(OR(Q48=0,H48&gt;0),1,0)</f>
        <v>1</v>
      </c>
      <c r="U48" s="1233"/>
      <c r="V48" s="1205"/>
      <c r="X48" s="973">
        <f>IF(O57+Q57=1,0,1)</f>
        <v>1</v>
      </c>
      <c r="Y48" s="973" t="str">
        <f>IF(X48=0,"Private Car Policy",Z48)</f>
        <v>Motor Cycle Policy</v>
      </c>
      <c r="Z48" s="973" t="str">
        <f>IF(T47=0,"Motor Cycle Policy",AA48)</f>
        <v>Motor Cycle Policy</v>
      </c>
      <c r="AA48" s="976" t="str">
        <f>IF(M8='Administration (2)'!C19,"Trade Plate Policy","Commercial Vehicle Policy")</f>
        <v>Commercial Vehicle Policy</v>
      </c>
      <c r="AB48" s="976"/>
      <c r="AC48" s="976"/>
      <c r="AD48" s="976"/>
      <c r="AE48" s="976"/>
      <c r="AF48" s="976"/>
      <c r="AG48" s="976"/>
      <c r="AH48" s="976"/>
      <c r="AU48" s="1315">
        <f t="shared" ca="1" si="2"/>
        <v>2010</v>
      </c>
      <c r="AX48" s="1329"/>
    </row>
    <row r="49" spans="2:50" s="973" customFormat="1" ht="15" customHeight="1" thickBot="1" x14ac:dyDescent="0.35">
      <c r="B49" s="1353"/>
      <c r="C49" s="1189"/>
      <c r="D49" s="1236" t="s">
        <v>284</v>
      </c>
      <c r="E49" s="1237" t="s">
        <v>9</v>
      </c>
      <c r="F49" s="1105" t="s">
        <v>12</v>
      </c>
      <c r="G49" s="1105"/>
      <c r="H49" s="1371">
        <f>MC!R35</f>
        <v>0</v>
      </c>
      <c r="I49" s="1800" t="str">
        <f>IF(Q49&gt;0,CONCATENATE("Free Cover of Rs.",Q49,"/-"),"")</f>
        <v/>
      </c>
      <c r="J49" s="1801"/>
      <c r="K49" s="1801"/>
      <c r="L49" s="1229">
        <v>0</v>
      </c>
      <c r="M49" s="1301">
        <f>IF(AND($C$2="Yes",L49=1),N49,((H49*'Rates (2)'!K32%-R49)*U2*R15*Y2*Z2))*N3</f>
        <v>0</v>
      </c>
      <c r="N49" s="1367">
        <v>0</v>
      </c>
      <c r="O49" s="1374">
        <f>IF(H49&gt;='Rates (2)'!B36,1,0)</f>
        <v>0</v>
      </c>
      <c r="P49" s="1374"/>
      <c r="Q49" s="1233">
        <f>IF(T47=0,'Rates (2)'!C38,'Rates (2)'!B36)</f>
        <v>0</v>
      </c>
      <c r="R49" s="1233">
        <f>IF(H49&lt;=Q49,H49*'Rates (2)'!K32%,Q49*'Rates (2)'!K32%)</f>
        <v>0</v>
      </c>
      <c r="S49" s="1233"/>
      <c r="T49" s="1233"/>
      <c r="U49" s="976"/>
      <c r="Y49" s="973">
        <f>IF(Y48="Private Car Policy",0,1)</f>
        <v>1</v>
      </c>
      <c r="Z49" s="973">
        <f>IF(Y48="Motor Cycle Policy",0,1)</f>
        <v>0</v>
      </c>
      <c r="AU49" s="1315">
        <f t="shared" ca="1" si="2"/>
        <v>2011</v>
      </c>
      <c r="AX49" s="1329"/>
    </row>
    <row r="50" spans="2:50" s="973" customFormat="1" ht="15.75" customHeight="1" thickBot="1" x14ac:dyDescent="0.35">
      <c r="B50" s="1353"/>
      <c r="C50" s="1189"/>
      <c r="D50" s="1236" t="s">
        <v>284</v>
      </c>
      <c r="E50" s="1237" t="s">
        <v>9</v>
      </c>
      <c r="F50" s="1375" t="s">
        <v>112</v>
      </c>
      <c r="G50" s="1375"/>
      <c r="H50" s="1376">
        <v>0</v>
      </c>
      <c r="I50" s="1228" t="s">
        <v>21</v>
      </c>
      <c r="J50" s="1228"/>
      <c r="K50" s="1377"/>
      <c r="L50" s="1229">
        <v>0</v>
      </c>
      <c r="M50" s="1301">
        <f>IF(AND($C$2="Yes",L50=1),N50,(H50*R50*U2*R15*Y2))*N3</f>
        <v>0</v>
      </c>
      <c r="N50" s="1231">
        <v>0</v>
      </c>
      <c r="O50" s="1140">
        <f>IF(H50&gt;0,1,0)</f>
        <v>0</v>
      </c>
      <c r="P50" s="1140"/>
      <c r="Q50" s="973">
        <f>IF((O50+O51)&gt;0,1,0)</f>
        <v>0</v>
      </c>
      <c r="R50" s="1205">
        <f>IF(O57+Q57=1,'Rates (2)'!K23,'Rates (2)'!K24)</f>
        <v>600</v>
      </c>
      <c r="S50" s="1205"/>
      <c r="T50" s="1205"/>
      <c r="AU50" s="1315">
        <f t="shared" ca="1" si="2"/>
        <v>2012</v>
      </c>
      <c r="AX50" s="1329"/>
    </row>
    <row r="51" spans="2:50" s="973" customFormat="1" ht="1.5" customHeight="1" thickBot="1" x14ac:dyDescent="0.35">
      <c r="B51" s="1353"/>
      <c r="C51" s="1189"/>
      <c r="D51" s="1236" t="s">
        <v>284</v>
      </c>
      <c r="E51" s="1237" t="s">
        <v>9</v>
      </c>
      <c r="F51" s="1105" t="s">
        <v>20</v>
      </c>
      <c r="G51" s="1105"/>
      <c r="H51" s="1378">
        <v>0</v>
      </c>
      <c r="I51" s="1228" t="s">
        <v>22</v>
      </c>
      <c r="J51" s="1228"/>
      <c r="K51" s="1379"/>
      <c r="L51" s="1229">
        <v>0</v>
      </c>
      <c r="M51" s="1301">
        <f>IF(AND($C$2="Yes",L51=1),N51,(H51*'Rates (2)'!K25*U2*R15*Y2*Z49*Y49))*N3</f>
        <v>0</v>
      </c>
      <c r="N51" s="1231">
        <v>0</v>
      </c>
      <c r="O51" s="1140">
        <f>IF(H51&gt;0,1,0)</f>
        <v>0</v>
      </c>
      <c r="P51" s="1140"/>
      <c r="Q51" s="1161">
        <f>IF(OR(H50&gt;0,H51&gt;0),1,0)</f>
        <v>0</v>
      </c>
      <c r="R51" s="1205"/>
      <c r="S51" s="1205"/>
      <c r="T51" s="1205"/>
      <c r="U51" s="1205"/>
      <c r="V51" s="1205"/>
      <c r="AU51" s="1315">
        <f t="shared" ca="1" si="2"/>
        <v>2013</v>
      </c>
      <c r="AX51" s="1329"/>
    </row>
    <row r="52" spans="2:50" s="973" customFormat="1" ht="20.25" customHeight="1" thickBot="1" x14ac:dyDescent="0.35">
      <c r="B52" s="1380" t="str">
        <f>'Rates (2)'!M21</f>
        <v>Charge</v>
      </c>
      <c r="C52" s="1189"/>
      <c r="D52" s="1236" t="s">
        <v>284</v>
      </c>
      <c r="E52" s="1237" t="s">
        <v>9</v>
      </c>
      <c r="F52" s="1105" t="s">
        <v>449</v>
      </c>
      <c r="G52" s="1381">
        <v>1</v>
      </c>
      <c r="H52" s="1382">
        <v>7500</v>
      </c>
      <c r="I52" s="1802" t="str">
        <f>IF(AND(G52=0,K50&gt;0),"Enter Number of Air Bags",IF(AND(K50&gt;0,T47=0),"Not Applicable",IF(AND(Q52=0,T47=1,K50&gt;0),"Free Cover",IF(R52=0,"Free Cover - Front Seat Bags","Value of 2 Front Dashboard Airbgs"))))</f>
        <v>Value of 2 Front Dashboard Airbgs</v>
      </c>
      <c r="J52" s="1802"/>
      <c r="K52" s="1802"/>
      <c r="L52" s="1229">
        <v>1</v>
      </c>
      <c r="M52" s="1301">
        <v>0</v>
      </c>
      <c r="N52" s="1231">
        <v>0</v>
      </c>
      <c r="O52" s="1140">
        <f>IF(OR(O53=1,M53&gt;0),1,0)</f>
        <v>0</v>
      </c>
      <c r="P52" s="1140">
        <f>IF(G52&gt;0,1,0)</f>
        <v>1</v>
      </c>
      <c r="Q52" s="1161">
        <f>IF('Rates (2)'!M21="Free",0,1)</f>
        <v>1</v>
      </c>
      <c r="R52" s="1205">
        <f>IF(AND(H9='Administration (2)'!C20,S52=0),0,1)</f>
        <v>1</v>
      </c>
      <c r="S52" s="1205">
        <f>IF(OR(M8="Motor Car",M8="Jeep",M8="Dual Purpose"),0,1)</f>
        <v>1</v>
      </c>
      <c r="T52" s="1205"/>
      <c r="U52" s="1205"/>
      <c r="V52" s="1205"/>
      <c r="AU52" s="1315">
        <f t="shared" ca="1" si="2"/>
        <v>2014</v>
      </c>
      <c r="AW52" s="1149"/>
      <c r="AX52" s="1329"/>
    </row>
    <row r="53" spans="2:50" s="973" customFormat="1" ht="18" customHeight="1" thickBot="1" x14ac:dyDescent="0.35">
      <c r="B53" s="1383"/>
      <c r="C53" s="1189"/>
      <c r="D53" s="1236"/>
      <c r="E53" s="1384"/>
      <c r="F53" s="1105"/>
      <c r="G53" s="1385">
        <v>0</v>
      </c>
      <c r="H53" s="1386">
        <v>0</v>
      </c>
      <c r="I53" s="1387" t="str">
        <f>IF(AND(G53=0,H53&gt;0),"Enter Number of Air Bags",IF(AND(H53&gt;0,T47=0),"Not Applicable",IF(AND(Q52=0,T47=1,H53&gt;0),"Free Cover","Value of Rear Seat Airbags")))</f>
        <v>Value of Rear Seat Airbags</v>
      </c>
      <c r="J53" s="1388"/>
      <c r="K53" s="1388"/>
      <c r="L53" s="1229">
        <v>0</v>
      </c>
      <c r="M53" s="1301">
        <f>IF(AND($C$2="Yes",L53=1),N53*P53,(H53*'Rates (2)'!K21%*U2*T47/2*Q52*R15*Y2*P53))*N3</f>
        <v>0</v>
      </c>
      <c r="N53" s="1231">
        <v>0</v>
      </c>
      <c r="O53" s="1140">
        <f>IF(AND(G52&gt;0,K50&gt;1),1,0)</f>
        <v>0</v>
      </c>
      <c r="P53" s="1140">
        <f>IF(G53&gt;0,1,0)</f>
        <v>0</v>
      </c>
      <c r="Q53" s="1161">
        <f>IF(M53&gt;0,1,0)</f>
        <v>0</v>
      </c>
      <c r="R53" s="1205">
        <f>IF(AND(O53=1,Q53=1),G52+G53,IF(AND(O53=1,Q53=0),G52,IF(AND(O53=0,Q53=1),G53,0)))</f>
        <v>0</v>
      </c>
      <c r="S53" s="1205"/>
      <c r="T53" s="1205"/>
      <c r="U53" s="1205"/>
      <c r="V53" s="1205"/>
      <c r="AU53" s="1315">
        <f t="shared" ca="1" si="2"/>
        <v>2015</v>
      </c>
      <c r="AX53" s="976"/>
    </row>
    <row r="54" spans="2:50" s="973" customFormat="1" ht="15.9" customHeight="1" thickBot="1" x14ac:dyDescent="0.35">
      <c r="B54" s="1353"/>
      <c r="C54" s="1189"/>
      <c r="D54" s="1236" t="s">
        <v>284</v>
      </c>
      <c r="E54" s="1237" t="s">
        <v>9</v>
      </c>
      <c r="F54" s="1105" t="s">
        <v>8</v>
      </c>
      <c r="G54" s="1105"/>
      <c r="H54" s="1389">
        <v>0</v>
      </c>
      <c r="I54" s="1228" t="s">
        <v>111</v>
      </c>
      <c r="J54" s="1228"/>
      <c r="K54" s="984"/>
      <c r="L54" s="1229">
        <v>0</v>
      </c>
      <c r="M54" s="1301">
        <f>IF(AND($C$2="Yes",L54=1),N54,(H54*Q54*U2*R15*Y2))*N3</f>
        <v>0</v>
      </c>
      <c r="N54" s="1231">
        <v>0</v>
      </c>
      <c r="O54" s="1140">
        <f>IF(H54&gt;0,1,0)</f>
        <v>0</v>
      </c>
      <c r="P54" s="1140"/>
      <c r="Q54" s="1161">
        <f>IF(O57+Q57=1,'Rates (2)'!K34,IF(T47=0,'Rates (2)'!K35,'Rates (2)'!K36))</f>
        <v>200</v>
      </c>
      <c r="R54" s="1205"/>
      <c r="S54" s="1205"/>
      <c r="T54" s="1205"/>
      <c r="U54" s="1205"/>
      <c r="V54" s="1205"/>
      <c r="AU54" s="1315">
        <f t="shared" ca="1" si="2"/>
        <v>2016</v>
      </c>
      <c r="AX54" s="1329"/>
    </row>
    <row r="55" spans="2:50" s="973" customFormat="1" ht="15" customHeight="1" thickBot="1" x14ac:dyDescent="0.35">
      <c r="B55" s="1240" t="str">
        <f>IF(C55=1,"Yes","No")</f>
        <v>No</v>
      </c>
      <c r="C55" s="1366">
        <v>0</v>
      </c>
      <c r="D55" s="1236" t="s">
        <v>284</v>
      </c>
      <c r="E55" s="1237" t="s">
        <v>9</v>
      </c>
      <c r="F55" s="1390" t="s">
        <v>535</v>
      </c>
      <c r="G55" s="1105"/>
      <c r="H55" s="1228"/>
      <c r="I55" s="1228"/>
      <c r="J55" s="1228"/>
      <c r="K55" s="1415">
        <v>3000</v>
      </c>
      <c r="L55" s="1229">
        <v>0</v>
      </c>
      <c r="M55" s="1301">
        <v>2180</v>
      </c>
      <c r="N55" s="1391">
        <v>0</v>
      </c>
      <c r="O55" s="1166"/>
      <c r="P55" s="1166"/>
      <c r="Q55" s="1166">
        <f>IF(B55="Yes",1,0)</f>
        <v>0</v>
      </c>
      <c r="R55" s="1262"/>
      <c r="S55" s="1262"/>
      <c r="T55" s="1262"/>
      <c r="U55" s="1262"/>
      <c r="V55" s="1262"/>
      <c r="W55" s="1166"/>
      <c r="X55" s="1166"/>
      <c r="Y55" s="1166"/>
      <c r="Z55" s="1166"/>
      <c r="AA55" s="1166"/>
      <c r="AB55" s="1166"/>
      <c r="AC55" s="1166"/>
      <c r="AD55" s="1166"/>
      <c r="AE55" s="1166"/>
      <c r="AF55" s="1166"/>
      <c r="AG55" s="1166"/>
      <c r="AH55" s="1166"/>
      <c r="AI55" s="1166"/>
      <c r="AU55" s="1315">
        <f t="shared" ca="1" si="2"/>
        <v>2017</v>
      </c>
      <c r="AX55" s="1329"/>
    </row>
    <row r="56" spans="2:50" s="973" customFormat="1" ht="21.75" customHeight="1" thickBot="1" x14ac:dyDescent="0.35">
      <c r="B56" s="1240" t="str">
        <f>IF(C56=1,"Yes","No")</f>
        <v>No</v>
      </c>
      <c r="C56" s="1366">
        <v>0</v>
      </c>
      <c r="D56" s="1236" t="s">
        <v>284</v>
      </c>
      <c r="E56" s="1237" t="s">
        <v>9</v>
      </c>
      <c r="F56" s="1105" t="s">
        <v>133</v>
      </c>
      <c r="G56" s="1105"/>
      <c r="H56" s="1228">
        <v>73.170731707317074</v>
      </c>
      <c r="I56" s="1198" t="str">
        <f>IF(AND('Rates (2)'!D43="No",B56="Yes"),"Provided only for Private Cars","")</f>
        <v/>
      </c>
      <c r="J56" s="1198"/>
      <c r="K56" s="984"/>
      <c r="L56" s="1229">
        <v>0</v>
      </c>
      <c r="M56" s="1244">
        <f ca="1">IF(AND($C$2="Yes",L56=1),N56,(M19*O56*R56%*Q61))</f>
        <v>0</v>
      </c>
      <c r="N56" s="1391">
        <v>0</v>
      </c>
      <c r="O56" s="1166">
        <f>IF(OR(R57=2,R61=1),1,0)</f>
        <v>0</v>
      </c>
      <c r="P56" s="1166"/>
      <c r="Q56" s="1166">
        <f>IF(B56="Yes",1,0)</f>
        <v>0</v>
      </c>
      <c r="R56" s="1262">
        <f>IF(H35&lt;25,'Rates (2)'!K42,T56)</f>
        <v>5.25</v>
      </c>
      <c r="S56" s="1262"/>
      <c r="T56" s="1262">
        <f>IF(AND(H35&gt;=25,H35&lt;30),'Rates (2)'!K43,U56)</f>
        <v>5.25</v>
      </c>
      <c r="U56" s="1262">
        <f>IF(AND(H35&lt;38.33,H35&gt;=30),'Rates (2)'!K44,W56)</f>
        <v>4.5</v>
      </c>
      <c r="V56" s="1262"/>
      <c r="W56" s="1262">
        <f>IF(AND(H35&gt;=38.33,H35&lt;45),'Rates (2)'!K45,X56)</f>
        <v>4.5</v>
      </c>
      <c r="X56" s="1262">
        <f>IF(AND(H35&gt;=45,H35&lt;55),'Rates (2)'!K46,Y56)</f>
        <v>4.5</v>
      </c>
      <c r="Y56" s="1262">
        <f>IF(AND(H35&gt;=55,H35&lt;60),'Rates (2)'!K47,Z56)</f>
        <v>4.5</v>
      </c>
      <c r="Z56" s="1262">
        <f>IF(AND(H35&gt;=60,H35&lt;65),'Rates (2)'!K48,AA56)</f>
        <v>4.5</v>
      </c>
      <c r="AA56" s="1262">
        <f>IF(AND(H35&gt;=65,H35&lt;70),'Rates (2)'!K49,AB56)</f>
        <v>4.5</v>
      </c>
      <c r="AB56" s="1262">
        <f>IF(AND(H35&gt;=70,H35&lt;75),'Rates (2)'!K50,AC56)</f>
        <v>4.5</v>
      </c>
      <c r="AC56" s="1262">
        <f>IF(H35&gt;=75,'Rates (2)'!K51,AD56)</f>
        <v>4.5</v>
      </c>
      <c r="AD56" s="1166">
        <v>4.5</v>
      </c>
      <c r="AE56" s="1166"/>
      <c r="AF56" s="1166"/>
      <c r="AG56" s="1166"/>
      <c r="AH56" s="1166"/>
      <c r="AI56" s="1166"/>
      <c r="AU56" s="1315">
        <f t="shared" ca="1" si="2"/>
        <v>2018</v>
      </c>
      <c r="AX56" s="1329"/>
    </row>
    <row r="57" spans="2:50" s="973" customFormat="1" ht="18.75" hidden="1" customHeight="1" x14ac:dyDescent="0.3">
      <c r="B57" s="1353"/>
      <c r="C57" s="1189"/>
      <c r="D57" s="1152"/>
      <c r="E57" s="1392" t="s">
        <v>9</v>
      </c>
      <c r="F57" s="1051" t="str">
        <f>IF(AND(M8='Administration (2)'!C10,H9='Administration (2)'!C23,R15=1),"Unlimited Third Party Property Damage &amp; Passenger Liability Cover",".")</f>
        <v>.</v>
      </c>
      <c r="G57" s="1051"/>
      <c r="H57" s="1038"/>
      <c r="I57" s="1228"/>
      <c r="J57" s="1228"/>
      <c r="K57" s="984"/>
      <c r="L57" s="1229">
        <v>0</v>
      </c>
      <c r="M57" s="1301">
        <f>IF(AND($C$2="Yes",L57=1),N57,IF(AND(M8='Administration (2)'!C10,H9='Administration (2)'!C23),2000,0)*U2*R15)*N3</f>
        <v>0</v>
      </c>
      <c r="N57" s="1391">
        <v>0</v>
      </c>
      <c r="O57" s="1393">
        <f>IF(AND(M8='Administration (2)'!C7,H9='Administration (2)'!C20),1,0)</f>
        <v>0</v>
      </c>
      <c r="P57" s="1393"/>
      <c r="Q57" s="1393">
        <f>IF(AND(M8='Administration (2)'!C8,H9='Administration (2)'!C20),1,0)</f>
        <v>0</v>
      </c>
      <c r="R57" s="1394">
        <f>Q56+Q57+O57</f>
        <v>0</v>
      </c>
      <c r="S57" s="1394"/>
      <c r="T57" s="1393">
        <f>IF(AND(M8='Administration (2)'!C12,H9='Administration (2)'!C20),1,0)</f>
        <v>0</v>
      </c>
      <c r="U57" s="1262">
        <f>IF(O57+Q57=1,1,0)</f>
        <v>0</v>
      </c>
      <c r="V57" s="1262"/>
      <c r="W57" s="1166">
        <f>IF(AND(M8='Administration (2)'!C9,H9='Administration (2)'!C20),1,0)</f>
        <v>0</v>
      </c>
      <c r="X57" s="1060"/>
      <c r="Y57" s="1060"/>
      <c r="Z57" s="1060"/>
      <c r="AA57" s="1060"/>
      <c r="AB57" s="1166"/>
      <c r="AC57" s="1166"/>
      <c r="AD57" s="1166"/>
      <c r="AE57" s="1166"/>
      <c r="AF57" s="1166"/>
      <c r="AG57" s="1166"/>
      <c r="AH57" s="1166"/>
      <c r="AI57" s="1166"/>
      <c r="AU57" s="1315">
        <f t="shared" ca="1" si="2"/>
        <v>2019</v>
      </c>
      <c r="AX57" s="1329"/>
    </row>
    <row r="58" spans="2:50" s="973" customFormat="1" ht="20.25" hidden="1" customHeight="1" thickBot="1" x14ac:dyDescent="0.35">
      <c r="B58" s="1353"/>
      <c r="C58" s="1343">
        <v>0</v>
      </c>
      <c r="D58" s="1152"/>
      <c r="E58" s="1392" t="s">
        <v>9</v>
      </c>
      <c r="F58" s="1803"/>
      <c r="G58" s="1803"/>
      <c r="H58" s="1395" t="str">
        <f>IF(AND(C58=1,F58=""),"Enter Name of Cover","Additional Cover 1")</f>
        <v>Additional Cover 1</v>
      </c>
      <c r="I58" s="1228"/>
      <c r="J58" s="1228"/>
      <c r="K58" s="984"/>
      <c r="L58" s="1229">
        <v>0</v>
      </c>
      <c r="M58" s="1396">
        <f>IF(AND(C58=1,F58&lt;&gt;""),N58,0)</f>
        <v>0</v>
      </c>
      <c r="N58" s="1397">
        <v>0</v>
      </c>
      <c r="O58" s="1398">
        <f>IF(AND(C58=1,N58&lt;&gt;0,F58&lt;&gt;""),1,0)</f>
        <v>0</v>
      </c>
      <c r="P58" s="1398"/>
      <c r="Q58" s="1398"/>
      <c r="R58" s="1399"/>
      <c r="S58" s="1400"/>
      <c r="T58" s="1401"/>
      <c r="U58" s="1402"/>
      <c r="V58" s="1402"/>
      <c r="W58" s="974"/>
      <c r="X58" s="974"/>
      <c r="Y58" s="974"/>
      <c r="Z58" s="974"/>
      <c r="AA58" s="974"/>
      <c r="AB58" s="974"/>
      <c r="AC58" s="974"/>
      <c r="AD58" s="974"/>
      <c r="AE58" s="974"/>
      <c r="AF58" s="974"/>
      <c r="AG58" s="974"/>
      <c r="AH58" s="974"/>
      <c r="AI58" s="974"/>
      <c r="AJ58" s="974"/>
      <c r="AK58" s="974"/>
      <c r="AL58" s="974"/>
      <c r="AM58" s="974"/>
      <c r="AN58" s="974"/>
      <c r="AO58" s="974"/>
      <c r="AU58" s="1315">
        <f t="shared" ca="1" si="2"/>
        <v>2020</v>
      </c>
      <c r="AX58" s="1329"/>
    </row>
    <row r="59" spans="2:50" s="973" customFormat="1" ht="17.25" hidden="1" customHeight="1" thickBot="1" x14ac:dyDescent="0.35">
      <c r="B59" s="1353"/>
      <c r="C59" s="1343">
        <v>0</v>
      </c>
      <c r="D59" s="1152"/>
      <c r="E59" s="1392" t="s">
        <v>9</v>
      </c>
      <c r="F59" s="1803"/>
      <c r="G59" s="1803"/>
      <c r="H59" s="1395" t="str">
        <f>IF(AND(C59=1,F59=""),"Enter Name of Cover","Additional Cover 2")</f>
        <v>Additional Cover 2</v>
      </c>
      <c r="I59" s="1228"/>
      <c r="J59" s="1228"/>
      <c r="K59" s="984"/>
      <c r="L59" s="1229">
        <v>0</v>
      </c>
      <c r="M59" s="1396">
        <f>IF(AND(C59=1,F59&lt;&gt;""),N59,0)</f>
        <v>0</v>
      </c>
      <c r="N59" s="1397">
        <v>0</v>
      </c>
      <c r="O59" s="1398">
        <f>IF(AND(C59=1,N59&lt;&gt;0,F59&lt;&gt;""),1,0)</f>
        <v>0</v>
      </c>
      <c r="P59" s="1398"/>
      <c r="Q59" s="1398"/>
      <c r="R59" s="1399"/>
      <c r="S59" s="1400"/>
      <c r="T59" s="1401"/>
      <c r="U59" s="1402"/>
      <c r="V59" s="1402"/>
      <c r="W59" s="974"/>
      <c r="X59" s="974"/>
      <c r="Y59" s="974"/>
      <c r="Z59" s="974"/>
      <c r="AA59" s="974"/>
      <c r="AB59" s="974"/>
      <c r="AC59" s="974"/>
      <c r="AD59" s="974"/>
      <c r="AE59" s="974"/>
      <c r="AF59" s="974"/>
      <c r="AG59" s="974"/>
      <c r="AH59" s="974"/>
      <c r="AI59" s="974"/>
      <c r="AJ59" s="974"/>
      <c r="AK59" s="974"/>
      <c r="AL59" s="974"/>
      <c r="AM59" s="974"/>
      <c r="AN59" s="974"/>
      <c r="AO59" s="974"/>
      <c r="AU59" s="1315">
        <f t="shared" ca="1" si="2"/>
        <v>2021</v>
      </c>
      <c r="AX59" s="1329"/>
    </row>
    <row r="60" spans="2:50" s="973" customFormat="1" ht="18" hidden="1" customHeight="1" thickBot="1" x14ac:dyDescent="0.35">
      <c r="B60" s="1353"/>
      <c r="C60" s="1343">
        <v>0</v>
      </c>
      <c r="D60" s="1403"/>
      <c r="E60" s="1404" t="s">
        <v>9</v>
      </c>
      <c r="F60" s="1405" t="s">
        <v>169</v>
      </c>
      <c r="G60" s="1405"/>
      <c r="H60" s="1406"/>
      <c r="I60" s="1407"/>
      <c r="J60" s="1407"/>
      <c r="K60" s="1408"/>
      <c r="L60" s="1409"/>
      <c r="M60" s="1396">
        <f>IF(AND('Old MC Working'!H8="Three Wheeler",'Old MC Working'!B12="Above 5 yrs",'Rates (2)'!D81="Yes",C60=1,N60&gt;'Rates (2)'!F81,H13&lt;2009),N60,IF(AND('Old MC Working'!H8="Three Wheeler",'Old MC Working'!B12="Above 5 yrs",'Rates (2)'!D81="Yes",H13&lt;2009),'Rates (2)'!F81,IF(C60=1,N60,0)))</f>
        <v>0</v>
      </c>
      <c r="N60" s="1397">
        <v>0</v>
      </c>
      <c r="P60" s="1398"/>
      <c r="Q60" s="1398"/>
      <c r="R60" s="1399"/>
      <c r="S60" s="1400"/>
      <c r="T60" s="1401"/>
      <c r="U60" s="1402"/>
      <c r="V60" s="1402"/>
      <c r="W60" s="974"/>
      <c r="X60" s="974"/>
      <c r="Y60" s="974"/>
      <c r="Z60" s="974"/>
      <c r="AA60" s="974"/>
      <c r="AB60" s="974"/>
      <c r="AC60" s="974"/>
      <c r="AD60" s="974"/>
      <c r="AE60" s="974"/>
      <c r="AF60" s="974"/>
      <c r="AG60" s="974"/>
      <c r="AH60" s="974"/>
      <c r="AI60" s="974"/>
      <c r="AJ60" s="974"/>
      <c r="AK60" s="974"/>
      <c r="AL60" s="974"/>
      <c r="AM60" s="974"/>
      <c r="AN60" s="974"/>
      <c r="AO60" s="974"/>
      <c r="AU60" s="1315">
        <f t="shared" ca="1" si="2"/>
        <v>2022</v>
      </c>
      <c r="AX60" s="1329"/>
    </row>
    <row r="61" spans="2:50" s="973" customFormat="1" ht="19.5" customHeight="1" x14ac:dyDescent="0.3">
      <c r="B61" s="1353"/>
      <c r="C61" s="1189"/>
      <c r="D61" s="1152"/>
      <c r="E61" s="1804"/>
      <c r="F61" s="1805"/>
      <c r="G61" s="984"/>
      <c r="H61" s="1410" t="s">
        <v>10</v>
      </c>
      <c r="I61" s="985"/>
      <c r="J61" s="1410"/>
      <c r="K61" s="1472">
        <f>3500+M40+M42+M55</f>
        <v>7430</v>
      </c>
      <c r="L61" s="1411"/>
      <c r="M61" s="1412">
        <f ca="1">SUM(M38:M60)*C69*U2</f>
        <v>18659.999999999996</v>
      </c>
      <c r="N61" s="1413"/>
      <c r="O61" s="1414">
        <f ca="1">M61-M40-M42-M41-M43</f>
        <v>16909.999999999996</v>
      </c>
      <c r="P61" s="1414"/>
      <c r="Q61" s="1161">
        <f>IF('Rates (2)'!D45="Yes",0,1)</f>
        <v>1</v>
      </c>
      <c r="R61" s="1205">
        <f>IF(AND('Rates (2)'!D43="Yes",B56="Yes"),1,0)</f>
        <v>0</v>
      </c>
      <c r="S61" s="1402"/>
      <c r="T61" s="1402"/>
      <c r="U61" s="1402"/>
      <c r="V61" s="1402"/>
      <c r="W61" s="974"/>
      <c r="X61" s="974"/>
      <c r="Y61" s="974"/>
      <c r="Z61" s="974"/>
      <c r="AA61" s="974"/>
      <c r="AB61" s="974"/>
      <c r="AC61" s="974"/>
      <c r="AD61" s="974"/>
      <c r="AE61" s="974"/>
      <c r="AF61" s="974"/>
      <c r="AG61" s="974"/>
      <c r="AH61" s="974"/>
      <c r="AI61" s="974"/>
      <c r="AJ61" s="974"/>
      <c r="AK61" s="974"/>
      <c r="AL61" s="974"/>
      <c r="AM61" s="974"/>
      <c r="AN61" s="974"/>
      <c r="AO61" s="974"/>
      <c r="AU61" s="1315">
        <f t="shared" ca="1" si="2"/>
        <v>2023</v>
      </c>
      <c r="AX61" s="1329"/>
    </row>
    <row r="62" spans="2:50" s="973" customFormat="1" ht="15.75" customHeight="1" x14ac:dyDescent="0.3">
      <c r="B62" s="1353"/>
      <c r="C62" s="1189"/>
      <c r="D62" s="1152"/>
      <c r="E62" s="1804"/>
      <c r="F62" s="1805"/>
      <c r="G62" s="984"/>
      <c r="H62" s="1099" t="s">
        <v>574</v>
      </c>
      <c r="I62" s="1799">
        <f ca="1">(M62+M64)/M61</f>
        <v>2.5000000000000001E-2</v>
      </c>
      <c r="J62" s="1799"/>
      <c r="K62" s="1415">
        <f>'Rates (2)'!D19</f>
        <v>2.5</v>
      </c>
      <c r="L62" s="1416" t="s">
        <v>56</v>
      </c>
      <c r="M62" s="1417">
        <f ca="1">M61*'Rates (2)'!D19%</f>
        <v>466.49999999999994</v>
      </c>
      <c r="N62" s="1418"/>
      <c r="Q62" s="1161"/>
      <c r="R62" s="1205"/>
      <c r="S62" s="1205"/>
      <c r="T62" s="1205"/>
      <c r="U62" s="1328">
        <f>O57+Q57+W57</f>
        <v>0</v>
      </c>
      <c r="V62" s="1328"/>
      <c r="AM62" s="1149"/>
      <c r="AU62" s="1315">
        <f t="shared" ca="1" si="2"/>
        <v>2024</v>
      </c>
      <c r="AX62" s="1329"/>
    </row>
    <row r="63" spans="2:50" s="973" customFormat="1" ht="15.75" hidden="1" customHeight="1" x14ac:dyDescent="0.35">
      <c r="B63" s="1353"/>
      <c r="C63" s="1189"/>
      <c r="D63" s="1152"/>
      <c r="E63" s="1804"/>
      <c r="F63" s="1805"/>
      <c r="G63" s="984"/>
      <c r="H63" s="987"/>
      <c r="I63" s="985"/>
      <c r="J63" s="987"/>
      <c r="K63" s="984"/>
      <c r="L63" s="1411"/>
      <c r="M63" s="1301"/>
      <c r="N63" s="1418"/>
      <c r="O63" s="1140"/>
      <c r="P63" s="1140"/>
      <c r="Q63" s="1161"/>
      <c r="R63" s="1205"/>
      <c r="S63" s="1205"/>
      <c r="T63" s="1205"/>
      <c r="U63" s="1205"/>
      <c r="V63" s="1205"/>
      <c r="AM63" s="1149"/>
      <c r="AU63" s="1315" t="str">
        <f t="shared" ca="1" si="2"/>
        <v/>
      </c>
      <c r="AX63" s="1329"/>
    </row>
    <row r="64" spans="2:50" s="973" customFormat="1" ht="15.75" customHeight="1" x14ac:dyDescent="0.3">
      <c r="B64" s="1353"/>
      <c r="C64" s="1189"/>
      <c r="D64" s="1152"/>
      <c r="E64" s="1804"/>
      <c r="F64" s="1805"/>
      <c r="G64" s="984"/>
      <c r="H64" s="1099" t="s">
        <v>573</v>
      </c>
      <c r="I64" s="985"/>
      <c r="J64" s="1099"/>
      <c r="K64" s="1415"/>
      <c r="L64" s="1416"/>
      <c r="M64" s="1301">
        <f>K64</f>
        <v>0</v>
      </c>
      <c r="N64" s="1418"/>
      <c r="O64" s="1140"/>
      <c r="P64" s="1140"/>
      <c r="Q64" s="1161"/>
      <c r="R64" s="1419">
        <v>1</v>
      </c>
      <c r="S64" s="1205"/>
      <c r="T64" s="1205"/>
      <c r="U64" s="1205"/>
      <c r="V64" s="1205"/>
      <c r="AM64" s="1149"/>
      <c r="AU64" s="1315" t="str">
        <f t="shared" ca="1" si="2"/>
        <v/>
      </c>
      <c r="AX64" s="1329"/>
    </row>
    <row r="65" spans="1:52" s="973" customFormat="1" ht="15.5" thickBot="1" x14ac:dyDescent="0.35">
      <c r="B65" s="1353"/>
      <c r="C65" s="1189"/>
      <c r="D65" s="1152"/>
      <c r="E65" s="1804"/>
      <c r="F65" s="1805"/>
      <c r="G65" s="984"/>
      <c r="H65" s="1099" t="s">
        <v>1</v>
      </c>
      <c r="I65" s="985"/>
      <c r="J65" s="1099"/>
      <c r="K65" s="1415">
        <f>'Rates (2)'!D21</f>
        <v>8</v>
      </c>
      <c r="L65" s="1416" t="s">
        <v>56</v>
      </c>
      <c r="M65" s="1301">
        <f ca="1">SUM(M61:M64)*'Rates (2)'!D21%</f>
        <v>1530.1199999999997</v>
      </c>
      <c r="N65" s="1418"/>
      <c r="O65" s="1140"/>
      <c r="P65" s="1140"/>
      <c r="Q65" s="973">
        <f>IF(AND(M8='Administration (2)'!C10,H9='Administration (2)'!C23),0,1)</f>
        <v>1</v>
      </c>
      <c r="R65" s="1399"/>
      <c r="S65" s="1399"/>
      <c r="W65" s="1420"/>
      <c r="AM65" s="1149"/>
      <c r="AU65" s="1315" t="str">
        <f t="shared" ca="1" si="2"/>
        <v/>
      </c>
      <c r="AX65" s="1329"/>
    </row>
    <row r="66" spans="1:52" s="973" customFormat="1" ht="25.5" customHeight="1" thickTop="1" thickBot="1" x14ac:dyDescent="0.35">
      <c r="B66" s="1353"/>
      <c r="C66" s="1421">
        <f>'Administration (2)'!I3</f>
        <v>45413</v>
      </c>
      <c r="D66" s="1152"/>
      <c r="E66" s="1806"/>
      <c r="F66" s="1807"/>
      <c r="G66" s="984"/>
      <c r="H66" s="1410" t="s">
        <v>381</v>
      </c>
      <c r="I66" s="985"/>
      <c r="J66" s="1410"/>
      <c r="K66" s="984"/>
      <c r="L66" s="1411"/>
      <c r="M66" s="1422">
        <f ca="1">SUM(M61:M65)*C69*U2</f>
        <v>20656.619999999995</v>
      </c>
      <c r="N66" s="168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87"/>
      <c r="P66" s="1423"/>
      <c r="Q66" s="1144"/>
      <c r="AM66" s="1149"/>
      <c r="AU66" s="1315" t="str">
        <f t="shared" ca="1" si="2"/>
        <v/>
      </c>
      <c r="AX66" s="1329"/>
    </row>
    <row r="67" spans="1:52" s="973" customFormat="1" ht="12.75" hidden="1" customHeight="1" x14ac:dyDescent="0.25">
      <c r="B67" s="1353"/>
      <c r="C67" s="1144"/>
      <c r="D67" s="1152"/>
      <c r="E67" s="1424"/>
      <c r="F67" s="1424"/>
      <c r="G67" s="1424"/>
      <c r="H67" s="1424"/>
      <c r="I67" s="1424"/>
      <c r="J67" s="1424"/>
      <c r="K67" s="1424"/>
      <c r="L67" s="1424"/>
      <c r="M67" s="1425"/>
      <c r="N67" s="210"/>
      <c r="O67" s="211"/>
      <c r="P67" s="226"/>
      <c r="AM67" s="1149"/>
      <c r="AU67" s="1315" t="str">
        <f t="shared" ca="1" si="2"/>
        <v/>
      </c>
      <c r="AX67" s="1329"/>
    </row>
    <row r="68" spans="1:52" s="973" customFormat="1" ht="12.75" hidden="1" customHeight="1" x14ac:dyDescent="0.3">
      <c r="B68" s="1353"/>
      <c r="C68" s="1144"/>
      <c r="D68" s="1152"/>
      <c r="E68" s="1424"/>
      <c r="F68" s="1424"/>
      <c r="G68" s="1424"/>
      <c r="H68" s="1424"/>
      <c r="I68" s="1424"/>
      <c r="J68" s="1424"/>
      <c r="K68" s="1424"/>
      <c r="L68" s="1424"/>
      <c r="M68" s="1425"/>
      <c r="N68" s="1426"/>
      <c r="O68" s="1427"/>
      <c r="P68" s="1428"/>
      <c r="AM68" s="1149"/>
      <c r="AU68" s="1315" t="str">
        <f t="shared" ca="1" si="2"/>
        <v/>
      </c>
      <c r="AX68" s="1329"/>
    </row>
    <row r="69" spans="1:52" s="973" customFormat="1" ht="15.75" customHeight="1" thickTop="1" x14ac:dyDescent="0.45">
      <c r="B69" s="1353"/>
      <c r="C69" s="1144">
        <f ca="1">IF(C66&gt;F69,1,0)</f>
        <v>1</v>
      </c>
      <c r="D69" s="1152"/>
      <c r="E69" s="1424"/>
      <c r="F69" s="1429">
        <f ca="1">TODAY()</f>
        <v>45351</v>
      </c>
      <c r="G69" s="1429"/>
      <c r="H69" s="1424"/>
      <c r="I69" s="1424"/>
      <c r="J69" s="1424"/>
      <c r="K69" s="1424"/>
      <c r="L69" s="1424"/>
      <c r="M69" s="1682"/>
      <c r="N69" s="689"/>
      <c r="O69" s="1430"/>
      <c r="P69" s="1431"/>
      <c r="Q69" s="1144"/>
      <c r="AM69" s="1149"/>
      <c r="AU69" s="1315" t="str">
        <f t="shared" ca="1" si="2"/>
        <v/>
      </c>
      <c r="AX69" s="1329"/>
    </row>
    <row r="70" spans="1:52" s="973" customFormat="1" ht="6.75" customHeight="1" x14ac:dyDescent="0.45">
      <c r="B70" s="1353"/>
      <c r="C70" s="1189"/>
      <c r="D70" s="1152"/>
      <c r="E70" s="1137"/>
      <c r="F70" s="1796" t="str">
        <f>IF(O70=1,"Hiring",IF(O70=3,"Rent A Vehicle",IF(O70=0,"Private")))</f>
        <v>Private</v>
      </c>
      <c r="G70" s="1796"/>
      <c r="H70" s="1796"/>
      <c r="I70" s="1137"/>
      <c r="J70" s="1137"/>
      <c r="K70" s="1137"/>
      <c r="L70" s="1137"/>
      <c r="M70" s="1682"/>
      <c r="N70" s="689"/>
      <c r="O70" s="1140">
        <f>Q45+Q44</f>
        <v>0</v>
      </c>
      <c r="P70" s="1140"/>
      <c r="Q70" s="973" t="s">
        <v>41</v>
      </c>
      <c r="R70" s="973" t="s">
        <v>7</v>
      </c>
      <c r="T70" s="973" t="s">
        <v>45</v>
      </c>
      <c r="AM70" s="1149"/>
      <c r="AU70" s="1315" t="str">
        <f t="shared" ca="1" si="2"/>
        <v/>
      </c>
      <c r="AX70" s="1329"/>
    </row>
    <row r="71" spans="1:52" s="973" customFormat="1" ht="13.5" customHeight="1" thickBot="1" x14ac:dyDescent="0.35">
      <c r="B71" s="1353"/>
      <c r="C71" s="1189"/>
      <c r="D71" s="1432"/>
      <c r="E71" s="1433"/>
      <c r="F71" s="1797"/>
      <c r="G71" s="1797"/>
      <c r="H71" s="1797"/>
      <c r="I71" s="1433"/>
      <c r="J71" s="1433"/>
      <c r="K71" s="1433"/>
      <c r="L71" s="1433"/>
      <c r="M71" s="1434"/>
      <c r="N71" s="1435"/>
      <c r="O71" s="1436"/>
      <c r="P71" s="1428"/>
      <c r="AM71" s="1149"/>
      <c r="AU71" s="1315" t="str">
        <f t="shared" ca="1" si="2"/>
        <v/>
      </c>
      <c r="AX71" s="1329"/>
    </row>
    <row r="72" spans="1:52" s="1439" customFormat="1" ht="14.5" hidden="1" thickTop="1" x14ac:dyDescent="0.3">
      <c r="A72" s="1149"/>
      <c r="B72" s="1437"/>
      <c r="C72" s="1149"/>
      <c r="D72" s="1438" t="s">
        <v>15</v>
      </c>
      <c r="E72" s="1149"/>
      <c r="F72" s="1291"/>
      <c r="G72" s="1291"/>
      <c r="H72" s="1291"/>
      <c r="I72" s="1291"/>
      <c r="J72" s="1291"/>
      <c r="K72" s="1291"/>
      <c r="L72" s="1149"/>
      <c r="M72" s="1149"/>
      <c r="N72" s="974"/>
      <c r="O72" s="1436"/>
      <c r="P72" s="1428"/>
      <c r="Q72" s="973"/>
      <c r="R72" s="973"/>
      <c r="S72" s="973"/>
      <c r="T72" s="973"/>
      <c r="U72" s="973"/>
      <c r="V72" s="973"/>
      <c r="W72" s="973"/>
      <c r="X72" s="973"/>
      <c r="Y72" s="973"/>
      <c r="Z72" s="973"/>
      <c r="AA72" s="973"/>
      <c r="AB72" s="973"/>
      <c r="AC72" s="973"/>
      <c r="AD72" s="973"/>
      <c r="AE72" s="973"/>
      <c r="AF72" s="973"/>
      <c r="AG72" s="973"/>
      <c r="AH72" s="973"/>
      <c r="AI72" s="973"/>
      <c r="AJ72" s="973"/>
      <c r="AK72" s="973"/>
      <c r="AL72" s="973"/>
      <c r="AM72" s="1149"/>
      <c r="AN72" s="973"/>
      <c r="AO72" s="973"/>
      <c r="AP72" s="973"/>
      <c r="AQ72" s="973"/>
      <c r="AR72" s="973"/>
      <c r="AS72" s="973"/>
      <c r="AT72" s="973"/>
      <c r="AU72" s="1315" t="str">
        <f t="shared" ca="1" si="2"/>
        <v/>
      </c>
      <c r="AV72" s="973"/>
      <c r="AW72" s="973"/>
      <c r="AX72" s="1329"/>
      <c r="AY72" s="973"/>
      <c r="AZ72" s="973"/>
    </row>
    <row r="73" spans="1:52" s="1439" customFormat="1" ht="22.5" hidden="1" customHeight="1" x14ac:dyDescent="0.25">
      <c r="A73" s="1149"/>
      <c r="B73" s="1440"/>
      <c r="C73" s="1149"/>
      <c r="D73" s="973"/>
      <c r="E73" s="973"/>
      <c r="F73" s="973"/>
      <c r="G73" s="973"/>
      <c r="H73" s="973"/>
      <c r="I73" s="973"/>
      <c r="J73" s="973"/>
      <c r="K73" s="973"/>
      <c r="L73" s="973"/>
      <c r="M73" s="1315"/>
      <c r="N73" s="1315"/>
      <c r="O73" s="1315"/>
      <c r="P73" s="1315"/>
      <c r="Q73" s="1315"/>
      <c r="R73" s="1315"/>
      <c r="S73" s="1315"/>
      <c r="T73" s="1315"/>
      <c r="U73" s="973"/>
      <c r="V73" s="973"/>
      <c r="W73" s="973"/>
      <c r="X73" s="973"/>
      <c r="Y73" s="973"/>
      <c r="Z73" s="973"/>
      <c r="AA73" s="973"/>
      <c r="AB73" s="973"/>
      <c r="AC73" s="973"/>
      <c r="AD73" s="973"/>
      <c r="AE73" s="973"/>
      <c r="AF73" s="973"/>
      <c r="AG73" s="973"/>
      <c r="AH73" s="973"/>
      <c r="AI73" s="973"/>
      <c r="AJ73" s="973"/>
      <c r="AK73" s="973"/>
      <c r="AL73" s="973"/>
      <c r="AM73" s="1149"/>
      <c r="AN73" s="973"/>
      <c r="AO73" s="973"/>
      <c r="AP73" s="973"/>
      <c r="AQ73" s="973"/>
      <c r="AR73" s="973"/>
      <c r="AS73" s="973"/>
      <c r="AT73" s="973"/>
      <c r="AU73" s="1315" t="str">
        <f t="shared" ca="1" si="2"/>
        <v/>
      </c>
      <c r="AV73" s="973"/>
      <c r="AW73" s="973"/>
      <c r="AY73" s="973"/>
      <c r="AZ73" s="973"/>
    </row>
    <row r="74" spans="1:52" s="1439" customFormat="1" ht="14.5" hidden="1" thickTop="1" x14ac:dyDescent="0.3">
      <c r="A74" s="1149"/>
      <c r="B74" s="1440"/>
      <c r="C74" s="1149"/>
      <c r="D74" s="973" t="s">
        <v>78</v>
      </c>
      <c r="E74" s="973" t="s">
        <v>78</v>
      </c>
      <c r="F74" s="973"/>
      <c r="G74" s="973"/>
      <c r="H74" s="973"/>
      <c r="I74" s="973"/>
      <c r="J74" s="973"/>
      <c r="K74" s="973"/>
      <c r="L74" s="973"/>
      <c r="M74" s="1315"/>
      <c r="N74" s="1315"/>
      <c r="O74" s="1315"/>
      <c r="P74" s="1315"/>
      <c r="Q74" s="1315"/>
      <c r="R74" s="1315"/>
      <c r="S74" s="1315"/>
      <c r="T74" s="1315"/>
      <c r="U74" s="973"/>
      <c r="V74" s="973"/>
      <c r="W74" s="973"/>
      <c r="X74" s="973"/>
      <c r="Y74" s="973"/>
      <c r="Z74" s="973"/>
      <c r="AA74" s="973"/>
      <c r="AB74" s="973"/>
      <c r="AC74" s="973"/>
      <c r="AD74" s="973"/>
      <c r="AE74" s="973"/>
      <c r="AF74" s="973"/>
      <c r="AG74" s="973"/>
      <c r="AH74" s="973"/>
      <c r="AI74" s="973"/>
      <c r="AJ74" s="973"/>
      <c r="AK74" s="973"/>
      <c r="AL74" s="973"/>
      <c r="AM74" s="1149"/>
      <c r="AN74" s="973"/>
      <c r="AO74" s="973"/>
      <c r="AP74" s="973"/>
      <c r="AQ74" s="973"/>
      <c r="AR74" s="973"/>
      <c r="AS74" s="973"/>
      <c r="AT74" s="973"/>
      <c r="AU74" s="1315" t="str">
        <f t="shared" ca="1" si="2"/>
        <v/>
      </c>
      <c r="AV74" s="973"/>
      <c r="AW74" s="973"/>
      <c r="AX74" s="1441"/>
      <c r="AY74" s="973"/>
      <c r="AZ74" s="973"/>
    </row>
    <row r="75" spans="1:52" s="1439" customFormat="1" ht="14.5" hidden="1" thickTop="1" x14ac:dyDescent="0.3">
      <c r="A75" s="1149"/>
      <c r="B75" s="1440"/>
      <c r="C75" s="1149"/>
      <c r="D75" s="973" t="s">
        <v>114</v>
      </c>
      <c r="E75" s="973" t="s">
        <v>114</v>
      </c>
      <c r="F75" s="973"/>
      <c r="G75" s="973"/>
      <c r="H75" s="973"/>
      <c r="I75" s="973"/>
      <c r="J75" s="973"/>
      <c r="K75" s="973"/>
      <c r="L75" s="973"/>
      <c r="M75" s="1315"/>
      <c r="N75" s="1166"/>
      <c r="O75" s="1166"/>
      <c r="P75" s="1166"/>
      <c r="Q75" s="1166"/>
      <c r="R75" s="1166"/>
      <c r="S75" s="1166"/>
      <c r="T75" s="1166"/>
      <c r="U75" s="973"/>
      <c r="V75" s="973"/>
      <c r="W75" s="973"/>
      <c r="X75" s="973"/>
      <c r="Y75" s="973"/>
      <c r="Z75" s="973"/>
      <c r="AA75" s="973"/>
      <c r="AB75" s="973"/>
      <c r="AC75" s="973"/>
      <c r="AD75" s="973"/>
      <c r="AE75" s="973"/>
      <c r="AF75" s="973"/>
      <c r="AG75" s="973"/>
      <c r="AH75" s="973"/>
      <c r="AI75" s="973"/>
      <c r="AJ75" s="973"/>
      <c r="AK75" s="973"/>
      <c r="AL75" s="973"/>
      <c r="AM75" s="1149"/>
      <c r="AN75" s="973"/>
      <c r="AO75" s="973"/>
      <c r="AP75" s="973"/>
      <c r="AQ75" s="973"/>
      <c r="AR75" s="973"/>
      <c r="AS75" s="973"/>
      <c r="AT75" s="973"/>
      <c r="AU75" s="1315" t="str">
        <f t="shared" ca="1" si="2"/>
        <v/>
      </c>
      <c r="AV75" s="973"/>
      <c r="AW75" s="973"/>
      <c r="AX75" s="1441"/>
      <c r="AY75" s="973"/>
      <c r="AZ75" s="973"/>
    </row>
    <row r="76" spans="1:52" s="1439" customFormat="1" ht="14.5" hidden="1" thickTop="1" x14ac:dyDescent="0.3">
      <c r="A76" s="1149"/>
      <c r="B76" s="1440"/>
      <c r="C76" s="1149"/>
      <c r="D76" s="973">
        <v>1</v>
      </c>
      <c r="E76" s="973"/>
      <c r="F76" s="973"/>
      <c r="G76" s="973"/>
      <c r="H76" s="973"/>
      <c r="I76" s="973"/>
      <c r="J76" s="973"/>
      <c r="K76" s="973"/>
      <c r="L76" s="973"/>
      <c r="M76" s="1315"/>
      <c r="N76" s="1166"/>
      <c r="O76" s="1442" t="s">
        <v>223</v>
      </c>
      <c r="P76" s="1166"/>
      <c r="Q76" s="1166"/>
      <c r="R76" s="1166"/>
      <c r="S76" s="1166"/>
      <c r="T76" s="1166"/>
      <c r="U76" s="973"/>
      <c r="V76" s="973"/>
      <c r="W76" s="973"/>
      <c r="X76" s="973"/>
      <c r="Y76" s="973"/>
      <c r="Z76" s="973"/>
      <c r="AA76" s="973"/>
      <c r="AB76" s="973"/>
      <c r="AC76" s="973"/>
      <c r="AD76" s="973"/>
      <c r="AE76" s="973"/>
      <c r="AF76" s="973"/>
      <c r="AG76" s="973"/>
      <c r="AH76" s="973"/>
      <c r="AI76" s="973"/>
      <c r="AJ76" s="973"/>
      <c r="AK76" s="973"/>
      <c r="AL76" s="973"/>
      <c r="AM76" s="1149"/>
      <c r="AN76" s="973"/>
      <c r="AO76" s="973"/>
      <c r="AP76" s="973"/>
      <c r="AQ76" s="973"/>
      <c r="AR76" s="973"/>
      <c r="AS76" s="973"/>
      <c r="AT76" s="973"/>
      <c r="AU76" s="1315" t="str">
        <f t="shared" ca="1" si="2"/>
        <v/>
      </c>
      <c r="AV76" s="973"/>
      <c r="AW76" s="973"/>
      <c r="AX76" s="1441"/>
      <c r="AY76" s="973"/>
      <c r="AZ76" s="973"/>
    </row>
    <row r="77" spans="1:52" s="1439" customFormat="1" ht="25.5" hidden="1" customHeight="1" x14ac:dyDescent="0.3">
      <c r="A77" s="1149"/>
      <c r="B77" s="1440"/>
      <c r="C77" s="1149"/>
      <c r="D77" s="973" t="s">
        <v>78</v>
      </c>
      <c r="E77" s="973" t="s">
        <v>78</v>
      </c>
      <c r="F77" s="973"/>
      <c r="G77" s="973"/>
      <c r="H77" s="973"/>
      <c r="I77" s="973"/>
      <c r="J77" s="973"/>
      <c r="K77" s="973"/>
      <c r="L77" s="973"/>
      <c r="M77" s="1315"/>
      <c r="N77" s="1166"/>
      <c r="O77" s="1166" t="s">
        <v>224</v>
      </c>
      <c r="P77" s="1166"/>
      <c r="Q77" s="1166"/>
      <c r="R77" s="1166">
        <f ca="1">IF(AND(Y15&gt;10,Y15&lt;15),'Rates (2)'!K59,IF(AND(Y15&gt;=15,Y15&lt;20),'Rates (2)'!K60,IF(Y15&lt;11,0,'Old MC Working'!I20)))</f>
        <v>0</v>
      </c>
      <c r="S77" s="1166"/>
      <c r="T77" s="1166"/>
      <c r="U77" s="973"/>
      <c r="V77" s="973"/>
      <c r="W77" s="973"/>
      <c r="X77" s="973"/>
      <c r="Y77" s="973"/>
      <c r="Z77" s="973"/>
      <c r="AA77" s="973"/>
      <c r="AB77" s="973"/>
      <c r="AC77" s="973"/>
      <c r="AD77" s="973"/>
      <c r="AE77" s="973"/>
      <c r="AF77" s="973"/>
      <c r="AG77" s="973"/>
      <c r="AH77" s="973"/>
      <c r="AI77" s="973"/>
      <c r="AJ77" s="973"/>
      <c r="AK77" s="973"/>
      <c r="AL77" s="973"/>
      <c r="AM77" s="1149"/>
      <c r="AN77" s="973"/>
      <c r="AO77" s="973"/>
      <c r="AP77" s="973"/>
      <c r="AQ77" s="973"/>
      <c r="AR77" s="973"/>
      <c r="AS77" s="973"/>
      <c r="AT77" s="973"/>
      <c r="AU77" s="1315" t="str">
        <f t="shared" ca="1" si="2"/>
        <v/>
      </c>
      <c r="AV77" s="973"/>
      <c r="AW77" s="973"/>
      <c r="AX77" s="1441"/>
      <c r="AY77" s="973"/>
      <c r="AZ77" s="973"/>
    </row>
    <row r="78" spans="1:52" s="1439" customFormat="1" ht="14.5" hidden="1" thickTop="1" x14ac:dyDescent="0.3">
      <c r="A78" s="1149"/>
      <c r="B78" s="1440"/>
      <c r="C78" s="1149"/>
      <c r="D78" s="973" t="s">
        <v>114</v>
      </c>
      <c r="E78" s="973" t="s">
        <v>114</v>
      </c>
      <c r="F78" s="973"/>
      <c r="G78" s="973"/>
      <c r="H78" s="973"/>
      <c r="I78" s="973"/>
      <c r="J78" s="973"/>
      <c r="K78" s="973"/>
      <c r="L78" s="973"/>
      <c r="M78" s="1315"/>
      <c r="N78" s="1166"/>
      <c r="O78" s="1166" t="s">
        <v>41</v>
      </c>
      <c r="P78" s="1166"/>
      <c r="Q78" s="1166"/>
      <c r="R78" s="1166">
        <f>IF(OR(H9='Administration (2)'!C21,'Old MC Working'!H9='Administration (2)'!C22),'Rates (2)'!K61,0)</f>
        <v>0</v>
      </c>
      <c r="S78" s="1166"/>
      <c r="T78" s="1166"/>
      <c r="U78" s="973"/>
      <c r="V78" s="973"/>
      <c r="W78" s="973"/>
      <c r="X78" s="973"/>
      <c r="Y78" s="973"/>
      <c r="Z78" s="973"/>
      <c r="AA78" s="973"/>
      <c r="AB78" s="973"/>
      <c r="AC78" s="973"/>
      <c r="AD78" s="973"/>
      <c r="AE78" s="973"/>
      <c r="AF78" s="973"/>
      <c r="AG78" s="973"/>
      <c r="AH78" s="973"/>
      <c r="AI78" s="973"/>
      <c r="AJ78" s="973"/>
      <c r="AK78" s="973"/>
      <c r="AL78" s="973"/>
      <c r="AM78" s="1149"/>
      <c r="AN78" s="973"/>
      <c r="AO78" s="973"/>
      <c r="AP78" s="973"/>
      <c r="AQ78" s="973"/>
      <c r="AR78" s="973"/>
      <c r="AS78" s="973"/>
      <c r="AT78" s="973"/>
      <c r="AU78" s="1315" t="str">
        <f t="shared" ca="1" si="2"/>
        <v/>
      </c>
      <c r="AV78" s="973"/>
      <c r="AW78" s="973"/>
      <c r="AX78" s="1441"/>
      <c r="AY78" s="973"/>
      <c r="AZ78" s="973"/>
    </row>
    <row r="79" spans="1:52" s="1439" customFormat="1" ht="14.5" hidden="1" thickTop="1" x14ac:dyDescent="0.3">
      <c r="A79" s="1149"/>
      <c r="B79" s="1440"/>
      <c r="C79" s="1149"/>
      <c r="D79" s="973"/>
      <c r="E79" s="973"/>
      <c r="F79" s="973"/>
      <c r="G79" s="973"/>
      <c r="H79" s="973"/>
      <c r="I79" s="973"/>
      <c r="J79" s="973"/>
      <c r="K79" s="973"/>
      <c r="L79" s="973"/>
      <c r="M79" s="1315"/>
      <c r="N79" s="1166"/>
      <c r="O79" s="1166" t="s">
        <v>42</v>
      </c>
      <c r="P79" s="1166"/>
      <c r="Q79" s="1166"/>
      <c r="R79" s="1166">
        <f>IF(H9="Rent A vehicle",'Rates (2)'!K62,0)</f>
        <v>0</v>
      </c>
      <c r="S79" s="1166"/>
      <c r="T79" s="1166"/>
      <c r="U79" s="973"/>
      <c r="V79" s="973"/>
      <c r="W79" s="973"/>
      <c r="X79" s="973"/>
      <c r="Y79" s="973"/>
      <c r="Z79" s="973"/>
      <c r="AA79" s="973"/>
      <c r="AB79" s="973"/>
      <c r="AC79" s="973"/>
      <c r="AD79" s="973"/>
      <c r="AE79" s="973"/>
      <c r="AF79" s="973"/>
      <c r="AG79" s="973"/>
      <c r="AH79" s="973"/>
      <c r="AI79" s="973"/>
      <c r="AJ79" s="973"/>
      <c r="AK79" s="973"/>
      <c r="AL79" s="973"/>
      <c r="AM79" s="1149"/>
      <c r="AN79" s="973"/>
      <c r="AO79" s="973"/>
      <c r="AP79" s="973"/>
      <c r="AQ79" s="973"/>
      <c r="AR79" s="973"/>
      <c r="AS79" s="973"/>
      <c r="AT79" s="973"/>
      <c r="AU79" s="1315" t="str">
        <f t="shared" ca="1" si="2"/>
        <v/>
      </c>
      <c r="AV79" s="973"/>
      <c r="AW79" s="973"/>
      <c r="AX79" s="1441"/>
      <c r="AY79" s="973"/>
      <c r="AZ79" s="973"/>
    </row>
    <row r="80" spans="1:52" s="1439" customFormat="1" ht="14.5" hidden="1" thickTop="1" x14ac:dyDescent="0.3">
      <c r="A80" s="1149"/>
      <c r="B80" s="1440"/>
      <c r="C80" s="1149"/>
      <c r="D80" s="973" t="s">
        <v>78</v>
      </c>
      <c r="E80" s="973" t="s">
        <v>78</v>
      </c>
      <c r="F80" s="973"/>
      <c r="G80" s="973"/>
      <c r="H80" s="973"/>
      <c r="I80" s="973"/>
      <c r="J80" s="973"/>
      <c r="K80" s="973"/>
      <c r="L80" s="973"/>
      <c r="M80" s="1315"/>
      <c r="N80" s="1166"/>
      <c r="O80" s="1262" t="s">
        <v>277</v>
      </c>
      <c r="P80" s="1166"/>
      <c r="Q80" s="1166"/>
      <c r="R80" s="1443">
        <f ca="1">SUM(R77:R79)</f>
        <v>0</v>
      </c>
      <c r="S80" s="1166"/>
      <c r="T80" s="1166"/>
      <c r="U80" s="973"/>
      <c r="V80" s="973"/>
      <c r="W80" s="973"/>
      <c r="X80" s="973"/>
      <c r="Y80" s="973"/>
      <c r="Z80" s="973"/>
      <c r="AA80" s="973"/>
      <c r="AB80" s="973"/>
      <c r="AC80" s="973"/>
      <c r="AD80" s="973"/>
      <c r="AE80" s="973"/>
      <c r="AF80" s="973"/>
      <c r="AG80" s="973"/>
      <c r="AH80" s="973"/>
      <c r="AI80" s="973"/>
      <c r="AJ80" s="973"/>
      <c r="AK80" s="973"/>
      <c r="AL80" s="973"/>
      <c r="AM80" s="1149"/>
      <c r="AN80" s="973"/>
      <c r="AO80" s="973"/>
      <c r="AP80" s="973"/>
      <c r="AQ80" s="973"/>
      <c r="AR80" s="973"/>
      <c r="AS80" s="973"/>
      <c r="AT80" s="973"/>
      <c r="AU80" s="1315" t="str">
        <f t="shared" ca="1" si="2"/>
        <v/>
      </c>
      <c r="AV80" s="973"/>
      <c r="AW80" s="973"/>
      <c r="AX80" s="1441"/>
      <c r="AY80" s="973"/>
      <c r="AZ80" s="973"/>
    </row>
    <row r="81" spans="1:52" s="1439" customFormat="1" ht="14.5" hidden="1" thickTop="1" x14ac:dyDescent="0.3">
      <c r="A81" s="1149"/>
      <c r="B81" s="1440"/>
      <c r="C81" s="1149"/>
      <c r="D81" s="973" t="s">
        <v>114</v>
      </c>
      <c r="E81" s="973" t="s">
        <v>114</v>
      </c>
      <c r="F81" s="973"/>
      <c r="G81" s="973"/>
      <c r="H81" s="973"/>
      <c r="I81" s="973"/>
      <c r="J81" s="973"/>
      <c r="K81" s="973"/>
      <c r="L81" s="973"/>
      <c r="M81" s="1315"/>
      <c r="N81" s="1166"/>
      <c r="O81" s="1166"/>
      <c r="P81" s="1166"/>
      <c r="Q81" s="1166"/>
      <c r="R81" s="1166"/>
      <c r="S81" s="1166"/>
      <c r="T81" s="1166"/>
      <c r="U81" s="973"/>
      <c r="V81" s="973"/>
      <c r="W81" s="973"/>
      <c r="X81" s="973"/>
      <c r="Y81" s="973"/>
      <c r="Z81" s="973"/>
      <c r="AA81" s="973"/>
      <c r="AB81" s="973"/>
      <c r="AC81" s="973"/>
      <c r="AD81" s="973"/>
      <c r="AE81" s="973"/>
      <c r="AF81" s="973"/>
      <c r="AG81" s="973"/>
      <c r="AH81" s="973"/>
      <c r="AI81" s="973"/>
      <c r="AJ81" s="973"/>
      <c r="AK81" s="973"/>
      <c r="AL81" s="973"/>
      <c r="AM81" s="1149"/>
      <c r="AN81" s="973"/>
      <c r="AO81" s="973"/>
      <c r="AP81" s="973"/>
      <c r="AQ81" s="973"/>
      <c r="AR81" s="973"/>
      <c r="AS81" s="973"/>
      <c r="AT81" s="973"/>
      <c r="AU81" s="1315" t="str">
        <f t="shared" ca="1" si="2"/>
        <v/>
      </c>
      <c r="AV81" s="973"/>
      <c r="AW81" s="973"/>
      <c r="AX81" s="1441"/>
      <c r="AY81" s="973"/>
      <c r="AZ81" s="973"/>
    </row>
    <row r="82" spans="1:52" s="1439" customFormat="1" ht="14.5" hidden="1" thickTop="1" x14ac:dyDescent="0.3">
      <c r="A82" s="1149"/>
      <c r="B82" s="1440"/>
      <c r="C82" s="1149"/>
      <c r="D82" s="973"/>
      <c r="E82" s="973"/>
      <c r="F82" s="973"/>
      <c r="G82" s="973"/>
      <c r="H82" s="973"/>
      <c r="I82" s="973"/>
      <c r="J82" s="973"/>
      <c r="K82" s="973"/>
      <c r="L82" s="973"/>
      <c r="M82" s="1315"/>
      <c r="N82" s="1166"/>
      <c r="O82" s="1166" t="s">
        <v>60</v>
      </c>
      <c r="P82" s="1166"/>
      <c r="Q82" s="1166"/>
      <c r="R82" s="1166">
        <f>IF(M8='Administration (2)'!C13,'Rates (2)'!K66,IF('Old MC Working'!M8='Administration (2)'!C14,'Rates (2)'!K67,0))</f>
        <v>2500</v>
      </c>
      <c r="S82" s="1166"/>
      <c r="T82" s="1166"/>
      <c r="U82" s="973"/>
      <c r="V82" s="973"/>
      <c r="W82" s="973"/>
      <c r="X82" s="973"/>
      <c r="Y82" s="973"/>
      <c r="Z82" s="973"/>
      <c r="AA82" s="973"/>
      <c r="AB82" s="973"/>
      <c r="AC82" s="973"/>
      <c r="AD82" s="973"/>
      <c r="AE82" s="973"/>
      <c r="AF82" s="973"/>
      <c r="AG82" s="973"/>
      <c r="AH82" s="973"/>
      <c r="AI82" s="973"/>
      <c r="AJ82" s="973"/>
      <c r="AK82" s="973"/>
      <c r="AL82" s="973"/>
      <c r="AM82" s="1149"/>
      <c r="AN82" s="973"/>
      <c r="AO82" s="973"/>
      <c r="AP82" s="973"/>
      <c r="AQ82" s="973"/>
      <c r="AR82" s="973"/>
      <c r="AS82" s="973"/>
      <c r="AT82" s="973"/>
      <c r="AU82" s="1315" t="str">
        <f t="shared" ca="1" si="2"/>
        <v/>
      </c>
      <c r="AV82" s="973"/>
      <c r="AW82" s="973"/>
      <c r="AX82" s="1441"/>
      <c r="AY82" s="973"/>
      <c r="AZ82" s="973"/>
    </row>
    <row r="83" spans="1:52" s="1439" customFormat="1" ht="14.5" hidden="1" thickTop="1" x14ac:dyDescent="0.3">
      <c r="A83" s="1149"/>
      <c r="B83" s="1440"/>
      <c r="C83" s="1149"/>
      <c r="D83" s="973"/>
      <c r="E83" s="973"/>
      <c r="F83" s="973"/>
      <c r="G83" s="973"/>
      <c r="H83" s="973"/>
      <c r="I83" s="973"/>
      <c r="J83" s="973"/>
      <c r="K83" s="973"/>
      <c r="L83" s="973"/>
      <c r="M83" s="1315"/>
      <c r="N83" s="1166"/>
      <c r="O83" s="1166" t="s">
        <v>210</v>
      </c>
      <c r="P83" s="1166"/>
      <c r="Q83" s="1166"/>
      <c r="R83" s="1166">
        <f>IF(M8='Administration (2)'!C9,'Rates (2)'!K69,0)</f>
        <v>0</v>
      </c>
      <c r="S83" s="1166"/>
      <c r="T83" s="1166"/>
      <c r="U83" s="973"/>
      <c r="V83" s="973"/>
      <c r="W83" s="973"/>
      <c r="X83" s="973"/>
      <c r="Y83" s="973"/>
      <c r="Z83" s="973"/>
      <c r="AA83" s="973"/>
      <c r="AB83" s="973"/>
      <c r="AC83" s="973"/>
      <c r="AD83" s="973"/>
      <c r="AE83" s="973"/>
      <c r="AF83" s="973"/>
      <c r="AG83" s="973"/>
      <c r="AH83" s="973"/>
      <c r="AI83" s="973"/>
      <c r="AJ83" s="973"/>
      <c r="AK83" s="973"/>
      <c r="AL83" s="973"/>
      <c r="AM83" s="1149"/>
      <c r="AN83" s="973"/>
      <c r="AO83" s="973"/>
      <c r="AP83" s="973"/>
      <c r="AQ83" s="973"/>
      <c r="AR83" s="973"/>
      <c r="AS83" s="973"/>
      <c r="AT83" s="973"/>
      <c r="AU83" s="1315" t="str">
        <f t="shared" ca="1" si="2"/>
        <v/>
      </c>
      <c r="AV83" s="973"/>
      <c r="AW83" s="973"/>
      <c r="AX83" s="1441"/>
      <c r="AY83" s="973"/>
      <c r="AZ83" s="973"/>
    </row>
    <row r="84" spans="1:52" s="1439" customFormat="1" ht="14.5" hidden="1" thickTop="1" x14ac:dyDescent="0.3">
      <c r="A84" s="1149"/>
      <c r="B84" s="1440"/>
      <c r="C84" s="1149"/>
      <c r="D84" s="973"/>
      <c r="E84" s="973"/>
      <c r="F84" s="973"/>
      <c r="G84" s="973"/>
      <c r="H84" s="973"/>
      <c r="I84" s="973"/>
      <c r="J84" s="973"/>
      <c r="K84" s="973"/>
      <c r="L84" s="973"/>
      <c r="M84" s="1315"/>
      <c r="N84" s="1166"/>
      <c r="O84" s="1166" t="s">
        <v>272</v>
      </c>
      <c r="P84" s="1166"/>
      <c r="Q84" s="1166"/>
      <c r="R84" s="1166">
        <f>IF(M8='Administration (2)'!C7,'Rates (2)'!K70,0)</f>
        <v>0</v>
      </c>
      <c r="S84" s="1166"/>
      <c r="T84" s="1166"/>
      <c r="U84" s="973"/>
      <c r="V84" s="973"/>
      <c r="W84" s="973"/>
      <c r="X84" s="973"/>
      <c r="Y84" s="973"/>
      <c r="Z84" s="973"/>
      <c r="AA84" s="973"/>
      <c r="AB84" s="973"/>
      <c r="AC84" s="973"/>
      <c r="AD84" s="973"/>
      <c r="AE84" s="973"/>
      <c r="AF84" s="973"/>
      <c r="AG84" s="973"/>
      <c r="AH84" s="973"/>
      <c r="AI84" s="973"/>
      <c r="AJ84" s="973"/>
      <c r="AK84" s="973"/>
      <c r="AL84" s="973"/>
      <c r="AM84" s="1149"/>
      <c r="AN84" s="973"/>
      <c r="AO84" s="973"/>
      <c r="AP84" s="973"/>
      <c r="AQ84" s="973"/>
      <c r="AR84" s="973"/>
      <c r="AS84" s="973"/>
      <c r="AT84" s="973"/>
      <c r="AU84" s="1315" t="str">
        <f t="shared" ca="1" si="2"/>
        <v/>
      </c>
      <c r="AV84" s="973"/>
      <c r="AW84" s="973"/>
      <c r="AX84" s="1441"/>
      <c r="AY84" s="973"/>
      <c r="AZ84" s="973"/>
    </row>
    <row r="85" spans="1:52" s="1439" customFormat="1" ht="14.5" hidden="1" thickTop="1" x14ac:dyDescent="0.3">
      <c r="A85" s="1149"/>
      <c r="B85" s="1440"/>
      <c r="C85" s="1149"/>
      <c r="D85" s="973"/>
      <c r="E85" s="973"/>
      <c r="F85" s="973"/>
      <c r="G85" s="973"/>
      <c r="H85" s="973"/>
      <c r="I85" s="973"/>
      <c r="J85" s="973"/>
      <c r="K85" s="973"/>
      <c r="L85" s="973"/>
      <c r="M85" s="1315"/>
      <c r="N85" s="1166"/>
      <c r="O85" s="1166" t="s">
        <v>273</v>
      </c>
      <c r="P85" s="1166"/>
      <c r="Q85" s="1166"/>
      <c r="R85" s="1166">
        <f>IF(M8='Administration (2)'!C8,'Rates (2)'!K71,0)</f>
        <v>0</v>
      </c>
      <c r="S85" s="1166"/>
      <c r="T85" s="1166"/>
      <c r="U85" s="973"/>
      <c r="V85" s="973"/>
      <c r="W85" s="973"/>
      <c r="X85" s="973"/>
      <c r="Y85" s="973"/>
      <c r="Z85" s="973"/>
      <c r="AA85" s="973"/>
      <c r="AB85" s="973"/>
      <c r="AC85" s="973"/>
      <c r="AD85" s="973"/>
      <c r="AE85" s="973"/>
      <c r="AF85" s="973"/>
      <c r="AG85" s="973"/>
      <c r="AH85" s="973"/>
      <c r="AI85" s="973"/>
      <c r="AJ85" s="973"/>
      <c r="AK85" s="973"/>
      <c r="AL85" s="973"/>
      <c r="AM85" s="1149"/>
      <c r="AN85" s="973"/>
      <c r="AO85" s="973"/>
      <c r="AP85" s="973"/>
      <c r="AQ85" s="973"/>
      <c r="AR85" s="973"/>
      <c r="AS85" s="973"/>
      <c r="AT85" s="973"/>
      <c r="AU85" s="1315" t="e">
        <f t="shared" ref="AU85:AU105" ca="1" si="3">AU84+1</f>
        <v>#VALUE!</v>
      </c>
      <c r="AV85" s="973"/>
      <c r="AW85" s="973"/>
      <c r="AX85" s="1441"/>
      <c r="AY85" s="973"/>
      <c r="AZ85" s="973"/>
    </row>
    <row r="86" spans="1:52" s="1439" customFormat="1" ht="14.5" hidden="1" thickTop="1" x14ac:dyDescent="0.3">
      <c r="A86" s="1149"/>
      <c r="B86" s="1440"/>
      <c r="C86" s="1149"/>
      <c r="D86" s="973"/>
      <c r="E86" s="973"/>
      <c r="F86" s="973"/>
      <c r="G86" s="973"/>
      <c r="H86" s="973"/>
      <c r="I86" s="973"/>
      <c r="J86" s="973"/>
      <c r="K86" s="973"/>
      <c r="L86" s="973"/>
      <c r="M86" s="1315"/>
      <c r="N86" s="1166"/>
      <c r="O86" s="1166" t="s">
        <v>274</v>
      </c>
      <c r="P86" s="1166"/>
      <c r="Q86" s="1166"/>
      <c r="R86" s="1166">
        <f>IF(M8='Administration (2)'!C16,'Rates (2)'!K72,0)</f>
        <v>0</v>
      </c>
      <c r="S86" s="1166"/>
      <c r="T86" s="1166"/>
      <c r="U86" s="973"/>
      <c r="V86" s="973"/>
      <c r="W86" s="973"/>
      <c r="X86" s="973"/>
      <c r="Y86" s="973"/>
      <c r="Z86" s="973"/>
      <c r="AA86" s="973"/>
      <c r="AB86" s="973"/>
      <c r="AC86" s="973"/>
      <c r="AD86" s="973"/>
      <c r="AE86" s="973"/>
      <c r="AF86" s="973"/>
      <c r="AG86" s="973"/>
      <c r="AH86" s="973"/>
      <c r="AI86" s="973"/>
      <c r="AJ86" s="973"/>
      <c r="AK86" s="973"/>
      <c r="AL86" s="973"/>
      <c r="AM86" s="1149"/>
      <c r="AN86" s="973"/>
      <c r="AO86" s="973"/>
      <c r="AP86" s="973"/>
      <c r="AQ86" s="973"/>
      <c r="AR86" s="973"/>
      <c r="AS86" s="973"/>
      <c r="AT86" s="973"/>
      <c r="AU86" s="1315" t="e">
        <f t="shared" ca="1" si="3"/>
        <v>#VALUE!</v>
      </c>
      <c r="AV86" s="973"/>
      <c r="AW86" s="973"/>
      <c r="AX86" s="1441"/>
      <c r="AY86" s="973"/>
      <c r="AZ86" s="973"/>
    </row>
    <row r="87" spans="1:52" s="1439" customFormat="1" ht="14.5" hidden="1" thickTop="1" x14ac:dyDescent="0.3">
      <c r="A87" s="1149"/>
      <c r="B87" s="1440"/>
      <c r="C87" s="1149"/>
      <c r="D87" s="973"/>
      <c r="E87" s="973"/>
      <c r="F87" s="973"/>
      <c r="G87" s="973"/>
      <c r="H87" s="973"/>
      <c r="I87" s="973"/>
      <c r="J87" s="973"/>
      <c r="K87" s="973"/>
      <c r="L87" s="973"/>
      <c r="M87" s="1315"/>
      <c r="N87" s="1166"/>
      <c r="O87" s="1166" t="s">
        <v>360</v>
      </c>
      <c r="P87" s="1166"/>
      <c r="Q87" s="1166"/>
      <c r="R87" s="1166">
        <f>IF(M8='Administration (2)'!C11,'Rates (2)'!K73,0)</f>
        <v>0</v>
      </c>
      <c r="S87" s="1166"/>
      <c r="T87" s="1166"/>
      <c r="U87" s="973"/>
      <c r="V87" s="973"/>
      <c r="W87" s="973"/>
      <c r="X87" s="973"/>
      <c r="Y87" s="973"/>
      <c r="Z87" s="973"/>
      <c r="AA87" s="973"/>
      <c r="AB87" s="973"/>
      <c r="AC87" s="973"/>
      <c r="AD87" s="973"/>
      <c r="AE87" s="973"/>
      <c r="AF87" s="973"/>
      <c r="AG87" s="973"/>
      <c r="AH87" s="973"/>
      <c r="AI87" s="973"/>
      <c r="AJ87" s="973"/>
      <c r="AK87" s="973"/>
      <c r="AL87" s="973"/>
      <c r="AM87" s="1149"/>
      <c r="AN87" s="973"/>
      <c r="AO87" s="973"/>
      <c r="AP87" s="973"/>
      <c r="AQ87" s="973"/>
      <c r="AR87" s="973"/>
      <c r="AS87" s="973"/>
      <c r="AT87" s="973"/>
      <c r="AU87" s="1315" t="e">
        <f t="shared" ca="1" si="3"/>
        <v>#VALUE!</v>
      </c>
      <c r="AV87" s="973"/>
      <c r="AW87" s="973"/>
      <c r="AX87" s="1441"/>
      <c r="AY87" s="973"/>
      <c r="AZ87" s="973"/>
    </row>
    <row r="88" spans="1:52" s="1439" customFormat="1" ht="14.5" hidden="1" thickTop="1" x14ac:dyDescent="0.3">
      <c r="A88" s="1149"/>
      <c r="B88" s="1440"/>
      <c r="C88" s="1149"/>
      <c r="D88" s="973"/>
      <c r="E88" s="973"/>
      <c r="F88" s="973"/>
      <c r="G88" s="973"/>
      <c r="H88" s="973"/>
      <c r="I88" s="973"/>
      <c r="J88" s="973"/>
      <c r="K88" s="973"/>
      <c r="L88" s="973"/>
      <c r="M88" s="1315"/>
      <c r="N88" s="1166"/>
      <c r="O88" s="1166" t="s">
        <v>211</v>
      </c>
      <c r="P88" s="1166"/>
      <c r="Q88" s="1166"/>
      <c r="R88" s="1166">
        <f>IF(M8='Administration (2)'!C10,'Rates (2)'!K74,0)</f>
        <v>0</v>
      </c>
      <c r="S88" s="1166"/>
      <c r="T88" s="1166"/>
      <c r="U88" s="973"/>
      <c r="V88" s="973"/>
      <c r="W88" s="973"/>
      <c r="X88" s="973"/>
      <c r="Y88" s="973"/>
      <c r="Z88" s="973"/>
      <c r="AA88" s="973"/>
      <c r="AB88" s="973"/>
      <c r="AC88" s="973"/>
      <c r="AD88" s="973"/>
      <c r="AE88" s="973"/>
      <c r="AF88" s="973"/>
      <c r="AG88" s="973"/>
      <c r="AH88" s="973"/>
      <c r="AI88" s="973"/>
      <c r="AJ88" s="973"/>
      <c r="AK88" s="973"/>
      <c r="AL88" s="973"/>
      <c r="AM88" s="1149"/>
      <c r="AN88" s="973"/>
      <c r="AO88" s="973"/>
      <c r="AP88" s="973"/>
      <c r="AQ88" s="973"/>
      <c r="AR88" s="973"/>
      <c r="AS88" s="973"/>
      <c r="AT88" s="973"/>
      <c r="AU88" s="1315" t="e">
        <f t="shared" ca="1" si="3"/>
        <v>#VALUE!</v>
      </c>
      <c r="AV88" s="973"/>
      <c r="AW88" s="973"/>
      <c r="AX88" s="1441"/>
      <c r="AY88" s="973"/>
      <c r="AZ88" s="973"/>
    </row>
    <row r="89" spans="1:52" s="1439" customFormat="1" ht="14.5" hidden="1" thickTop="1" x14ac:dyDescent="0.3">
      <c r="A89" s="1149"/>
      <c r="B89" s="1440"/>
      <c r="C89" s="1149"/>
      <c r="D89" s="973"/>
      <c r="E89" s="973"/>
      <c r="F89" s="973"/>
      <c r="G89" s="973"/>
      <c r="H89" s="973"/>
      <c r="I89" s="973"/>
      <c r="J89" s="973"/>
      <c r="K89" s="973"/>
      <c r="L89" s="973"/>
      <c r="M89" s="1315"/>
      <c r="N89" s="1166"/>
      <c r="O89" s="1166" t="s">
        <v>215</v>
      </c>
      <c r="P89" s="1166"/>
      <c r="Q89" s="1166"/>
      <c r="R89" s="1166">
        <f>IF(M8='Administration (2)'!C15,'Rates (2)'!K75,0)</f>
        <v>0</v>
      </c>
      <c r="S89" s="1166"/>
      <c r="T89" s="1166"/>
      <c r="U89" s="973"/>
      <c r="V89" s="973"/>
      <c r="W89" s="973"/>
      <c r="X89" s="973"/>
      <c r="Y89" s="973"/>
      <c r="Z89" s="973"/>
      <c r="AA89" s="973"/>
      <c r="AB89" s="973"/>
      <c r="AC89" s="973"/>
      <c r="AD89" s="973"/>
      <c r="AE89" s="973"/>
      <c r="AF89" s="973"/>
      <c r="AG89" s="973"/>
      <c r="AH89" s="973"/>
      <c r="AI89" s="973"/>
      <c r="AJ89" s="973"/>
      <c r="AK89" s="973"/>
      <c r="AL89" s="973"/>
      <c r="AM89" s="1149"/>
      <c r="AN89" s="973"/>
      <c r="AO89" s="973"/>
      <c r="AP89" s="973"/>
      <c r="AQ89" s="973"/>
      <c r="AR89" s="973"/>
      <c r="AS89" s="973"/>
      <c r="AT89" s="973"/>
      <c r="AU89" s="1315" t="e">
        <f t="shared" ca="1" si="3"/>
        <v>#VALUE!</v>
      </c>
      <c r="AV89" s="973"/>
      <c r="AW89" s="973"/>
      <c r="AX89" s="1441"/>
      <c r="AY89" s="973"/>
      <c r="AZ89" s="973"/>
    </row>
    <row r="90" spans="1:52" s="1439" customFormat="1" ht="14.5" hidden="1" thickTop="1" x14ac:dyDescent="0.3">
      <c r="A90" s="973"/>
      <c r="B90" s="1444"/>
      <c r="C90" s="1149"/>
      <c r="D90" s="973"/>
      <c r="E90" s="973"/>
      <c r="F90" s="973"/>
      <c r="G90" s="973"/>
      <c r="H90" s="973"/>
      <c r="I90" s="973"/>
      <c r="J90" s="973"/>
      <c r="K90" s="973"/>
      <c r="L90" s="973"/>
      <c r="M90" s="1315"/>
      <c r="N90" s="1166"/>
      <c r="O90" s="1166" t="s">
        <v>212</v>
      </c>
      <c r="P90" s="1166"/>
      <c r="Q90" s="1166"/>
      <c r="R90" s="1166">
        <f>IF(M8='Administration (2)'!C12,'Rates (2)'!K76,0)</f>
        <v>0</v>
      </c>
      <c r="S90" s="1166"/>
      <c r="T90" s="1166"/>
      <c r="U90" s="973"/>
      <c r="V90" s="973"/>
      <c r="W90" s="973"/>
      <c r="X90" s="973"/>
      <c r="Y90" s="973"/>
      <c r="Z90" s="973"/>
      <c r="AA90" s="973"/>
      <c r="AB90" s="973"/>
      <c r="AC90" s="973"/>
      <c r="AD90" s="973"/>
      <c r="AE90" s="973"/>
      <c r="AF90" s="973"/>
      <c r="AG90" s="973"/>
      <c r="AH90" s="973"/>
      <c r="AI90" s="973"/>
      <c r="AJ90" s="973"/>
      <c r="AK90" s="973"/>
      <c r="AL90" s="973"/>
      <c r="AM90" s="1149"/>
      <c r="AN90" s="973"/>
      <c r="AO90" s="973"/>
      <c r="AP90" s="973"/>
      <c r="AQ90" s="973"/>
      <c r="AR90" s="973"/>
      <c r="AS90" s="973"/>
      <c r="AT90" s="973"/>
      <c r="AU90" s="1315" t="e">
        <f t="shared" ca="1" si="3"/>
        <v>#VALUE!</v>
      </c>
      <c r="AV90" s="973"/>
      <c r="AW90" s="973"/>
      <c r="AX90" s="1441"/>
      <c r="AY90" s="973"/>
      <c r="AZ90" s="973"/>
    </row>
    <row r="91" spans="1:52" s="1439" customFormat="1" ht="14.5" hidden="1" thickTop="1" x14ac:dyDescent="0.3">
      <c r="A91" s="973"/>
      <c r="B91" s="1444"/>
      <c r="C91" s="1149"/>
      <c r="D91" s="973"/>
      <c r="E91" s="973"/>
      <c r="F91" s="973"/>
      <c r="G91" s="973"/>
      <c r="H91" s="973"/>
      <c r="I91" s="973"/>
      <c r="J91" s="973"/>
      <c r="K91" s="973"/>
      <c r="L91" s="973"/>
      <c r="M91" s="1315"/>
      <c r="N91" s="1166"/>
      <c r="O91" s="1262" t="s">
        <v>268</v>
      </c>
      <c r="P91" s="1166"/>
      <c r="Q91" s="1166"/>
      <c r="R91" s="1445">
        <f ca="1">R80+SUM(R82:R90)+R95</f>
        <v>2500</v>
      </c>
      <c r="S91" s="1166"/>
      <c r="T91" s="1166"/>
      <c r="U91" s="973"/>
      <c r="V91" s="973"/>
      <c r="W91" s="973"/>
      <c r="X91" s="973"/>
      <c r="Y91" s="973"/>
      <c r="Z91" s="973"/>
      <c r="AA91" s="973"/>
      <c r="AB91" s="973"/>
      <c r="AC91" s="973"/>
      <c r="AD91" s="973"/>
      <c r="AE91" s="973"/>
      <c r="AF91" s="973"/>
      <c r="AG91" s="973"/>
      <c r="AH91" s="973"/>
      <c r="AI91" s="973"/>
      <c r="AJ91" s="973"/>
      <c r="AK91" s="973"/>
      <c r="AL91" s="973"/>
      <c r="AM91" s="1149"/>
      <c r="AN91" s="973"/>
      <c r="AO91" s="973"/>
      <c r="AP91" s="973"/>
      <c r="AQ91" s="973"/>
      <c r="AR91" s="973"/>
      <c r="AS91" s="973"/>
      <c r="AT91" s="973"/>
      <c r="AU91" s="1315" t="e">
        <f t="shared" ca="1" si="3"/>
        <v>#VALUE!</v>
      </c>
      <c r="AV91" s="973"/>
      <c r="AW91" s="973"/>
      <c r="AX91" s="1441"/>
      <c r="AY91" s="973"/>
      <c r="AZ91" s="973"/>
    </row>
    <row r="92" spans="1:52" s="1439" customFormat="1" ht="14.5" hidden="1" thickTop="1" x14ac:dyDescent="0.3">
      <c r="A92" s="973"/>
      <c r="B92" s="1444"/>
      <c r="C92" s="1149"/>
      <c r="D92" s="973"/>
      <c r="E92" s="973"/>
      <c r="F92" s="973"/>
      <c r="G92" s="973"/>
      <c r="H92" s="973"/>
      <c r="I92" s="973"/>
      <c r="J92" s="973"/>
      <c r="K92" s="973"/>
      <c r="L92" s="973"/>
      <c r="M92" s="1315"/>
      <c r="N92" s="1166"/>
      <c r="O92" s="1166"/>
      <c r="P92" s="1166"/>
      <c r="Q92" s="1166"/>
      <c r="R92" s="1166">
        <f ca="1">IF(AND(I18&gt;R91,I18&lt;H15/2),I18,R91)</f>
        <v>2500</v>
      </c>
      <c r="S92" s="1166"/>
      <c r="T92" s="1166"/>
      <c r="U92" s="973"/>
      <c r="V92" s="973"/>
      <c r="W92" s="973"/>
      <c r="X92" s="973"/>
      <c r="Y92" s="973"/>
      <c r="Z92" s="973"/>
      <c r="AA92" s="973"/>
      <c r="AB92" s="973"/>
      <c r="AC92" s="973"/>
      <c r="AD92" s="973"/>
      <c r="AE92" s="973"/>
      <c r="AF92" s="973"/>
      <c r="AG92" s="973"/>
      <c r="AH92" s="973"/>
      <c r="AI92" s="973"/>
      <c r="AJ92" s="973"/>
      <c r="AK92" s="973"/>
      <c r="AL92" s="973"/>
      <c r="AM92" s="1149"/>
      <c r="AN92" s="973"/>
      <c r="AO92" s="973"/>
      <c r="AP92" s="973"/>
      <c r="AQ92" s="973"/>
      <c r="AR92" s="973"/>
      <c r="AS92" s="973"/>
      <c r="AT92" s="973"/>
      <c r="AU92" s="973" t="e">
        <f t="shared" ca="1" si="3"/>
        <v>#VALUE!</v>
      </c>
      <c r="AV92" s="973"/>
      <c r="AW92" s="973"/>
      <c r="AX92" s="1441"/>
      <c r="AY92" s="973"/>
      <c r="AZ92" s="973"/>
    </row>
    <row r="93" spans="1:52" s="1439" customFormat="1" ht="14.5" hidden="1" thickTop="1" x14ac:dyDescent="0.3">
      <c r="A93" s="973"/>
      <c r="B93" s="1444"/>
      <c r="D93" s="973"/>
      <c r="E93" s="973"/>
      <c r="F93" s="1286" t="s">
        <v>395</v>
      </c>
      <c r="G93" s="973"/>
      <c r="H93" s="973"/>
      <c r="I93" s="973"/>
      <c r="J93" s="973"/>
      <c r="K93" s="973"/>
      <c r="L93" s="973"/>
      <c r="M93" s="1315"/>
      <c r="N93" s="1166"/>
      <c r="O93" s="1166"/>
      <c r="P93" s="1166"/>
      <c r="Q93" s="1166"/>
      <c r="R93" s="1166"/>
      <c r="S93" s="1166"/>
      <c r="T93" s="1166"/>
      <c r="U93" s="973"/>
      <c r="V93" s="973"/>
      <c r="W93" s="973"/>
      <c r="X93" s="973"/>
      <c r="Y93" s="973"/>
      <c r="Z93" s="973"/>
      <c r="AA93" s="973"/>
      <c r="AB93" s="973"/>
      <c r="AC93" s="973"/>
      <c r="AD93" s="973"/>
      <c r="AE93" s="973"/>
      <c r="AF93" s="973"/>
      <c r="AG93" s="973"/>
      <c r="AH93" s="973"/>
      <c r="AI93" s="973"/>
      <c r="AJ93" s="973"/>
      <c r="AK93" s="973"/>
      <c r="AL93" s="973"/>
      <c r="AM93" s="1149"/>
      <c r="AN93" s="973"/>
      <c r="AO93" s="973"/>
      <c r="AP93" s="973"/>
      <c r="AQ93" s="973"/>
      <c r="AR93" s="973"/>
      <c r="AS93" s="973"/>
      <c r="AT93" s="973"/>
      <c r="AU93" s="973" t="e">
        <f t="shared" ca="1" si="3"/>
        <v>#VALUE!</v>
      </c>
      <c r="AV93" s="973"/>
      <c r="AW93" s="973"/>
      <c r="AX93" s="1441"/>
      <c r="AY93" s="973"/>
      <c r="AZ93" s="973"/>
    </row>
    <row r="94" spans="1:52" s="1439" customFormat="1" ht="20.149999999999999" hidden="1" customHeight="1" x14ac:dyDescent="0.3">
      <c r="A94" s="973"/>
      <c r="B94" s="1444"/>
      <c r="D94" s="973"/>
      <c r="E94" s="973"/>
      <c r="F94" s="1446" t="str">
        <f>'Administration (2)'!J6</f>
        <v>Abans Finance PLC</v>
      </c>
      <c r="G94" s="973"/>
      <c r="H94" s="973"/>
      <c r="I94" s="973"/>
      <c r="J94" s="973"/>
      <c r="K94" s="973"/>
      <c r="L94" s="1149"/>
      <c r="M94" s="1447" t="s">
        <v>234</v>
      </c>
      <c r="N94" s="1166" t="s">
        <v>269</v>
      </c>
      <c r="O94" s="1166"/>
      <c r="P94" s="1166"/>
      <c r="Q94" s="1166"/>
      <c r="R94" s="1798" t="str">
        <f>IF(X43&gt;0,MAX(H30*'Rates (2)'!K68%,'Rates (2)'!L68),"")</f>
        <v/>
      </c>
      <c r="S94" s="1798"/>
      <c r="T94" s="1798"/>
      <c r="U94" s="973"/>
      <c r="V94" s="973"/>
      <c r="W94" s="973"/>
      <c r="X94" s="973"/>
      <c r="Y94" s="973"/>
      <c r="Z94" s="973"/>
      <c r="AA94" s="973"/>
      <c r="AB94" s="973"/>
      <c r="AC94" s="973"/>
      <c r="AD94" s="973"/>
      <c r="AE94" s="973"/>
      <c r="AF94" s="973"/>
      <c r="AG94" s="973"/>
      <c r="AH94" s="973"/>
      <c r="AI94" s="973"/>
      <c r="AJ94" s="973"/>
      <c r="AK94" s="973"/>
      <c r="AL94" s="973"/>
      <c r="AM94" s="1149"/>
      <c r="AN94" s="973"/>
      <c r="AO94" s="973"/>
      <c r="AP94" s="973"/>
      <c r="AQ94" s="973"/>
      <c r="AR94" s="973"/>
      <c r="AS94" s="973"/>
      <c r="AT94" s="973"/>
      <c r="AU94" s="973" t="e">
        <f t="shared" ca="1" si="3"/>
        <v>#VALUE!</v>
      </c>
      <c r="AV94" s="973"/>
      <c r="AW94" s="973"/>
      <c r="AX94" s="1441"/>
      <c r="AY94" s="973"/>
      <c r="AZ94" s="973"/>
    </row>
    <row r="95" spans="1:52" s="1439" customFormat="1" ht="20.149999999999999" hidden="1" customHeight="1" x14ac:dyDescent="0.3">
      <c r="A95" s="973"/>
      <c r="B95" s="1444"/>
      <c r="D95" s="973"/>
      <c r="E95" s="973"/>
      <c r="F95" s="1446" t="str">
        <f>'Administration (2)'!J7</f>
        <v>Alliance Finance Co. PLC</v>
      </c>
      <c r="G95" s="973"/>
      <c r="H95" s="973"/>
      <c r="I95" s="973"/>
      <c r="J95" s="973"/>
      <c r="K95" s="973"/>
      <c r="L95" s="1149"/>
      <c r="M95" s="1315"/>
      <c r="N95" s="1166"/>
      <c r="O95" s="1166" t="s">
        <v>227</v>
      </c>
      <c r="P95" s="1166"/>
      <c r="Q95" s="1166"/>
      <c r="R95" s="1448">
        <f>I22</f>
        <v>0</v>
      </c>
      <c r="S95" s="1166"/>
      <c r="T95" s="1166"/>
      <c r="U95" s="973"/>
      <c r="V95" s="973"/>
      <c r="W95" s="973"/>
      <c r="X95" s="973"/>
      <c r="Y95" s="973"/>
      <c r="Z95" s="973"/>
      <c r="AA95" s="973"/>
      <c r="AB95" s="973"/>
      <c r="AC95" s="973"/>
      <c r="AD95" s="973"/>
      <c r="AE95" s="973"/>
      <c r="AF95" s="973"/>
      <c r="AG95" s="973"/>
      <c r="AH95" s="973"/>
      <c r="AI95" s="973"/>
      <c r="AJ95" s="973"/>
      <c r="AK95" s="973"/>
      <c r="AL95" s="973"/>
      <c r="AM95" s="1149"/>
      <c r="AN95" s="973"/>
      <c r="AO95" s="973"/>
      <c r="AP95" s="973"/>
      <c r="AQ95" s="973"/>
      <c r="AR95" s="973"/>
      <c r="AS95" s="973"/>
      <c r="AT95" s="973"/>
      <c r="AU95" s="973" t="e">
        <f t="shared" ca="1" si="3"/>
        <v>#VALUE!</v>
      </c>
      <c r="AV95" s="973"/>
      <c r="AW95" s="973"/>
      <c r="AX95" s="1441"/>
      <c r="AY95" s="973"/>
      <c r="AZ95" s="973"/>
    </row>
    <row r="96" spans="1:52" s="1439" customFormat="1" ht="20.149999999999999" hidden="1" customHeight="1" x14ac:dyDescent="0.3">
      <c r="A96" s="973"/>
      <c r="B96" s="1444"/>
      <c r="D96" s="973"/>
      <c r="E96" s="973"/>
      <c r="F96" s="1446" t="str">
        <f>'Administration (2)'!J8</f>
        <v>Asia Asset Finance Ltd</v>
      </c>
      <c r="G96" s="973"/>
      <c r="H96" s="973"/>
      <c r="I96" s="973"/>
      <c r="J96" s="973"/>
      <c r="K96" s="973"/>
      <c r="L96" s="973"/>
      <c r="M96" s="973"/>
      <c r="N96" s="973"/>
      <c r="O96" s="973" t="s">
        <v>225</v>
      </c>
      <c r="P96" s="1149"/>
      <c r="Q96" s="973"/>
      <c r="R96" s="973">
        <f ca="1">IF(OR(C39=1,M39&gt;0),'Rates (2)'!K63,0)</f>
        <v>0</v>
      </c>
      <c r="S96" s="973"/>
      <c r="T96" s="973"/>
      <c r="U96" s="973"/>
      <c r="V96" s="973"/>
      <c r="W96" s="973"/>
      <c r="X96" s="973"/>
      <c r="Y96" s="973"/>
      <c r="Z96" s="973"/>
      <c r="AA96" s="973"/>
      <c r="AB96" s="973"/>
      <c r="AC96" s="973"/>
      <c r="AD96" s="973"/>
      <c r="AE96" s="973"/>
      <c r="AF96" s="973"/>
      <c r="AG96" s="973"/>
      <c r="AH96" s="973"/>
      <c r="AI96" s="973"/>
      <c r="AJ96" s="973"/>
      <c r="AK96" s="973"/>
      <c r="AL96" s="973"/>
      <c r="AM96" s="1149"/>
      <c r="AN96" s="973"/>
      <c r="AO96" s="973"/>
      <c r="AP96" s="973"/>
      <c r="AQ96" s="973"/>
      <c r="AR96" s="973"/>
      <c r="AS96" s="973"/>
      <c r="AT96" s="973"/>
      <c r="AU96" s="973" t="e">
        <f t="shared" ca="1" si="3"/>
        <v>#VALUE!</v>
      </c>
      <c r="AV96" s="973"/>
      <c r="AW96" s="973"/>
      <c r="AX96" s="1441"/>
      <c r="AY96" s="973"/>
      <c r="AZ96" s="973"/>
    </row>
    <row r="97" spans="1:52" s="1439" customFormat="1" ht="20.149999999999999" hidden="1" customHeight="1" x14ac:dyDescent="0.3">
      <c r="A97" s="973"/>
      <c r="B97" s="1444"/>
      <c r="D97" s="973"/>
      <c r="E97" s="973"/>
      <c r="F97" s="1446" t="str">
        <f>'Administration (2)'!J9</f>
        <v>Assetline Leasing Co Ltd</v>
      </c>
      <c r="G97" s="973"/>
      <c r="H97" s="973"/>
      <c r="I97" s="973"/>
      <c r="J97" s="973"/>
      <c r="K97" s="973"/>
      <c r="L97" s="973"/>
      <c r="M97" s="973"/>
      <c r="N97" s="973"/>
      <c r="O97" s="973" t="s">
        <v>226</v>
      </c>
      <c r="P97" s="1149"/>
      <c r="Q97" s="973"/>
      <c r="R97" s="973">
        <f>IF(OR(H54&gt;0,M54&gt;0),'Rates (2)'!K64,0)</f>
        <v>0</v>
      </c>
      <c r="S97" s="973"/>
      <c r="T97" s="973"/>
      <c r="U97" s="973"/>
      <c r="V97" s="973"/>
      <c r="W97" s="973"/>
      <c r="X97" s="973"/>
      <c r="Y97" s="973"/>
      <c r="Z97" s="973"/>
      <c r="AA97" s="973"/>
      <c r="AB97" s="973"/>
      <c r="AC97" s="973"/>
      <c r="AD97" s="973"/>
      <c r="AE97" s="973"/>
      <c r="AF97" s="973"/>
      <c r="AG97" s="973"/>
      <c r="AH97" s="973"/>
      <c r="AI97" s="973"/>
      <c r="AJ97" s="973"/>
      <c r="AK97" s="973"/>
      <c r="AL97" s="973"/>
      <c r="AM97" s="1149"/>
      <c r="AN97" s="973"/>
      <c r="AO97" s="973"/>
      <c r="AP97" s="973"/>
      <c r="AQ97" s="973"/>
      <c r="AR97" s="973"/>
      <c r="AS97" s="973"/>
      <c r="AT97" s="973"/>
      <c r="AU97" s="973" t="e">
        <f t="shared" ca="1" si="3"/>
        <v>#VALUE!</v>
      </c>
      <c r="AV97" s="973"/>
      <c r="AW97" s="973"/>
      <c r="AX97" s="1441"/>
      <c r="AY97" s="973"/>
      <c r="AZ97" s="973"/>
    </row>
    <row r="98" spans="1:52" s="1439" customFormat="1" ht="20.149999999999999" hidden="1" customHeight="1" x14ac:dyDescent="0.3">
      <c r="A98" s="973"/>
      <c r="B98" s="1444"/>
      <c r="D98" s="973"/>
      <c r="E98" s="973"/>
      <c r="F98" s="1446" t="str">
        <f>'Administration (2)'!J10</f>
        <v>Arpico Finance PLC</v>
      </c>
      <c r="G98" s="973"/>
      <c r="H98" s="973"/>
      <c r="I98" s="973"/>
      <c r="J98" s="973"/>
      <c r="K98" s="973"/>
      <c r="L98" s="973"/>
      <c r="M98" s="973"/>
      <c r="N98" s="973"/>
      <c r="O98" s="973" t="s">
        <v>228</v>
      </c>
      <c r="P98" s="1149"/>
      <c r="Q98" s="973"/>
      <c r="R98" s="973">
        <f ca="1">IF(OR(U57=1,M46&gt;0),'Rates (2)'!K65,0)</f>
        <v>0</v>
      </c>
      <c r="S98" s="973"/>
      <c r="T98" s="973"/>
      <c r="U98" s="973"/>
      <c r="V98" s="973"/>
      <c r="W98" s="973"/>
      <c r="X98" s="973"/>
      <c r="Y98" s="973"/>
      <c r="Z98" s="973"/>
      <c r="AA98" s="973"/>
      <c r="AB98" s="973"/>
      <c r="AC98" s="973"/>
      <c r="AD98" s="973"/>
      <c r="AE98" s="973"/>
      <c r="AF98" s="973"/>
      <c r="AG98" s="973"/>
      <c r="AH98" s="973"/>
      <c r="AI98" s="973"/>
      <c r="AJ98" s="973"/>
      <c r="AK98" s="973"/>
      <c r="AL98" s="973"/>
      <c r="AM98" s="1149"/>
      <c r="AN98" s="973"/>
      <c r="AO98" s="973"/>
      <c r="AP98" s="973"/>
      <c r="AQ98" s="973"/>
      <c r="AR98" s="973"/>
      <c r="AS98" s="973"/>
      <c r="AT98" s="973"/>
      <c r="AU98" s="973" t="e">
        <f t="shared" ca="1" si="3"/>
        <v>#VALUE!</v>
      </c>
      <c r="AV98" s="973"/>
      <c r="AW98" s="973"/>
      <c r="AX98" s="1441"/>
      <c r="AY98" s="973"/>
      <c r="AZ98" s="973"/>
    </row>
    <row r="99" spans="1:52" s="1439" customFormat="1" ht="20.149999999999999" hidden="1" customHeight="1" x14ac:dyDescent="0.3">
      <c r="A99" s="973"/>
      <c r="B99" s="1444"/>
      <c r="D99" s="973"/>
      <c r="E99" s="973"/>
      <c r="F99" s="1446" t="str">
        <f>'Administration (2)'!J11</f>
        <v>Bank of Ceylon</v>
      </c>
      <c r="G99" s="973"/>
      <c r="H99" s="973"/>
      <c r="I99" s="973"/>
      <c r="J99" s="973"/>
      <c r="K99" s="973"/>
      <c r="L99" s="973"/>
      <c r="M99" s="973"/>
      <c r="N99" s="973"/>
      <c r="O99" s="973"/>
      <c r="P99" s="1149"/>
      <c r="Q99" s="973"/>
      <c r="R99" s="973"/>
      <c r="S99" s="973"/>
      <c r="T99" s="973"/>
      <c r="U99" s="973"/>
      <c r="V99" s="973"/>
      <c r="W99" s="973"/>
      <c r="X99" s="973"/>
      <c r="Y99" s="973"/>
      <c r="Z99" s="973"/>
      <c r="AA99" s="973"/>
      <c r="AB99" s="973"/>
      <c r="AC99" s="973"/>
      <c r="AD99" s="973"/>
      <c r="AE99" s="973"/>
      <c r="AF99" s="973"/>
      <c r="AG99" s="973"/>
      <c r="AH99" s="973"/>
      <c r="AI99" s="973"/>
      <c r="AJ99" s="973"/>
      <c r="AK99" s="973"/>
      <c r="AL99" s="973"/>
      <c r="AM99" s="1149"/>
      <c r="AN99" s="973"/>
      <c r="AO99" s="973"/>
      <c r="AP99" s="973"/>
      <c r="AQ99" s="973"/>
      <c r="AR99" s="973"/>
      <c r="AS99" s="973"/>
      <c r="AT99" s="973"/>
      <c r="AU99" s="973" t="e">
        <f t="shared" ca="1" si="3"/>
        <v>#VALUE!</v>
      </c>
      <c r="AV99" s="973"/>
      <c r="AW99" s="973"/>
      <c r="AX99" s="1441"/>
      <c r="AY99" s="973"/>
      <c r="AZ99" s="973"/>
    </row>
    <row r="100" spans="1:52" s="1439" customFormat="1" ht="20.149999999999999" hidden="1" customHeight="1" x14ac:dyDescent="0.3">
      <c r="A100" s="973"/>
      <c r="B100" s="1444"/>
      <c r="D100" s="973"/>
      <c r="E100" s="973"/>
      <c r="F100" s="1446" t="str">
        <f>'Administration (2)'!J12</f>
        <v>Citizens Development Business Finance PLC</v>
      </c>
      <c r="G100" s="973"/>
      <c r="H100" s="973"/>
      <c r="I100" s="973"/>
      <c r="J100" s="973"/>
      <c r="K100" s="973"/>
      <c r="L100" s="973"/>
      <c r="M100" s="973"/>
      <c r="N100" s="973"/>
      <c r="O100" s="973"/>
      <c r="P100" s="1149"/>
      <c r="Q100" s="973"/>
      <c r="R100" s="973"/>
      <c r="S100" s="973"/>
      <c r="T100" s="973"/>
      <c r="U100" s="973"/>
      <c r="V100" s="973"/>
      <c r="W100" s="973"/>
      <c r="X100" s="973"/>
      <c r="Y100" s="973"/>
      <c r="Z100" s="973"/>
      <c r="AA100" s="973"/>
      <c r="AB100" s="973"/>
      <c r="AC100" s="973"/>
      <c r="AD100" s="973"/>
      <c r="AE100" s="973"/>
      <c r="AF100" s="973"/>
      <c r="AG100" s="973"/>
      <c r="AH100" s="973"/>
      <c r="AI100" s="973"/>
      <c r="AJ100" s="973"/>
      <c r="AK100" s="973"/>
      <c r="AL100" s="973"/>
      <c r="AM100" s="1149"/>
      <c r="AN100" s="973"/>
      <c r="AO100" s="973"/>
      <c r="AP100" s="973"/>
      <c r="AQ100" s="973"/>
      <c r="AR100" s="973"/>
      <c r="AS100" s="973"/>
      <c r="AT100" s="973"/>
      <c r="AU100" s="973" t="e">
        <f t="shared" ca="1" si="3"/>
        <v>#VALUE!</v>
      </c>
      <c r="AV100" s="973"/>
      <c r="AW100" s="973"/>
      <c r="AX100" s="1441"/>
      <c r="AY100" s="973"/>
      <c r="AZ100" s="973"/>
    </row>
    <row r="101" spans="1:52" s="1439" customFormat="1" ht="20.149999999999999" hidden="1" customHeight="1" x14ac:dyDescent="0.3">
      <c r="A101" s="973"/>
      <c r="B101" s="1444"/>
      <c r="D101" s="974"/>
      <c r="E101" s="974"/>
      <c r="F101" s="1446" t="str">
        <f>'Administration (2)'!J13</f>
        <v>Commercial Credit PLC</v>
      </c>
      <c r="G101" s="974"/>
      <c r="H101" s="974"/>
      <c r="I101" s="974"/>
      <c r="J101" s="974"/>
      <c r="K101" s="973"/>
      <c r="L101" s="973"/>
      <c r="M101" s="973"/>
      <c r="N101" s="973"/>
      <c r="O101" s="973"/>
      <c r="P101" s="1149"/>
      <c r="Q101" s="973"/>
      <c r="R101" s="973"/>
      <c r="S101" s="973"/>
      <c r="T101" s="973"/>
      <c r="U101" s="973"/>
      <c r="V101" s="973"/>
      <c r="W101" s="973"/>
      <c r="X101" s="973"/>
      <c r="Y101" s="973"/>
      <c r="Z101" s="973"/>
      <c r="AA101" s="973"/>
      <c r="AB101" s="973"/>
      <c r="AC101" s="973"/>
      <c r="AD101" s="973"/>
      <c r="AE101" s="973"/>
      <c r="AF101" s="973"/>
      <c r="AG101" s="973"/>
      <c r="AH101" s="973"/>
      <c r="AI101" s="973"/>
      <c r="AJ101" s="973"/>
      <c r="AK101" s="973"/>
      <c r="AL101" s="973"/>
      <c r="AM101" s="1149"/>
      <c r="AN101" s="973"/>
      <c r="AO101" s="973"/>
      <c r="AP101" s="973"/>
      <c r="AQ101" s="973"/>
      <c r="AR101" s="973"/>
      <c r="AS101" s="973"/>
      <c r="AT101" s="973"/>
      <c r="AU101" s="973" t="e">
        <f t="shared" ca="1" si="3"/>
        <v>#VALUE!</v>
      </c>
      <c r="AV101" s="973"/>
      <c r="AW101" s="973"/>
      <c r="AX101" s="1441"/>
      <c r="AY101" s="973"/>
      <c r="AZ101" s="973"/>
    </row>
    <row r="102" spans="1:52" s="1439" customFormat="1" ht="20.149999999999999" hidden="1" customHeight="1" x14ac:dyDescent="0.3">
      <c r="A102" s="973"/>
      <c r="B102" s="1444"/>
      <c r="D102" s="974"/>
      <c r="E102" s="974"/>
      <c r="F102" s="1446" t="str">
        <f>'Administration (2)'!J14</f>
        <v>Commercial Trust Investment (Pvt) Ltd.</v>
      </c>
      <c r="G102" s="974"/>
      <c r="H102" s="974"/>
      <c r="I102" s="974"/>
      <c r="J102" s="974"/>
      <c r="K102" s="974"/>
      <c r="L102" s="974"/>
      <c r="M102" s="1149"/>
      <c r="N102" s="973"/>
      <c r="O102" s="973"/>
      <c r="P102" s="1149"/>
      <c r="Q102" s="973"/>
      <c r="R102" s="973"/>
      <c r="S102" s="973"/>
      <c r="T102" s="973"/>
      <c r="U102" s="973"/>
      <c r="V102" s="973"/>
      <c r="W102" s="973"/>
      <c r="X102" s="973"/>
      <c r="Y102" s="973"/>
      <c r="Z102" s="973"/>
      <c r="AA102" s="973"/>
      <c r="AB102" s="973"/>
      <c r="AC102" s="973"/>
      <c r="AD102" s="973"/>
      <c r="AE102" s="973"/>
      <c r="AF102" s="973"/>
      <c r="AG102" s="973"/>
      <c r="AH102" s="973"/>
      <c r="AI102" s="973"/>
      <c r="AJ102" s="973"/>
      <c r="AK102" s="973"/>
      <c r="AL102" s="973"/>
      <c r="AM102" s="1149"/>
      <c r="AN102" s="973"/>
      <c r="AO102" s="973"/>
      <c r="AP102" s="973"/>
      <c r="AQ102" s="973"/>
      <c r="AR102" s="973"/>
      <c r="AS102" s="973"/>
      <c r="AT102" s="973"/>
      <c r="AU102" s="973" t="e">
        <f t="shared" ca="1" si="3"/>
        <v>#VALUE!</v>
      </c>
      <c r="AV102" s="973"/>
      <c r="AW102" s="973"/>
      <c r="AX102" s="1441"/>
      <c r="AY102" s="973"/>
      <c r="AZ102" s="973"/>
    </row>
    <row r="103" spans="1:52" s="1439" customFormat="1" ht="20.149999999999999" hidden="1" customHeight="1" x14ac:dyDescent="0.3">
      <c r="A103" s="973"/>
      <c r="B103" s="1444"/>
      <c r="D103" s="974"/>
      <c r="E103" s="974"/>
      <c r="F103" s="1446" t="str">
        <f>'Administration (2)'!J15</f>
        <v>David Pieris Leasing</v>
      </c>
      <c r="G103" s="974"/>
      <c r="H103" s="974"/>
      <c r="I103" s="974"/>
      <c r="J103" s="974"/>
      <c r="K103" s="974"/>
      <c r="L103" s="974"/>
      <c r="M103" s="1149"/>
      <c r="N103" s="1149"/>
      <c r="O103" s="1449"/>
      <c r="P103" s="1149"/>
      <c r="Q103" s="973"/>
      <c r="R103" s="973"/>
      <c r="S103" s="973"/>
      <c r="T103" s="973"/>
      <c r="U103" s="973"/>
      <c r="V103" s="973"/>
      <c r="W103" s="973"/>
      <c r="X103" s="973"/>
      <c r="Y103" s="973"/>
      <c r="Z103" s="973"/>
      <c r="AA103" s="973"/>
      <c r="AB103" s="973"/>
      <c r="AC103" s="973"/>
      <c r="AD103" s="973"/>
      <c r="AE103" s="973"/>
      <c r="AF103" s="973"/>
      <c r="AG103" s="973"/>
      <c r="AH103" s="973"/>
      <c r="AI103" s="973"/>
      <c r="AJ103" s="973"/>
      <c r="AM103" s="1149"/>
      <c r="AU103" s="973" t="e">
        <f t="shared" ca="1" si="3"/>
        <v>#VALUE!</v>
      </c>
      <c r="AX103" s="1450"/>
    </row>
    <row r="104" spans="1:52" s="1439" customFormat="1" ht="20.149999999999999" hidden="1" customHeight="1" x14ac:dyDescent="0.3">
      <c r="A104" s="973"/>
      <c r="B104" s="1444"/>
      <c r="D104" s="974"/>
      <c r="E104" s="974"/>
      <c r="F104" s="1446" t="str">
        <f>'Administration (2)'!J16</f>
        <v>Dharmasiri Investments (Pvt) Ltd.</v>
      </c>
      <c r="G104" s="974"/>
      <c r="H104" s="974"/>
      <c r="I104" s="974"/>
      <c r="J104" s="974"/>
      <c r="K104" s="974"/>
      <c r="L104" s="974"/>
      <c r="M104" s="1149"/>
      <c r="N104" s="1149"/>
      <c r="O104" s="1149"/>
      <c r="P104" s="1149"/>
      <c r="Q104" s="973"/>
      <c r="R104" s="973"/>
      <c r="S104" s="973"/>
      <c r="T104" s="973"/>
      <c r="U104" s="973"/>
      <c r="V104" s="973"/>
      <c r="W104" s="973"/>
      <c r="X104" s="973"/>
      <c r="Y104" s="973"/>
      <c r="Z104" s="973"/>
      <c r="AA104" s="973"/>
      <c r="AB104" s="973"/>
      <c r="AC104" s="973"/>
      <c r="AD104" s="973"/>
      <c r="AE104" s="973"/>
      <c r="AF104" s="973"/>
      <c r="AG104" s="973"/>
      <c r="AH104" s="973"/>
      <c r="AI104" s="973"/>
      <c r="AJ104" s="973"/>
      <c r="AM104" s="1149"/>
      <c r="AU104" s="973" t="e">
        <f t="shared" ca="1" si="3"/>
        <v>#VALUE!</v>
      </c>
      <c r="AX104" s="1450"/>
    </row>
    <row r="105" spans="1:52" s="1439" customFormat="1" ht="20.149999999999999" hidden="1" customHeight="1" x14ac:dyDescent="0.3">
      <c r="A105" s="973"/>
      <c r="B105" s="1444"/>
      <c r="D105" s="974"/>
      <c r="E105" s="974"/>
      <c r="F105" s="1446" t="str">
        <f>'Administration (2)'!J17</f>
        <v>Indra Finance Ltd.</v>
      </c>
      <c r="G105" s="974"/>
      <c r="H105" s="974"/>
      <c r="I105" s="974"/>
      <c r="J105" s="974"/>
      <c r="K105" s="974"/>
      <c r="L105" s="974"/>
      <c r="M105" s="1149"/>
      <c r="N105" s="1149"/>
      <c r="O105" s="1149"/>
      <c r="P105" s="1149"/>
      <c r="Q105" s="973"/>
      <c r="R105" s="973"/>
      <c r="S105" s="973"/>
      <c r="T105" s="973"/>
      <c r="U105" s="973"/>
      <c r="V105" s="973"/>
      <c r="W105" s="973"/>
      <c r="X105" s="973"/>
      <c r="Y105" s="973"/>
      <c r="Z105" s="973"/>
      <c r="AA105" s="973"/>
      <c r="AB105" s="973"/>
      <c r="AC105" s="973"/>
      <c r="AD105" s="973"/>
      <c r="AE105" s="973"/>
      <c r="AF105" s="973"/>
      <c r="AG105" s="973"/>
      <c r="AH105" s="973"/>
      <c r="AI105" s="973"/>
      <c r="AJ105" s="973"/>
      <c r="AM105" s="1149"/>
      <c r="AU105" s="973" t="e">
        <f t="shared" ca="1" si="3"/>
        <v>#VALUE!</v>
      </c>
      <c r="AX105" s="1450"/>
    </row>
    <row r="106" spans="1:52" s="1439" customFormat="1" ht="20.149999999999999" hidden="1" customHeight="1" x14ac:dyDescent="0.3">
      <c r="A106" s="973"/>
      <c r="B106" s="1444"/>
      <c r="D106" s="974"/>
      <c r="E106" s="974"/>
      <c r="F106" s="1446" t="str">
        <f>'Administration (2)'!J18</f>
        <v>L B Finance PLC</v>
      </c>
      <c r="G106" s="974"/>
      <c r="H106" s="974"/>
      <c r="I106" s="974"/>
      <c r="J106" s="974"/>
      <c r="K106" s="974"/>
      <c r="L106" s="974"/>
      <c r="M106" s="974"/>
      <c r="N106" s="974"/>
      <c r="O106" s="974"/>
      <c r="Q106" s="973"/>
      <c r="R106" s="973"/>
      <c r="S106" s="973"/>
      <c r="T106" s="973"/>
      <c r="U106" s="973"/>
      <c r="V106" s="973"/>
      <c r="W106" s="973"/>
      <c r="X106" s="973"/>
      <c r="Y106" s="973"/>
      <c r="Z106" s="973"/>
      <c r="AA106" s="973"/>
      <c r="AB106" s="973"/>
      <c r="AC106" s="973"/>
      <c r="AD106" s="973"/>
      <c r="AE106" s="973"/>
      <c r="AF106" s="973"/>
      <c r="AG106" s="973"/>
      <c r="AH106" s="973"/>
      <c r="AI106" s="973"/>
      <c r="AJ106" s="973"/>
      <c r="AM106" s="1149"/>
      <c r="AU106" s="973"/>
      <c r="AX106" s="1450"/>
    </row>
    <row r="107" spans="1:52" s="1439" customFormat="1" ht="20.149999999999999" hidden="1" customHeight="1" x14ac:dyDescent="0.3">
      <c r="A107" s="973"/>
      <c r="B107" s="1444"/>
      <c r="D107" s="974"/>
      <c r="E107" s="974"/>
      <c r="F107" s="1446" t="str">
        <f>'Administration (2)'!J19</f>
        <v>Lanka ORIX Finance PLC</v>
      </c>
      <c r="G107" s="974"/>
      <c r="H107" s="974"/>
      <c r="I107" s="974"/>
      <c r="J107" s="974"/>
      <c r="K107" s="974"/>
      <c r="L107" s="974"/>
      <c r="M107" s="974"/>
      <c r="N107" s="974"/>
      <c r="O107" s="974"/>
      <c r="Q107" s="973"/>
      <c r="R107" s="973"/>
      <c r="S107" s="973"/>
      <c r="T107" s="973"/>
      <c r="U107" s="973"/>
      <c r="V107" s="973"/>
      <c r="W107" s="973"/>
      <c r="X107" s="973"/>
      <c r="Y107" s="973"/>
      <c r="Z107" s="973"/>
      <c r="AA107" s="973"/>
      <c r="AB107" s="973"/>
      <c r="AC107" s="973"/>
      <c r="AD107" s="973"/>
      <c r="AE107" s="973"/>
      <c r="AF107" s="973"/>
      <c r="AG107" s="973"/>
      <c r="AH107" s="973"/>
      <c r="AI107" s="973"/>
      <c r="AJ107" s="973"/>
      <c r="AM107" s="1149"/>
      <c r="AU107" s="973" t="e">
        <f ca="1">AU105+1</f>
        <v>#VALUE!</v>
      </c>
      <c r="AX107" s="1450"/>
    </row>
    <row r="108" spans="1:52" s="1439" customFormat="1" ht="28.5" hidden="1" thickTop="1" x14ac:dyDescent="0.3">
      <c r="A108" s="973"/>
      <c r="B108" s="1444"/>
      <c r="D108" s="974"/>
      <c r="E108" s="974"/>
      <c r="F108" s="1446" t="str">
        <f>'Administration (2)'!J20</f>
        <v>Matara District Capital Co-op Society Ltd</v>
      </c>
      <c r="G108" s="974"/>
      <c r="H108" s="974"/>
      <c r="I108" s="974"/>
      <c r="J108" s="974"/>
      <c r="K108" s="974"/>
      <c r="L108" s="974"/>
      <c r="M108" s="974"/>
      <c r="N108" s="974"/>
      <c r="O108" s="974"/>
      <c r="Q108" s="973"/>
      <c r="R108" s="973"/>
      <c r="S108" s="973"/>
      <c r="T108" s="973"/>
      <c r="U108" s="973"/>
      <c r="V108" s="973"/>
      <c r="W108" s="973"/>
      <c r="X108" s="973"/>
      <c r="Y108" s="973"/>
      <c r="Z108" s="973"/>
      <c r="AA108" s="973"/>
      <c r="AB108" s="973"/>
      <c r="AC108" s="973"/>
      <c r="AD108" s="973"/>
      <c r="AE108" s="973"/>
      <c r="AF108" s="973"/>
      <c r="AG108" s="973"/>
      <c r="AH108" s="973"/>
      <c r="AI108" s="973"/>
      <c r="AJ108" s="973"/>
      <c r="AM108" s="1149"/>
      <c r="AU108" s="973" t="e">
        <f t="shared" ref="AU108:AU152" ca="1" si="4">AU107+1</f>
        <v>#VALUE!</v>
      </c>
      <c r="AX108" s="1450"/>
    </row>
    <row r="109" spans="1:52" s="1439" customFormat="1" ht="28.5" hidden="1" thickTop="1" x14ac:dyDescent="0.3">
      <c r="A109" s="973"/>
      <c r="B109" s="1444"/>
      <c r="D109" s="974"/>
      <c r="E109" s="974"/>
      <c r="F109" s="1446" t="str">
        <f>'Administration (2)'!J21</f>
        <v>Mercantile Investments &amp; Finance PLC</v>
      </c>
      <c r="G109" s="974"/>
      <c r="H109" s="974"/>
      <c r="I109" s="974"/>
      <c r="J109" s="974"/>
      <c r="K109" s="974"/>
      <c r="L109" s="974"/>
      <c r="M109" s="974"/>
      <c r="O109" s="974"/>
      <c r="Q109" s="973"/>
      <c r="R109" s="973"/>
      <c r="S109" s="973"/>
      <c r="T109" s="973"/>
      <c r="U109" s="973"/>
      <c r="V109" s="973"/>
      <c r="W109" s="973"/>
      <c r="X109" s="973"/>
      <c r="Y109" s="973"/>
      <c r="Z109" s="973"/>
      <c r="AA109" s="973"/>
      <c r="AB109" s="973"/>
      <c r="AC109" s="973"/>
      <c r="AD109" s="973"/>
      <c r="AE109" s="973"/>
      <c r="AF109" s="973"/>
      <c r="AG109" s="973"/>
      <c r="AH109" s="973"/>
      <c r="AI109" s="973"/>
      <c r="AJ109" s="973"/>
      <c r="AM109" s="1149"/>
      <c r="AU109" s="973" t="e">
        <f t="shared" ca="1" si="4"/>
        <v>#VALUE!</v>
      </c>
      <c r="AX109" s="1450"/>
    </row>
    <row r="110" spans="1:52" s="1439" customFormat="1" ht="14.5" hidden="1" thickTop="1" x14ac:dyDescent="0.3">
      <c r="A110" s="973"/>
      <c r="B110" s="1444"/>
      <c r="D110" s="974"/>
      <c r="E110" s="974"/>
      <c r="F110" s="1446" t="str">
        <f>'Administration (2)'!J22</f>
        <v>Merchant Bank of Sri Lanka PLC</v>
      </c>
      <c r="G110" s="974"/>
      <c r="H110" s="974"/>
      <c r="I110" s="974"/>
      <c r="J110" s="974"/>
      <c r="K110" s="974"/>
      <c r="L110" s="974"/>
      <c r="M110" s="974"/>
      <c r="O110" s="974"/>
      <c r="Q110" s="973"/>
      <c r="R110" s="973"/>
      <c r="S110" s="973"/>
      <c r="T110" s="973"/>
      <c r="U110" s="973"/>
      <c r="V110" s="973"/>
      <c r="W110" s="973"/>
      <c r="X110" s="973"/>
      <c r="Y110" s="973"/>
      <c r="Z110" s="973"/>
      <c r="AA110" s="973"/>
      <c r="AB110" s="973"/>
      <c r="AC110" s="973"/>
      <c r="AD110" s="973"/>
      <c r="AE110" s="973"/>
      <c r="AF110" s="973"/>
      <c r="AG110" s="973"/>
      <c r="AH110" s="973"/>
      <c r="AI110" s="973"/>
      <c r="AJ110" s="973"/>
      <c r="AM110" s="1149"/>
      <c r="AU110" s="973" t="e">
        <f t="shared" ca="1" si="4"/>
        <v>#VALUE!</v>
      </c>
      <c r="AX110" s="1450"/>
    </row>
    <row r="111" spans="1:52" s="1439" customFormat="1" ht="14.5" hidden="1" thickTop="1" x14ac:dyDescent="0.3">
      <c r="A111" s="973"/>
      <c r="B111" s="1444"/>
      <c r="D111" s="974"/>
      <c r="E111" s="974"/>
      <c r="F111" s="1446" t="str">
        <f>'Administration (2)'!J23</f>
        <v>Merchant Credit of Sri Lanka Ltd</v>
      </c>
      <c r="G111" s="974"/>
      <c r="H111" s="974"/>
      <c r="I111" s="974"/>
      <c r="J111" s="974"/>
      <c r="K111" s="974"/>
      <c r="L111" s="974"/>
      <c r="M111" s="974"/>
      <c r="O111" s="974"/>
      <c r="Q111" s="973"/>
      <c r="R111" s="973"/>
      <c r="S111" s="973"/>
      <c r="T111" s="973"/>
      <c r="U111" s="973"/>
      <c r="V111" s="973"/>
      <c r="W111" s="973"/>
      <c r="X111" s="973"/>
      <c r="Y111" s="973"/>
      <c r="Z111" s="973"/>
      <c r="AA111" s="973"/>
      <c r="AB111" s="973"/>
      <c r="AC111" s="973"/>
      <c r="AD111" s="973"/>
      <c r="AE111" s="973"/>
      <c r="AF111" s="973"/>
      <c r="AG111" s="973"/>
      <c r="AH111" s="973"/>
      <c r="AI111" s="973"/>
      <c r="AJ111" s="973"/>
      <c r="AM111" s="1149"/>
      <c r="AU111" s="973" t="e">
        <f t="shared" ca="1" si="4"/>
        <v>#VALUE!</v>
      </c>
      <c r="AX111" s="1450"/>
    </row>
    <row r="112" spans="1:52" s="1439" customFormat="1" ht="14.5" hidden="1" thickTop="1" x14ac:dyDescent="0.3">
      <c r="A112" s="973"/>
      <c r="B112" s="1444"/>
      <c r="D112" s="974"/>
      <c r="E112" s="974"/>
      <c r="F112" s="1446" t="str">
        <f>'Administration (2)'!J24</f>
        <v>Nations Lanka Finance PLC</v>
      </c>
      <c r="G112" s="974"/>
      <c r="H112" s="974"/>
      <c r="I112" s="974"/>
      <c r="J112" s="974"/>
      <c r="K112" s="974"/>
      <c r="L112" s="974"/>
      <c r="M112" s="974"/>
      <c r="O112" s="974"/>
      <c r="Q112" s="973"/>
      <c r="R112" s="973"/>
      <c r="S112" s="973"/>
      <c r="T112" s="973"/>
      <c r="U112" s="973"/>
      <c r="V112" s="973"/>
      <c r="W112" s="973"/>
      <c r="X112" s="973"/>
      <c r="Y112" s="973"/>
      <c r="Z112" s="973"/>
      <c r="AA112" s="973"/>
      <c r="AB112" s="973"/>
      <c r="AC112" s="973"/>
      <c r="AD112" s="973"/>
      <c r="AE112" s="973"/>
      <c r="AF112" s="973"/>
      <c r="AG112" s="973"/>
      <c r="AH112" s="973"/>
      <c r="AI112" s="973"/>
      <c r="AJ112" s="973"/>
      <c r="AM112" s="1149"/>
      <c r="AU112" s="973" t="e">
        <f t="shared" ca="1" si="4"/>
        <v>#VALUE!</v>
      </c>
      <c r="AX112" s="1450"/>
    </row>
    <row r="113" spans="1:50" s="1439" customFormat="1" ht="14.5" hidden="1" thickTop="1" x14ac:dyDescent="0.3">
      <c r="A113" s="973"/>
      <c r="B113" s="1444"/>
      <c r="D113" s="974"/>
      <c r="E113" s="974"/>
      <c r="F113" s="1446" t="str">
        <f>'Administration (2)'!J25</f>
        <v>Omek Investments</v>
      </c>
      <c r="G113" s="974"/>
      <c r="H113" s="974"/>
      <c r="I113" s="974"/>
      <c r="J113" s="974"/>
      <c r="K113" s="974"/>
      <c r="L113" s="974"/>
      <c r="M113" s="974"/>
      <c r="O113" s="974"/>
      <c r="Q113" s="1149"/>
      <c r="AJ113" s="973"/>
      <c r="AM113" s="1149"/>
      <c r="AU113" s="973" t="e">
        <f t="shared" ca="1" si="4"/>
        <v>#VALUE!</v>
      </c>
      <c r="AX113" s="1450"/>
    </row>
    <row r="114" spans="1:50" s="1439" customFormat="1" ht="14.5" hidden="1" thickTop="1" x14ac:dyDescent="0.3">
      <c r="A114" s="973"/>
      <c r="B114" s="1444"/>
      <c r="D114" s="974"/>
      <c r="E114" s="974"/>
      <c r="F114" s="1446" t="str">
        <f>'Administration (2)'!J26</f>
        <v>People's Leasing Company PLC</v>
      </c>
      <c r="G114" s="974"/>
      <c r="H114" s="974"/>
      <c r="I114" s="974"/>
      <c r="J114" s="974"/>
      <c r="K114" s="974"/>
      <c r="L114" s="974"/>
      <c r="M114" s="974"/>
      <c r="O114" s="974"/>
      <c r="Q114" s="1149"/>
      <c r="AJ114" s="973"/>
      <c r="AM114" s="1149"/>
      <c r="AU114" s="973" t="e">
        <f t="shared" ca="1" si="4"/>
        <v>#VALUE!</v>
      </c>
      <c r="AX114" s="1450"/>
    </row>
    <row r="115" spans="1:50" s="1439" customFormat="1" ht="14.5" hidden="1" thickTop="1" x14ac:dyDescent="0.3">
      <c r="A115" s="973"/>
      <c r="B115" s="1444"/>
      <c r="D115" s="974"/>
      <c r="E115" s="974"/>
      <c r="F115" s="1446" t="str">
        <f>'Administration (2)'!J27</f>
        <v>Singer Finance (Lanka) PLC</v>
      </c>
      <c r="G115" s="974"/>
      <c r="H115" s="974"/>
      <c r="I115" s="974"/>
      <c r="J115" s="974"/>
      <c r="K115" s="974"/>
      <c r="L115" s="974"/>
      <c r="M115" s="974"/>
      <c r="O115" s="974"/>
      <c r="Q115" s="1149"/>
      <c r="AJ115" s="973"/>
      <c r="AM115" s="1149"/>
      <c r="AU115" s="973" t="e">
        <f t="shared" ca="1" si="4"/>
        <v>#VALUE!</v>
      </c>
      <c r="AX115" s="1450"/>
    </row>
    <row r="116" spans="1:50" s="1439" customFormat="1" ht="14.5" hidden="1" thickTop="1" x14ac:dyDescent="0.3">
      <c r="A116" s="973"/>
      <c r="B116" s="1444"/>
      <c r="D116" s="974"/>
      <c r="E116" s="974"/>
      <c r="F116" s="1446" t="str">
        <f>'Administration (2)'!J28</f>
        <v>SN Finance</v>
      </c>
      <c r="G116" s="974"/>
      <c r="H116" s="974"/>
      <c r="I116" s="974"/>
      <c r="J116" s="974"/>
      <c r="K116" s="974"/>
      <c r="L116" s="974"/>
      <c r="M116" s="974"/>
      <c r="O116" s="974"/>
      <c r="Q116" s="1149"/>
      <c r="AJ116" s="973"/>
      <c r="AM116" s="1149"/>
      <c r="AU116" s="973" t="e">
        <f t="shared" ca="1" si="4"/>
        <v>#VALUE!</v>
      </c>
      <c r="AX116" s="1450"/>
    </row>
    <row r="117" spans="1:50" s="1439" customFormat="1" ht="14.5" hidden="1" thickTop="1" x14ac:dyDescent="0.3">
      <c r="A117" s="973"/>
      <c r="B117" s="1444"/>
      <c r="F117" s="1446" t="str">
        <f>'Administration (2)'!J29</f>
        <v>Softlogic Finance PLC</v>
      </c>
      <c r="O117" s="974"/>
      <c r="Q117" s="1149"/>
      <c r="AJ117" s="973"/>
      <c r="AM117" s="1149"/>
      <c r="AU117" s="973" t="e">
        <f t="shared" ca="1" si="4"/>
        <v>#VALUE!</v>
      </c>
      <c r="AX117" s="1450"/>
    </row>
    <row r="118" spans="1:50" s="1439" customFormat="1" ht="14.5" hidden="1" thickTop="1" x14ac:dyDescent="0.3">
      <c r="A118" s="973"/>
      <c r="B118" s="1444"/>
      <c r="F118" s="1446" t="str">
        <f>'Administration (2)'!J30</f>
        <v>Thamalu Enterprises</v>
      </c>
      <c r="O118" s="974"/>
      <c r="Q118" s="1149"/>
      <c r="AJ118" s="973"/>
      <c r="AM118" s="1149"/>
      <c r="AU118" s="973" t="e">
        <f t="shared" ca="1" si="4"/>
        <v>#VALUE!</v>
      </c>
      <c r="AX118" s="1450"/>
    </row>
    <row r="119" spans="1:50" s="1439" customFormat="1" ht="14.5" hidden="1" thickTop="1" x14ac:dyDescent="0.3">
      <c r="A119" s="973"/>
      <c r="B119" s="1444"/>
      <c r="F119" s="1446" t="str">
        <f>'Administration (2)'!J31</f>
        <v>Trade Finance</v>
      </c>
      <c r="O119" s="974"/>
      <c r="Q119" s="1149"/>
      <c r="AJ119" s="973"/>
      <c r="AM119" s="1149"/>
      <c r="AU119" s="973" t="e">
        <f t="shared" ca="1" si="4"/>
        <v>#VALUE!</v>
      </c>
      <c r="AX119" s="1450"/>
    </row>
    <row r="120" spans="1:50" s="1439" customFormat="1" ht="14.5" hidden="1" thickTop="1" x14ac:dyDescent="0.3">
      <c r="A120" s="973"/>
      <c r="B120" s="1444"/>
      <c r="F120" s="1446" t="str">
        <f>'Administration (2)'!J32</f>
        <v>UB Finance</v>
      </c>
      <c r="O120" s="974"/>
      <c r="Q120" s="1149"/>
      <c r="AJ120" s="973"/>
      <c r="AM120" s="1149"/>
      <c r="AU120" s="973" t="e">
        <f t="shared" ca="1" si="4"/>
        <v>#VALUE!</v>
      </c>
      <c r="AX120" s="1450"/>
    </row>
    <row r="121" spans="1:50" s="1439" customFormat="1" ht="14.5" hidden="1" thickTop="1" x14ac:dyDescent="0.3">
      <c r="A121" s="973"/>
      <c r="B121" s="1444"/>
      <c r="F121" s="1446" t="str">
        <f>'Administration (2)'!J33</f>
        <v>Vallibel Finance PLC</v>
      </c>
      <c r="O121" s="974"/>
      <c r="Q121" s="1149"/>
      <c r="AJ121" s="973"/>
      <c r="AM121" s="1149"/>
      <c r="AU121" s="973" t="e">
        <f t="shared" ca="1" si="4"/>
        <v>#VALUE!</v>
      </c>
      <c r="AX121" s="1450"/>
    </row>
    <row r="122" spans="1:50" s="1439" customFormat="1" ht="14.5" hidden="1" thickTop="1" x14ac:dyDescent="0.3">
      <c r="A122" s="973"/>
      <c r="B122" s="1444"/>
      <c r="F122" s="1446">
        <f>'Administration (2)'!J34</f>
        <v>0</v>
      </c>
      <c r="O122" s="974"/>
      <c r="Q122" s="1149"/>
      <c r="AJ122" s="973"/>
      <c r="AM122" s="1149"/>
      <c r="AU122" s="973" t="e">
        <f t="shared" ca="1" si="4"/>
        <v>#VALUE!</v>
      </c>
      <c r="AX122" s="1450"/>
    </row>
    <row r="123" spans="1:50" s="1439" customFormat="1" ht="14.5" hidden="1" thickTop="1" x14ac:dyDescent="0.3">
      <c r="A123" s="973"/>
      <c r="B123" s="1444"/>
      <c r="F123" s="1446">
        <f>'Administration (2)'!J35</f>
        <v>0</v>
      </c>
      <c r="O123" s="974"/>
      <c r="Q123" s="1149"/>
      <c r="AJ123" s="973"/>
      <c r="AM123" s="1149"/>
      <c r="AU123" s="973" t="e">
        <f t="shared" ca="1" si="4"/>
        <v>#VALUE!</v>
      </c>
      <c r="AX123" s="1450"/>
    </row>
    <row r="124" spans="1:50" s="1439" customFormat="1" ht="14.5" hidden="1" thickTop="1" x14ac:dyDescent="0.3">
      <c r="A124" s="973"/>
      <c r="B124" s="1444"/>
      <c r="F124" s="1446">
        <f>'Administration (2)'!J36</f>
        <v>0</v>
      </c>
      <c r="O124" s="974"/>
      <c r="Q124" s="1149"/>
      <c r="AJ124" s="973"/>
      <c r="AM124" s="1149"/>
      <c r="AU124" s="973" t="e">
        <f t="shared" ca="1" si="4"/>
        <v>#VALUE!</v>
      </c>
      <c r="AX124" s="1450"/>
    </row>
    <row r="125" spans="1:50" s="1439" customFormat="1" ht="14.5" hidden="1" thickTop="1" x14ac:dyDescent="0.3">
      <c r="A125" s="973"/>
      <c r="B125" s="1444"/>
      <c r="F125" s="1446">
        <f>'Administration (2)'!J37</f>
        <v>0</v>
      </c>
      <c r="O125" s="974"/>
      <c r="Q125" s="1149"/>
      <c r="AJ125" s="973"/>
      <c r="AM125" s="1149"/>
      <c r="AU125" s="973" t="e">
        <f t="shared" ca="1" si="4"/>
        <v>#VALUE!</v>
      </c>
      <c r="AX125" s="1450"/>
    </row>
    <row r="126" spans="1:50" s="1439" customFormat="1" ht="14.5" hidden="1" thickTop="1" x14ac:dyDescent="0.3">
      <c r="A126" s="973"/>
      <c r="B126" s="1444"/>
      <c r="F126" s="1446">
        <f>'Administration (2)'!J38</f>
        <v>0</v>
      </c>
      <c r="O126" s="974"/>
      <c r="Q126" s="1149"/>
      <c r="AJ126" s="973"/>
      <c r="AM126" s="1149"/>
      <c r="AU126" s="973" t="e">
        <f t="shared" ca="1" si="4"/>
        <v>#VALUE!</v>
      </c>
      <c r="AX126" s="1450"/>
    </row>
    <row r="127" spans="1:50" s="1439" customFormat="1" ht="14.5" hidden="1" thickTop="1" x14ac:dyDescent="0.3">
      <c r="A127" s="973"/>
      <c r="B127" s="1444"/>
      <c r="F127" s="1446">
        <f>'Administration (2)'!J39</f>
        <v>0</v>
      </c>
      <c r="O127" s="974"/>
      <c r="Q127" s="1149"/>
      <c r="AJ127" s="973"/>
      <c r="AM127" s="1149"/>
      <c r="AU127" s="973" t="e">
        <f t="shared" ca="1" si="4"/>
        <v>#VALUE!</v>
      </c>
      <c r="AX127" s="1450"/>
    </row>
    <row r="128" spans="1:50" s="1439" customFormat="1" ht="14.5" hidden="1" thickTop="1" x14ac:dyDescent="0.3">
      <c r="A128" s="973"/>
      <c r="B128" s="1444"/>
      <c r="F128" s="1446">
        <f>'Administration (2)'!J40</f>
        <v>0</v>
      </c>
      <c r="O128" s="974"/>
      <c r="Q128" s="1149"/>
      <c r="AJ128" s="973"/>
      <c r="AM128" s="1149"/>
      <c r="AU128" s="973" t="e">
        <f t="shared" ca="1" si="4"/>
        <v>#VALUE!</v>
      </c>
      <c r="AX128" s="1450"/>
    </row>
    <row r="129" spans="1:50" s="1439" customFormat="1" ht="14.5" hidden="1" thickTop="1" x14ac:dyDescent="0.3">
      <c r="A129" s="973"/>
      <c r="B129" s="1444"/>
      <c r="F129" s="1446">
        <f>'Administration (2)'!J41</f>
        <v>0</v>
      </c>
      <c r="O129" s="974"/>
      <c r="Q129" s="1149"/>
      <c r="AJ129" s="973"/>
      <c r="AM129" s="1149"/>
      <c r="AU129" s="973" t="e">
        <f t="shared" ca="1" si="4"/>
        <v>#VALUE!</v>
      </c>
      <c r="AX129" s="1450"/>
    </row>
    <row r="130" spans="1:50" s="1439" customFormat="1" ht="14.5" hidden="1" thickTop="1" x14ac:dyDescent="0.3">
      <c r="A130" s="973"/>
      <c r="B130" s="1444"/>
      <c r="F130" s="1446">
        <f>'Administration (2)'!J42</f>
        <v>0</v>
      </c>
      <c r="O130" s="974"/>
      <c r="Q130" s="1149"/>
      <c r="AJ130" s="973"/>
      <c r="AM130" s="1149"/>
      <c r="AU130" s="973" t="e">
        <f t="shared" ca="1" si="4"/>
        <v>#VALUE!</v>
      </c>
      <c r="AX130" s="1450"/>
    </row>
    <row r="131" spans="1:50" s="1439" customFormat="1" ht="14.5" hidden="1" thickTop="1" x14ac:dyDescent="0.3">
      <c r="A131" s="973"/>
      <c r="B131" s="1444"/>
      <c r="F131" s="1446">
        <f>'Administration (2)'!J43</f>
        <v>0</v>
      </c>
      <c r="O131" s="974"/>
      <c r="Q131" s="1149"/>
      <c r="AJ131" s="973"/>
      <c r="AM131" s="1149"/>
      <c r="AU131" s="973" t="e">
        <f t="shared" ca="1" si="4"/>
        <v>#VALUE!</v>
      </c>
      <c r="AX131" s="1450"/>
    </row>
    <row r="132" spans="1:50" s="1439" customFormat="1" ht="14.5" hidden="1" thickTop="1" x14ac:dyDescent="0.3">
      <c r="A132" s="973"/>
      <c r="B132" s="1444"/>
      <c r="F132" s="1446">
        <f>'Administration (2)'!J44</f>
        <v>0</v>
      </c>
      <c r="O132" s="974"/>
      <c r="Q132" s="1149"/>
      <c r="AJ132" s="973"/>
      <c r="AM132" s="1149"/>
      <c r="AU132" s="973" t="e">
        <f t="shared" ca="1" si="4"/>
        <v>#VALUE!</v>
      </c>
      <c r="AX132" s="1450"/>
    </row>
    <row r="133" spans="1:50" s="1439" customFormat="1" ht="14.5" hidden="1" thickTop="1" x14ac:dyDescent="0.3">
      <c r="A133" s="973"/>
      <c r="B133" s="1444"/>
      <c r="F133" s="1446">
        <f>'Administration (2)'!J45</f>
        <v>0</v>
      </c>
      <c r="O133" s="974"/>
      <c r="Q133" s="1149"/>
      <c r="AJ133" s="973"/>
      <c r="AM133" s="1149"/>
      <c r="AU133" s="973" t="e">
        <f t="shared" ca="1" si="4"/>
        <v>#VALUE!</v>
      </c>
      <c r="AX133" s="1450"/>
    </row>
    <row r="134" spans="1:50" s="1439" customFormat="1" ht="14.5" hidden="1" thickTop="1" x14ac:dyDescent="0.3">
      <c r="A134" s="973"/>
      <c r="B134" s="1444"/>
      <c r="F134" s="1446">
        <f>'Administration (2)'!J46</f>
        <v>0</v>
      </c>
      <c r="O134" s="974"/>
      <c r="Q134" s="1149"/>
      <c r="AJ134" s="973"/>
      <c r="AM134" s="1149"/>
      <c r="AU134" s="973" t="e">
        <f t="shared" ca="1" si="4"/>
        <v>#VALUE!</v>
      </c>
      <c r="AX134" s="1450"/>
    </row>
    <row r="135" spans="1:50" s="1439" customFormat="1" ht="14.5" hidden="1" thickTop="1" x14ac:dyDescent="0.3">
      <c r="A135" s="973"/>
      <c r="B135" s="1444"/>
      <c r="F135" s="1446">
        <f>'Administration (2)'!J47</f>
        <v>0</v>
      </c>
      <c r="O135" s="974"/>
      <c r="Q135" s="1149"/>
      <c r="AJ135" s="973"/>
      <c r="AM135" s="1149"/>
      <c r="AU135" s="973" t="e">
        <f t="shared" ca="1" si="4"/>
        <v>#VALUE!</v>
      </c>
      <c r="AX135" s="1450"/>
    </row>
    <row r="136" spans="1:50" s="1439" customFormat="1" ht="14.5" hidden="1" thickTop="1" x14ac:dyDescent="0.3">
      <c r="A136" s="973"/>
      <c r="B136" s="1444"/>
      <c r="F136" s="1446">
        <f>'Administration (2)'!J48</f>
        <v>0</v>
      </c>
      <c r="O136" s="974"/>
      <c r="Q136" s="1149"/>
      <c r="AJ136" s="973"/>
      <c r="AM136" s="1149"/>
      <c r="AU136" s="973" t="e">
        <f t="shared" ca="1" si="4"/>
        <v>#VALUE!</v>
      </c>
      <c r="AX136" s="1450"/>
    </row>
    <row r="137" spans="1:50" s="1439" customFormat="1" ht="14.5" hidden="1" thickTop="1" x14ac:dyDescent="0.3">
      <c r="A137" s="973"/>
      <c r="B137" s="1444"/>
      <c r="F137" s="1446">
        <f>'Administration (2)'!J49</f>
        <v>0</v>
      </c>
      <c r="O137" s="974"/>
      <c r="Q137" s="1149"/>
      <c r="AJ137" s="973"/>
      <c r="AM137" s="1149"/>
      <c r="AU137" s="973" t="e">
        <f t="shared" ca="1" si="4"/>
        <v>#VALUE!</v>
      </c>
      <c r="AX137" s="1450"/>
    </row>
    <row r="138" spans="1:50" s="1439" customFormat="1" ht="14.5" hidden="1" thickTop="1" x14ac:dyDescent="0.3">
      <c r="A138" s="973"/>
      <c r="B138" s="1444"/>
      <c r="F138" s="1446">
        <f>'Administration (2)'!J50</f>
        <v>0</v>
      </c>
      <c r="O138" s="974"/>
      <c r="Q138" s="1149"/>
      <c r="AJ138" s="973"/>
      <c r="AM138" s="1149"/>
      <c r="AU138" s="973" t="e">
        <f t="shared" ca="1" si="4"/>
        <v>#VALUE!</v>
      </c>
      <c r="AX138" s="1450"/>
    </row>
    <row r="139" spans="1:50" s="1439" customFormat="1" ht="14.5" hidden="1" thickTop="1" x14ac:dyDescent="0.3">
      <c r="A139" s="973"/>
      <c r="B139" s="1444"/>
      <c r="F139" s="1446">
        <f>'Administration (2)'!J51</f>
        <v>0</v>
      </c>
      <c r="O139" s="974"/>
      <c r="Q139" s="1149"/>
      <c r="AJ139" s="973"/>
      <c r="AM139" s="1149"/>
      <c r="AU139" s="973" t="e">
        <f t="shared" ca="1" si="4"/>
        <v>#VALUE!</v>
      </c>
      <c r="AX139" s="1450"/>
    </row>
    <row r="140" spans="1:50" s="1439" customFormat="1" ht="14.5" hidden="1" thickTop="1" x14ac:dyDescent="0.3">
      <c r="A140" s="973"/>
      <c r="B140" s="1444"/>
      <c r="F140" s="1446">
        <f>'Administration (2)'!J52</f>
        <v>0</v>
      </c>
      <c r="O140" s="974"/>
      <c r="Q140" s="1149"/>
      <c r="AJ140" s="973"/>
      <c r="AM140" s="1149"/>
      <c r="AU140" s="973" t="e">
        <f t="shared" ca="1" si="4"/>
        <v>#VALUE!</v>
      </c>
      <c r="AX140" s="1450"/>
    </row>
    <row r="141" spans="1:50" s="1439" customFormat="1" ht="14.5" hidden="1" thickTop="1" x14ac:dyDescent="0.3">
      <c r="A141" s="973"/>
      <c r="B141" s="1444"/>
      <c r="F141" s="1446">
        <f>'Administration (2)'!J53</f>
        <v>0</v>
      </c>
      <c r="O141" s="974"/>
      <c r="Q141" s="1149"/>
      <c r="AJ141" s="973"/>
      <c r="AM141" s="1149"/>
      <c r="AU141" s="973" t="e">
        <f t="shared" ca="1" si="4"/>
        <v>#VALUE!</v>
      </c>
      <c r="AX141" s="1450"/>
    </row>
    <row r="142" spans="1:50" s="1439" customFormat="1" ht="14.5" hidden="1" thickTop="1" x14ac:dyDescent="0.3">
      <c r="A142" s="973"/>
      <c r="B142" s="1444"/>
      <c r="F142" s="1446">
        <f>'Administration (2)'!J54</f>
        <v>0</v>
      </c>
      <c r="O142" s="974"/>
      <c r="Q142" s="1149"/>
      <c r="AJ142" s="973"/>
      <c r="AM142" s="1149"/>
      <c r="AU142" s="973" t="e">
        <f t="shared" ca="1" si="4"/>
        <v>#VALUE!</v>
      </c>
      <c r="AX142" s="1450"/>
    </row>
    <row r="143" spans="1:50" s="1439" customFormat="1" ht="14.5" hidden="1" thickTop="1" x14ac:dyDescent="0.3">
      <c r="A143" s="973"/>
      <c r="B143" s="1444"/>
      <c r="F143" s="1446">
        <f>'Administration (2)'!J55</f>
        <v>0</v>
      </c>
      <c r="O143" s="974"/>
      <c r="Q143" s="1149"/>
      <c r="AJ143" s="973"/>
      <c r="AM143" s="1149"/>
      <c r="AU143" s="973" t="e">
        <f t="shared" ca="1" si="4"/>
        <v>#VALUE!</v>
      </c>
      <c r="AX143" s="1450"/>
    </row>
    <row r="144" spans="1:50" s="1439" customFormat="1" ht="14.5" hidden="1" thickTop="1" x14ac:dyDescent="0.3">
      <c r="A144" s="973"/>
      <c r="B144" s="1444"/>
      <c r="F144" s="1446">
        <f>'Administration (2)'!J56</f>
        <v>0</v>
      </c>
      <c r="O144" s="974"/>
      <c r="Q144" s="1149"/>
      <c r="AJ144" s="973"/>
      <c r="AM144" s="1149"/>
      <c r="AU144" s="973" t="e">
        <f t="shared" ca="1" si="4"/>
        <v>#VALUE!</v>
      </c>
      <c r="AX144" s="1450"/>
    </row>
    <row r="145" spans="1:50" s="1439" customFormat="1" ht="14.5" hidden="1" thickTop="1" x14ac:dyDescent="0.3">
      <c r="A145" s="973"/>
      <c r="B145" s="1444"/>
      <c r="F145" s="1446">
        <f>'Administration (2)'!J57</f>
        <v>0</v>
      </c>
      <c r="O145" s="974"/>
      <c r="Q145" s="1149"/>
      <c r="AJ145" s="973"/>
      <c r="AM145" s="1149"/>
      <c r="AU145" s="973" t="e">
        <f t="shared" ca="1" si="4"/>
        <v>#VALUE!</v>
      </c>
      <c r="AX145" s="1450"/>
    </row>
    <row r="146" spans="1:50" s="1439" customFormat="1" ht="14.5" hidden="1" thickTop="1" x14ac:dyDescent="0.3">
      <c r="A146" s="973"/>
      <c r="B146" s="1444"/>
      <c r="F146" s="1446">
        <f>'Administration (2)'!J58</f>
        <v>0</v>
      </c>
      <c r="O146" s="974"/>
      <c r="Q146" s="1149"/>
      <c r="AJ146" s="973"/>
      <c r="AM146" s="1149"/>
      <c r="AU146" s="973" t="e">
        <f t="shared" ca="1" si="4"/>
        <v>#VALUE!</v>
      </c>
      <c r="AX146" s="1450"/>
    </row>
    <row r="147" spans="1:50" s="1439" customFormat="1" ht="14.5" hidden="1" thickTop="1" x14ac:dyDescent="0.3">
      <c r="A147" s="973"/>
      <c r="B147" s="1444"/>
      <c r="F147" s="1446">
        <f>'Administration (2)'!J59</f>
        <v>0</v>
      </c>
      <c r="O147" s="974"/>
      <c r="Q147" s="1149"/>
      <c r="AJ147" s="973"/>
      <c r="AM147" s="1149"/>
      <c r="AU147" s="973" t="e">
        <f t="shared" ca="1" si="4"/>
        <v>#VALUE!</v>
      </c>
      <c r="AX147" s="1450"/>
    </row>
    <row r="148" spans="1:50" s="1439" customFormat="1" ht="14.5" hidden="1" thickTop="1" x14ac:dyDescent="0.3">
      <c r="A148" s="973"/>
      <c r="B148" s="1444"/>
      <c r="F148" s="1446">
        <f>'Administration (2)'!J60</f>
        <v>0</v>
      </c>
      <c r="O148" s="974"/>
      <c r="Q148" s="1149"/>
      <c r="AJ148" s="973"/>
      <c r="AM148" s="1149"/>
      <c r="AU148" s="973" t="e">
        <f t="shared" ca="1" si="4"/>
        <v>#VALUE!</v>
      </c>
      <c r="AX148" s="1450"/>
    </row>
    <row r="149" spans="1:50" s="1439" customFormat="1" ht="14.5" hidden="1" thickTop="1" x14ac:dyDescent="0.3">
      <c r="A149" s="973"/>
      <c r="B149" s="1444"/>
      <c r="F149" s="1446">
        <f>'Administration (2)'!J61</f>
        <v>0</v>
      </c>
      <c r="O149" s="974"/>
      <c r="Q149" s="1149"/>
      <c r="AJ149" s="973"/>
      <c r="AM149" s="1149"/>
      <c r="AU149" s="973" t="e">
        <f t="shared" ca="1" si="4"/>
        <v>#VALUE!</v>
      </c>
      <c r="AX149" s="1450"/>
    </row>
    <row r="150" spans="1:50" s="1439" customFormat="1" ht="14.5" hidden="1" thickTop="1" x14ac:dyDescent="0.3">
      <c r="A150" s="973"/>
      <c r="B150" s="1444"/>
      <c r="F150" s="1446">
        <f>'Administration (2)'!J62</f>
        <v>0</v>
      </c>
      <c r="O150" s="974"/>
      <c r="Q150" s="1149"/>
      <c r="AJ150" s="973"/>
      <c r="AM150" s="1149"/>
      <c r="AU150" s="973" t="e">
        <f t="shared" ca="1" si="4"/>
        <v>#VALUE!</v>
      </c>
      <c r="AX150" s="1450"/>
    </row>
    <row r="151" spans="1:50" s="1439" customFormat="1" ht="14.5" hidden="1" thickTop="1" x14ac:dyDescent="0.3">
      <c r="A151" s="973"/>
      <c r="B151" s="1444"/>
      <c r="F151" s="1446">
        <f>'Administration (2)'!J63</f>
        <v>0</v>
      </c>
      <c r="O151" s="974"/>
      <c r="Q151" s="1149"/>
      <c r="AJ151" s="973"/>
      <c r="AM151" s="1149"/>
      <c r="AU151" s="973" t="e">
        <f t="shared" ca="1" si="4"/>
        <v>#VALUE!</v>
      </c>
      <c r="AX151" s="1450"/>
    </row>
    <row r="152" spans="1:50" s="1439" customFormat="1" ht="14.5" hidden="1" thickTop="1" x14ac:dyDescent="0.3">
      <c r="A152" s="973"/>
      <c r="B152" s="1444"/>
      <c r="O152" s="974"/>
      <c r="Q152" s="1149"/>
      <c r="AJ152" s="973"/>
      <c r="AM152" s="1149"/>
      <c r="AU152" s="973" t="e">
        <f t="shared" ca="1" si="4"/>
        <v>#VALUE!</v>
      </c>
      <c r="AX152" s="1450"/>
    </row>
  </sheetData>
  <sheetProtection selectLockedCells="1" selectUnlockedCells="1"/>
  <dataConsolidate/>
  <mergeCells count="46">
    <mergeCell ref="N1:O1"/>
    <mergeCell ref="H2:I2"/>
    <mergeCell ref="K2:M2"/>
    <mergeCell ref="L3:M4"/>
    <mergeCell ref="I6:K6"/>
    <mergeCell ref="L6:M6"/>
    <mergeCell ref="H7:K7"/>
    <mergeCell ref="L7:M7"/>
    <mergeCell ref="H8:I8"/>
    <mergeCell ref="H9:I9"/>
    <mergeCell ref="K9:M9"/>
    <mergeCell ref="E10:F10"/>
    <mergeCell ref="H10:I10"/>
    <mergeCell ref="L10:M10"/>
    <mergeCell ref="H11:I11"/>
    <mergeCell ref="J11:L11"/>
    <mergeCell ref="H12:I12"/>
    <mergeCell ref="J12:L12"/>
    <mergeCell ref="I13:K13"/>
    <mergeCell ref="I14:J14"/>
    <mergeCell ref="K14:M14"/>
    <mergeCell ref="E15:F15"/>
    <mergeCell ref="H15:I15"/>
    <mergeCell ref="E16:H17"/>
    <mergeCell ref="I16:M17"/>
    <mergeCell ref="N17:O18"/>
    <mergeCell ref="I23:L23"/>
    <mergeCell ref="I25:K25"/>
    <mergeCell ref="F27:H28"/>
    <mergeCell ref="I28:K28"/>
    <mergeCell ref="I30:J30"/>
    <mergeCell ref="N33:O34"/>
    <mergeCell ref="I36:K36"/>
    <mergeCell ref="I37:K37"/>
    <mergeCell ref="O40:V41"/>
    <mergeCell ref="H46:K46"/>
    <mergeCell ref="I49:K49"/>
    <mergeCell ref="I52:K52"/>
    <mergeCell ref="F58:G58"/>
    <mergeCell ref="F59:G59"/>
    <mergeCell ref="E61:F66"/>
    <mergeCell ref="N66:O66"/>
    <mergeCell ref="M69:M70"/>
    <mergeCell ref="F70:H71"/>
    <mergeCell ref="R94:T94"/>
    <mergeCell ref="I62:J62"/>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0" sqref="D20"/>
    </sheetView>
  </sheetViews>
  <sheetFormatPr defaultColWidth="9.08984375" defaultRowHeight="20.149999999999999" customHeight="1" x14ac:dyDescent="0.25"/>
  <cols>
    <col min="1" max="1" width="3.08984375" style="1" customWidth="1"/>
    <col min="2" max="2" width="25.36328125" style="1" customWidth="1"/>
    <col min="3" max="3" width="1.6328125" style="1" customWidth="1"/>
    <col min="4" max="4" width="6.36328125" style="1" customWidth="1"/>
    <col min="5" max="5" width="2.453125" style="1" customWidth="1"/>
    <col min="6" max="6" width="7.36328125" style="1" customWidth="1"/>
    <col min="7" max="8" width="7" style="550" customWidth="1"/>
    <col min="9" max="9" width="2.6328125" style="1" customWidth="1"/>
    <col min="10" max="10" width="25.08984375" style="1" customWidth="1"/>
    <col min="11" max="11" width="7.6328125" style="1" customWidth="1"/>
    <col min="12" max="12" width="20.54296875" style="1" customWidth="1"/>
    <col min="13" max="13" width="8.90625" style="1" customWidth="1"/>
    <col min="14" max="14" width="15.90625" style="1" customWidth="1"/>
    <col min="15" max="15" width="10.36328125" style="1" customWidth="1"/>
    <col min="16" max="16" width="3.453125" style="1" customWidth="1"/>
    <col min="17" max="17" width="9.08984375" style="1"/>
    <col min="18" max="18" width="11.08984375" style="1" customWidth="1"/>
    <col min="19" max="21" width="9.08984375" style="1"/>
    <col min="22" max="22" width="7.36328125" style="1" customWidth="1"/>
    <col min="23" max="23" width="12.453125" style="1" customWidth="1"/>
    <col min="24" max="24" width="6" style="1" customWidth="1"/>
    <col min="25" max="16384" width="9.08984375" style="1"/>
  </cols>
  <sheetData>
    <row r="1" spans="1:19" ht="20.149999999999999" customHeight="1" thickBot="1" x14ac:dyDescent="0.3">
      <c r="A1" s="1">
        <f ca="1">YEAR(B1)</f>
        <v>2024</v>
      </c>
      <c r="B1" s="483">
        <f ca="1">TODAY()</f>
        <v>45351</v>
      </c>
      <c r="F1" s="1546" t="s">
        <v>156</v>
      </c>
      <c r="L1" s="338"/>
    </row>
    <row r="2" spans="1:19" ht="20.149999999999999" customHeight="1" thickTop="1" thickBot="1" x14ac:dyDescent="0.4">
      <c r="A2" s="88" t="s">
        <v>55</v>
      </c>
      <c r="B2" s="89"/>
      <c r="F2" s="1546"/>
      <c r="G2" s="612" t="s">
        <v>358</v>
      </c>
      <c r="H2" s="612" t="s">
        <v>362</v>
      </c>
      <c r="I2" s="1531" t="s">
        <v>57</v>
      </c>
      <c r="J2" s="1532"/>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37" t="s">
        <v>142</v>
      </c>
      <c r="O3" s="1538"/>
      <c r="P3" s="1539"/>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29" t="s">
        <v>140</v>
      </c>
      <c r="O4" s="1530"/>
      <c r="P4" s="1530"/>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35" t="s">
        <v>149</v>
      </c>
      <c r="O5" s="1536"/>
      <c r="P5" s="1536"/>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35" t="s">
        <v>148</v>
      </c>
      <c r="O6" s="1536"/>
      <c r="P6" s="1536"/>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48" t="s">
        <v>141</v>
      </c>
      <c r="O7" s="1549"/>
      <c r="P7" s="1549"/>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37" t="s">
        <v>40</v>
      </c>
      <c r="O8" s="1538"/>
      <c r="P8" s="1539"/>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50" t="s">
        <v>143</v>
      </c>
      <c r="O9" s="1550"/>
      <c r="P9" s="1550"/>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33" t="s">
        <v>128</v>
      </c>
      <c r="N19" s="1534"/>
      <c r="O19" s="54" t="s">
        <v>114</v>
      </c>
    </row>
    <row r="20" spans="1:15" ht="20.149999999999999" customHeight="1" thickTop="1" thickBot="1" x14ac:dyDescent="0.4">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x14ac:dyDescent="0.4">
      <c r="A21" s="44"/>
      <c r="B21" s="45" t="s">
        <v>80</v>
      </c>
      <c r="C21" s="46" t="s">
        <v>51</v>
      </c>
      <c r="D21" s="168">
        <v>8</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27">
        <v>10</v>
      </c>
      <c r="G27" s="1528"/>
      <c r="I27" s="60"/>
      <c r="J27" s="61" t="s">
        <v>84</v>
      </c>
      <c r="K27" s="165">
        <v>6</v>
      </c>
      <c r="L27" s="70" t="s">
        <v>88</v>
      </c>
      <c r="M27" s="49">
        <v>12</v>
      </c>
    </row>
    <row r="28" spans="1:15" ht="20.149999999999999" customHeight="1" thickTop="1" thickBot="1" x14ac:dyDescent="0.4">
      <c r="A28" s="51">
        <v>4</v>
      </c>
      <c r="B28" s="52" t="s">
        <v>115</v>
      </c>
      <c r="C28" s="1554" t="s">
        <v>78</v>
      </c>
      <c r="D28" s="1555"/>
      <c r="I28" s="60"/>
      <c r="J28" s="61" t="s">
        <v>87</v>
      </c>
      <c r="K28" s="165">
        <v>20</v>
      </c>
      <c r="L28" s="70" t="s">
        <v>89</v>
      </c>
      <c r="M28" s="49">
        <v>30</v>
      </c>
    </row>
    <row r="29" spans="1:15" ht="20.149999999999999" customHeight="1" thickTop="1" thickBot="1" x14ac:dyDescent="0.4">
      <c r="A29" s="51">
        <v>5</v>
      </c>
      <c r="B29" s="59" t="s">
        <v>116</v>
      </c>
      <c r="C29" s="1527">
        <v>75</v>
      </c>
      <c r="D29" s="1528"/>
      <c r="E29" s="1556">
        <f>IF(OR(Working!H8=Administration!C7,Working!H8=Administration!C8),G29,0)</f>
        <v>0</v>
      </c>
      <c r="F29" s="1557"/>
      <c r="G29" s="1559">
        <v>1200000</v>
      </c>
      <c r="H29" s="1560"/>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51">
        <v>0</v>
      </c>
      <c r="D38" s="1552"/>
      <c r="E38" s="1553"/>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51">
        <v>50000</v>
      </c>
      <c r="D40" s="1552"/>
      <c r="E40" s="1553"/>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58" t="s">
        <v>131</v>
      </c>
      <c r="D43" s="68" t="s">
        <v>114</v>
      </c>
      <c r="I43" s="64"/>
      <c r="J43" s="67" t="s">
        <v>99</v>
      </c>
      <c r="K43" s="155">
        <v>5.25</v>
      </c>
      <c r="L43" s="30" t="s">
        <v>69</v>
      </c>
      <c r="M43" s="31"/>
    </row>
    <row r="44" spans="1:13" ht="17.149999999999999" customHeight="1" thickTop="1" thickBot="1" x14ac:dyDescent="0.35">
      <c r="B44" s="1558"/>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47" t="s">
        <v>402</v>
      </c>
      <c r="D47" s="68" t="s">
        <v>114</v>
      </c>
      <c r="I47" s="64"/>
      <c r="J47" s="67" t="s">
        <v>103</v>
      </c>
      <c r="K47" s="155">
        <v>6.75</v>
      </c>
      <c r="L47" s="30" t="s">
        <v>69</v>
      </c>
      <c r="M47" s="31"/>
    </row>
    <row r="48" spans="1:13" ht="17.149999999999999" customHeight="1" thickTop="1" x14ac:dyDescent="0.3">
      <c r="B48" s="1547"/>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51">
        <v>15000</v>
      </c>
      <c r="C55" s="1552"/>
      <c r="D55" s="1553"/>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40" t="s">
        <v>435</v>
      </c>
      <c r="B68" s="1541"/>
      <c r="C68" s="1541"/>
      <c r="D68" s="1541"/>
      <c r="E68" s="1541"/>
      <c r="F68" s="1541"/>
      <c r="G68" s="1542"/>
      <c r="I68" s="60"/>
      <c r="J68" s="37" t="s">
        <v>270</v>
      </c>
      <c r="K68" s="173">
        <v>10</v>
      </c>
      <c r="L68" s="319">
        <v>5000</v>
      </c>
      <c r="M68" s="320" t="s">
        <v>283</v>
      </c>
    </row>
    <row r="69" spans="1:13" ht="20.149999999999999" customHeight="1" x14ac:dyDescent="0.3">
      <c r="A69" s="1543"/>
      <c r="B69" s="1544"/>
      <c r="C69" s="1544"/>
      <c r="D69" s="1544"/>
      <c r="E69" s="1544"/>
      <c r="F69" s="1544"/>
      <c r="G69" s="1545"/>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40"/>
      <c r="B72" s="1541"/>
      <c r="C72" s="1541"/>
      <c r="D72" s="1541"/>
      <c r="E72" s="1541"/>
      <c r="F72" s="1541"/>
      <c r="G72" s="1542"/>
      <c r="I72" s="60"/>
      <c r="J72" s="37" t="s">
        <v>275</v>
      </c>
      <c r="K72" s="173">
        <v>0</v>
      </c>
      <c r="L72" s="227" t="s">
        <v>77</v>
      </c>
      <c r="M72" s="36"/>
    </row>
    <row r="73" spans="1:13" ht="20.149999999999999" customHeight="1" x14ac:dyDescent="0.3">
      <c r="A73" s="1543"/>
      <c r="B73" s="1544"/>
      <c r="C73" s="1544"/>
      <c r="D73" s="1544"/>
      <c r="E73" s="1544"/>
      <c r="F73" s="1544"/>
      <c r="G73" s="1545"/>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 ref="C29:D29"/>
    <mergeCell ref="N4:P4"/>
    <mergeCell ref="I2:J2"/>
    <mergeCell ref="M19:N19"/>
    <mergeCell ref="N6:P6"/>
    <mergeCell ref="N8:P8"/>
  </mergeCells>
  <phoneticPr fontId="28" type="noConversion"/>
  <conditionalFormatting sqref="D59:D60">
    <cfRule type="cellIs" dxfId="346"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08984375" defaultRowHeight="20.149999999999999" customHeight="1" x14ac:dyDescent="0.25"/>
  <cols>
    <col min="1" max="1" width="5.08984375" style="381" customWidth="1"/>
    <col min="2" max="3" width="10.36328125" style="381" customWidth="1"/>
    <col min="4" max="4" width="1.6328125" style="381" customWidth="1"/>
    <col min="5" max="5" width="3.54296875" style="381" customWidth="1"/>
    <col min="6" max="6" width="10.08984375" style="381" customWidth="1"/>
    <col min="7" max="7" width="5.453125" style="381" customWidth="1"/>
    <col min="8" max="8" width="4.08984375" style="381" customWidth="1"/>
    <col min="9" max="9" width="3.6328125" style="381" customWidth="1"/>
    <col min="10" max="10" width="10.08984375" style="381" customWidth="1"/>
    <col min="11" max="11" width="6.54296875" style="381" customWidth="1"/>
    <col min="12" max="12" width="9.54296875" style="381" customWidth="1"/>
    <col min="13" max="13" width="2.36328125" style="381" customWidth="1"/>
    <col min="14" max="14" width="10.6328125" style="381" customWidth="1"/>
    <col min="15" max="15" width="13.54296875" style="381" customWidth="1"/>
    <col min="16" max="16" width="9.453125" style="381" bestFit="1" customWidth="1"/>
    <col min="17" max="19" width="9.08984375" style="381"/>
    <col min="20" max="20" width="11.453125" style="381" customWidth="1"/>
    <col min="21" max="21" width="10.453125" style="381" bestFit="1" customWidth="1"/>
    <col min="22" max="16384" width="9.08984375" style="381"/>
  </cols>
  <sheetData>
    <row r="1" spans="1:24" ht="20.149999999999999" customHeight="1" x14ac:dyDescent="0.3">
      <c r="A1" s="1561"/>
      <c r="B1" s="1562"/>
      <c r="C1" s="1562"/>
      <c r="D1" s="1562"/>
      <c r="E1" s="1562"/>
      <c r="F1" s="1562"/>
      <c r="G1" s="1562"/>
      <c r="H1" s="1562"/>
      <c r="I1" s="1562"/>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65" t="str">
        <f>IF(Working!H3="Short period","Period Used (only for Short Period)","")</f>
        <v/>
      </c>
      <c r="J5" s="1565"/>
      <c r="K5" s="1565"/>
      <c r="L5" s="1565"/>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66"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67"/>
      <c r="K6" s="1567"/>
      <c r="L6" s="1568"/>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71" t="s">
        <v>340</v>
      </c>
      <c r="O12" s="1569">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71"/>
      <c r="O13" s="1569"/>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71" t="s">
        <v>344</v>
      </c>
      <c r="O14" s="1570">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71"/>
      <c r="O15" s="1570"/>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63"/>
      <c r="M39" s="1564"/>
    </row>
    <row r="40" spans="1:13" ht="20.25" customHeight="1" x14ac:dyDescent="0.25">
      <c r="A40" s="402"/>
      <c r="B40" s="403"/>
      <c r="C40" s="403"/>
      <c r="D40" s="403"/>
      <c r="E40" s="403"/>
      <c r="F40" s="403"/>
      <c r="G40" s="403"/>
      <c r="H40" s="403"/>
      <c r="I40" s="403"/>
      <c r="J40" s="403"/>
      <c r="K40" s="1575"/>
      <c r="L40" s="1575"/>
      <c r="M40" s="1576"/>
    </row>
    <row r="41" spans="1:13" ht="15" customHeight="1" x14ac:dyDescent="0.25">
      <c r="A41" s="402"/>
      <c r="B41" s="403"/>
      <c r="C41" s="403"/>
      <c r="D41" s="403"/>
      <c r="E41" s="403"/>
      <c r="F41" s="403"/>
      <c r="G41" s="403"/>
      <c r="H41" s="403"/>
      <c r="I41" s="403"/>
      <c r="J41" s="403"/>
      <c r="K41" s="1577"/>
      <c r="L41" s="1577"/>
      <c r="M41" s="1578"/>
    </row>
    <row r="42" spans="1:13" ht="15" customHeight="1" x14ac:dyDescent="0.25">
      <c r="A42" s="402"/>
      <c r="B42" s="403"/>
      <c r="C42" s="403"/>
      <c r="D42" s="403"/>
      <c r="E42" s="403"/>
      <c r="F42" s="403"/>
      <c r="G42" s="403"/>
      <c r="H42" s="403"/>
      <c r="I42" s="403"/>
      <c r="J42" s="403"/>
      <c r="K42" s="1579"/>
      <c r="L42" s="1579"/>
      <c r="M42" s="1580"/>
    </row>
    <row r="43" spans="1:13" ht="20.149999999999999" customHeight="1" x14ac:dyDescent="0.25">
      <c r="A43" s="417"/>
      <c r="B43" s="418"/>
      <c r="C43" s="418"/>
      <c r="D43" s="418"/>
      <c r="E43" s="418"/>
      <c r="F43" s="418"/>
      <c r="G43" s="418"/>
      <c r="H43" s="418"/>
      <c r="I43" s="418"/>
      <c r="J43" s="418"/>
      <c r="K43" s="1572"/>
      <c r="L43" s="1573"/>
      <c r="M43" s="1574"/>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5" priority="1" stopIfTrue="1" operator="greaterThan">
      <formula>T1</formula>
    </cfRule>
    <cfRule type="cellIs" dxfId="344" priority="2" stopIfTrue="1" operator="lessThan">
      <formula>0</formula>
    </cfRule>
  </conditionalFormatting>
  <conditionalFormatting sqref="H9">
    <cfRule type="cellIs" dxfId="343" priority="3" stopIfTrue="1" operator="greaterThan">
      <formula>T1</formula>
    </cfRule>
    <cfRule type="cellIs" dxfId="342" priority="4" stopIfTrue="1" operator="lessThan">
      <formula>0</formula>
    </cfRule>
  </conditionalFormatting>
  <conditionalFormatting sqref="I6:L6">
    <cfRule type="expression" dxfId="341"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4"/>
  <sheetViews>
    <sheetView showGridLines="0" workbookViewId="0">
      <selection activeCell="C13" sqref="C13"/>
    </sheetView>
  </sheetViews>
  <sheetFormatPr defaultColWidth="0" defaultRowHeight="12.5" x14ac:dyDescent="0.25"/>
  <cols>
    <col min="1" max="1" width="9.08984375" customWidth="1"/>
    <col min="2" max="2" width="15.36328125" customWidth="1"/>
    <col min="3" max="3" width="14.54296875" bestFit="1" customWidth="1"/>
    <col min="4" max="6" width="9.08984375" customWidth="1"/>
    <col min="7" max="7" width="23.08984375" customWidth="1"/>
    <col min="8" max="8" width="10.90625" bestFit="1" customWidth="1"/>
    <col min="9" max="9" width="32.90625" customWidth="1"/>
    <col min="10" max="10" width="15.6328125" customWidth="1"/>
    <col min="11" max="14" width="9.08984375" customWidth="1"/>
    <col min="15" max="15" width="10.36328125" bestFit="1" customWidth="1"/>
    <col min="16" max="16" width="11" customWidth="1"/>
    <col min="17" max="17" width="10.54296875" bestFit="1" customWidth="1"/>
    <col min="18" max="18" width="13.54296875" customWidth="1"/>
    <col min="19" max="19" width="13.36328125" customWidth="1"/>
    <col min="20" max="255" width="9.08984375" hidden="1" customWidth="1"/>
    <col min="256" max="16384" width="8.90625" hidden="1"/>
  </cols>
  <sheetData>
    <row r="1" spans="1:31" x14ac:dyDescent="0.25">
      <c r="A1" s="740"/>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row>
    <row r="2" spans="1:31" x14ac:dyDescent="0.25">
      <c r="A2" s="740"/>
      <c r="B2" s="740"/>
      <c r="C2" s="740"/>
      <c r="D2" s="740"/>
      <c r="E2" s="740"/>
      <c r="F2" s="740"/>
      <c r="G2" s="741" t="s">
        <v>539</v>
      </c>
      <c r="H2" s="742">
        <f>C4*1.75%</f>
        <v>17500</v>
      </c>
      <c r="I2" s="740"/>
      <c r="J2" s="740"/>
      <c r="K2" s="740"/>
      <c r="L2" s="740"/>
      <c r="M2" s="740"/>
      <c r="N2" s="740"/>
      <c r="O2" s="740"/>
      <c r="P2" s="740"/>
      <c r="Q2" s="740"/>
      <c r="R2" s="740"/>
      <c r="S2" s="740"/>
      <c r="T2" s="740"/>
      <c r="U2" s="740"/>
      <c r="V2" s="740"/>
      <c r="W2" s="740"/>
      <c r="X2" s="740"/>
      <c r="Y2" s="740"/>
      <c r="Z2" s="740"/>
      <c r="AA2" s="740"/>
      <c r="AB2" s="740"/>
      <c r="AC2" s="740"/>
      <c r="AD2" s="740"/>
      <c r="AE2" s="740"/>
    </row>
    <row r="3" spans="1:31" ht="14" x14ac:dyDescent="0.25">
      <c r="A3" s="740"/>
      <c r="B3" s="740"/>
      <c r="C3" s="740"/>
      <c r="D3" s="740"/>
      <c r="E3" s="740"/>
      <c r="F3" s="743">
        <f>H3/H2</f>
        <v>-3.0983658536585322E-2</v>
      </c>
      <c r="G3" s="741" t="s">
        <v>30</v>
      </c>
      <c r="H3" s="742">
        <f>H4-H2</f>
        <v>-542.21402439024314</v>
      </c>
      <c r="I3" s="740"/>
      <c r="J3" s="740"/>
      <c r="K3" s="740"/>
      <c r="L3" s="740"/>
      <c r="M3" s="740"/>
      <c r="N3" s="740"/>
      <c r="O3" s="740"/>
      <c r="P3" s="1581" t="s">
        <v>549</v>
      </c>
      <c r="Q3" s="1581"/>
      <c r="T3" s="740"/>
      <c r="U3" s="740"/>
      <c r="V3" s="740"/>
      <c r="W3" s="740"/>
      <c r="X3" s="740"/>
      <c r="Y3" s="740"/>
      <c r="Z3" s="740"/>
      <c r="AA3" s="740"/>
      <c r="AB3" s="740"/>
      <c r="AC3" s="740"/>
      <c r="AD3" s="740"/>
      <c r="AE3" s="740"/>
    </row>
    <row r="4" spans="1:31" ht="15.5" x14ac:dyDescent="0.25">
      <c r="A4" s="740"/>
      <c r="B4" s="744" t="s">
        <v>540</v>
      </c>
      <c r="C4" s="1474">
        <f>'TW Quote'!Q16</f>
        <v>1000000</v>
      </c>
      <c r="D4" s="740"/>
      <c r="E4" s="740"/>
      <c r="F4" s="740"/>
      <c r="G4" s="741"/>
      <c r="H4" s="745">
        <f>H9-H7-H5-H6</f>
        <v>16957.785975609757</v>
      </c>
      <c r="I4" s="740"/>
      <c r="J4" s="740"/>
      <c r="K4" s="740">
        <v>100</v>
      </c>
      <c r="L4" s="740"/>
      <c r="M4" s="740"/>
      <c r="N4" s="740"/>
      <c r="O4" s="740"/>
      <c r="P4" s="746">
        <v>400000</v>
      </c>
      <c r="Q4" s="1500">
        <v>1.5243902439024392E-2</v>
      </c>
      <c r="R4" s="1510">
        <v>2000</v>
      </c>
      <c r="T4" s="740"/>
      <c r="U4" s="740"/>
      <c r="V4" s="740"/>
      <c r="W4" s="740"/>
      <c r="X4" s="740"/>
      <c r="Y4" s="740"/>
      <c r="Z4" s="740"/>
      <c r="AA4" s="740"/>
      <c r="AB4" s="740"/>
      <c r="AC4" s="740"/>
      <c r="AD4" s="740"/>
      <c r="AE4" s="740"/>
    </row>
    <row r="5" spans="1:31" ht="15.5" x14ac:dyDescent="0.25">
      <c r="A5" s="740"/>
      <c r="B5" s="744"/>
      <c r="C5" s="744"/>
      <c r="D5" s="740"/>
      <c r="E5" s="740"/>
      <c r="G5" s="741" t="s">
        <v>38</v>
      </c>
      <c r="H5" s="757">
        <f>Working!M29</f>
        <v>0</v>
      </c>
      <c r="I5" s="747"/>
      <c r="J5" s="740"/>
      <c r="K5" s="740">
        <v>25</v>
      </c>
      <c r="L5" s="740"/>
      <c r="M5" s="740"/>
      <c r="N5" s="740"/>
      <c r="O5" s="740"/>
      <c r="P5" s="746">
        <v>450000</v>
      </c>
      <c r="Q5" s="1500">
        <v>1.4982673475609757E-2</v>
      </c>
      <c r="R5" s="1510">
        <v>2000</v>
      </c>
      <c r="T5" s="740"/>
      <c r="U5" s="740"/>
      <c r="V5" s="740"/>
      <c r="W5" s="740"/>
      <c r="X5" s="740"/>
      <c r="Y5" s="740"/>
      <c r="Z5" s="740"/>
      <c r="AA5" s="740"/>
      <c r="AB5" s="740"/>
      <c r="AC5" s="740"/>
      <c r="AD5" s="740"/>
      <c r="AE5" s="740"/>
    </row>
    <row r="6" spans="1:31" ht="15.5" x14ac:dyDescent="0.25">
      <c r="A6" s="740"/>
      <c r="B6" s="744" t="s">
        <v>541</v>
      </c>
      <c r="C6" s="748">
        <f ca="1">H18*Administration!IR9</f>
        <v>14053.892987804878</v>
      </c>
      <c r="D6" s="740"/>
      <c r="E6" s="740"/>
      <c r="G6" s="741" t="s">
        <v>17</v>
      </c>
      <c r="H6" s="757">
        <f>Working!M25</f>
        <v>0</v>
      </c>
      <c r="J6" s="740"/>
      <c r="K6" s="740">
        <v>75</v>
      </c>
      <c r="L6" s="740"/>
      <c r="M6" s="740"/>
      <c r="N6" s="740"/>
      <c r="O6" s="740"/>
      <c r="P6" s="1499">
        <v>500000</v>
      </c>
      <c r="Q6" s="758">
        <v>1.4982673475609758E-2</v>
      </c>
      <c r="R6" s="1510">
        <v>3000</v>
      </c>
      <c r="T6" s="740"/>
      <c r="U6" s="740"/>
      <c r="V6" s="740"/>
      <c r="W6" s="740"/>
      <c r="X6" s="740"/>
      <c r="Y6" s="740"/>
      <c r="Z6" s="740"/>
      <c r="AA6" s="740"/>
      <c r="AB6" s="740"/>
      <c r="AC6" s="740"/>
      <c r="AD6" s="740"/>
      <c r="AE6" s="740"/>
    </row>
    <row r="7" spans="1:31" ht="15.5" x14ac:dyDescent="0.25">
      <c r="A7" s="740">
        <f>IF(A15=0,0,250)</f>
        <v>250</v>
      </c>
      <c r="B7" s="744" t="s">
        <v>542</v>
      </c>
      <c r="C7" s="749">
        <f ca="1">(MAX(750,C6*2.5%))+250</f>
        <v>1000</v>
      </c>
      <c r="D7" s="740"/>
      <c r="E7" s="740"/>
      <c r="F7" s="743">
        <f>H7/(H4+H6+H5)</f>
        <v>-0.5</v>
      </c>
      <c r="G7" s="741" t="s">
        <v>0</v>
      </c>
      <c r="H7" s="742">
        <f>-H9/50*50</f>
        <v>-8478.8929878048784</v>
      </c>
      <c r="I7" s="740"/>
      <c r="J7" s="740"/>
      <c r="K7" s="740"/>
      <c r="L7" s="740"/>
      <c r="M7" s="740"/>
      <c r="N7" s="740"/>
      <c r="O7" s="740"/>
      <c r="P7" s="1499">
        <v>550000</v>
      </c>
      <c r="Q7" s="758">
        <v>1.481380429600887E-2</v>
      </c>
      <c r="R7" s="1510">
        <v>3000</v>
      </c>
      <c r="T7" s="740"/>
      <c r="U7" s="740"/>
      <c r="V7" s="740"/>
      <c r="W7" s="740"/>
      <c r="X7" s="740"/>
      <c r="Y7" s="740"/>
      <c r="Z7" s="740"/>
      <c r="AA7" s="740"/>
      <c r="AB7" s="740"/>
      <c r="AC7" s="740"/>
      <c r="AD7" s="740"/>
      <c r="AE7" s="740"/>
    </row>
    <row r="8" spans="1:31" ht="15.5" x14ac:dyDescent="0.25">
      <c r="A8" s="740"/>
      <c r="B8" s="744" t="s">
        <v>582</v>
      </c>
      <c r="C8" s="749">
        <v>500</v>
      </c>
      <c r="D8" s="740"/>
      <c r="E8" s="740"/>
      <c r="F8" s="743"/>
      <c r="G8" s="741"/>
      <c r="H8" s="742"/>
      <c r="I8" s="740"/>
      <c r="J8" s="740"/>
      <c r="K8" s="740"/>
      <c r="L8" s="740"/>
      <c r="M8" s="740"/>
      <c r="N8" s="740"/>
      <c r="O8" s="740"/>
      <c r="P8" s="1499">
        <v>600000</v>
      </c>
      <c r="Q8" s="758">
        <v>1.4673079979674796E-2</v>
      </c>
      <c r="R8" s="1510">
        <v>3000</v>
      </c>
      <c r="T8" s="740"/>
      <c r="U8" s="740"/>
      <c r="V8" s="740"/>
      <c r="W8" s="740"/>
      <c r="X8" s="740"/>
      <c r="Y8" s="740"/>
      <c r="Z8" s="740"/>
      <c r="AA8" s="740"/>
      <c r="AB8" s="740"/>
      <c r="AC8" s="740"/>
      <c r="AD8" s="740"/>
      <c r="AE8" s="740"/>
    </row>
    <row r="9" spans="1:31" ht="15.5" x14ac:dyDescent="0.25">
      <c r="A9" s="740"/>
      <c r="B9" s="744" t="s">
        <v>579</v>
      </c>
      <c r="C9" s="749">
        <v>3000</v>
      </c>
      <c r="D9" s="740"/>
      <c r="E9" s="740"/>
      <c r="F9" s="740"/>
      <c r="G9" s="741"/>
      <c r="H9" s="745">
        <f>H18-SUM(H10:H16)</f>
        <v>8478.8929878048784</v>
      </c>
      <c r="I9" s="740"/>
      <c r="J9" s="740"/>
      <c r="K9" s="740"/>
      <c r="L9" s="740"/>
      <c r="M9" s="740"/>
      <c r="N9" s="740"/>
      <c r="O9" s="740"/>
      <c r="P9" s="1499">
        <f>P8+50000</f>
        <v>650000</v>
      </c>
      <c r="Q9" s="758">
        <v>1.4554005558161351E-2</v>
      </c>
      <c r="R9" s="1510">
        <v>3000</v>
      </c>
      <c r="T9" s="740"/>
      <c r="U9" s="740"/>
      <c r="V9" s="740"/>
      <c r="W9" s="740"/>
      <c r="X9" s="740"/>
      <c r="Y9" s="740"/>
      <c r="Z9" s="740"/>
      <c r="AA9" s="740"/>
      <c r="AB9" s="740"/>
      <c r="AC9" s="740"/>
      <c r="AD9" s="740"/>
      <c r="AE9" s="740"/>
    </row>
    <row r="10" spans="1:31" ht="15.5" x14ac:dyDescent="0.25">
      <c r="A10" s="1502">
        <f ca="1">(C10+C9)/C6</f>
        <v>0.35577330810322083</v>
      </c>
      <c r="B10" s="1475" t="s">
        <v>580</v>
      </c>
      <c r="C10" s="748">
        <v>2000</v>
      </c>
      <c r="D10" s="1501">
        <f ca="1">ROUNDDOWN((C6*33%)/50,0)*50</f>
        <v>4600</v>
      </c>
      <c r="E10" s="740"/>
      <c r="F10" s="747">
        <f>C4*0.25%</f>
        <v>2500</v>
      </c>
      <c r="G10" s="741" t="s">
        <v>543</v>
      </c>
      <c r="H10" s="742">
        <f>IF($H$22="Yes",C4*0.25%,0)</f>
        <v>2500</v>
      </c>
      <c r="I10" s="740"/>
      <c r="J10" s="740"/>
      <c r="K10" s="740"/>
      <c r="L10" s="740"/>
      <c r="M10" s="740"/>
      <c r="N10" s="740"/>
      <c r="O10" s="740"/>
      <c r="P10" s="1499">
        <f>P9+50000</f>
        <v>700000</v>
      </c>
      <c r="Q10" s="758">
        <v>1.4451941768292686E-2</v>
      </c>
      <c r="R10" s="1510">
        <v>3000</v>
      </c>
      <c r="T10" s="740"/>
      <c r="U10" s="740"/>
      <c r="V10" s="740"/>
      <c r="W10" s="740"/>
      <c r="X10" s="740"/>
      <c r="Y10" s="740"/>
      <c r="Z10" s="740"/>
      <c r="AA10" s="740"/>
      <c r="AB10" s="740"/>
      <c r="AC10" s="740"/>
      <c r="AD10" s="740"/>
      <c r="AE10" s="740"/>
    </row>
    <row r="11" spans="1:31" ht="15.5" x14ac:dyDescent="0.25">
      <c r="A11" s="1511">
        <f>IF(A15=0,0,2.5%)</f>
        <v>2.5000000000000001E-2</v>
      </c>
      <c r="B11" s="1475" t="s">
        <v>575</v>
      </c>
      <c r="C11" s="748">
        <f ca="1">SUM(C6:C10)*A11</f>
        <v>513.84732469512198</v>
      </c>
      <c r="D11" s="740"/>
      <c r="E11" s="740"/>
      <c r="F11" s="747">
        <f>C4*0.0625%</f>
        <v>625</v>
      </c>
      <c r="G11" s="741" t="s">
        <v>544</v>
      </c>
      <c r="H11" s="742">
        <f>IF(AND($H$23="Yes",$H$22="Yes"),C4*0.0625%,0)</f>
        <v>625</v>
      </c>
      <c r="I11" s="740"/>
      <c r="J11" s="740"/>
      <c r="K11" s="740"/>
      <c r="L11" s="740"/>
      <c r="M11" s="740"/>
      <c r="N11" s="740"/>
      <c r="O11" s="740"/>
      <c r="P11" s="1499">
        <f t="shared" ref="P11:P22" si="0">P10+50000</f>
        <v>750000</v>
      </c>
      <c r="Q11" s="758">
        <v>1.436348648373984E-2</v>
      </c>
      <c r="R11" s="1510">
        <v>3000</v>
      </c>
      <c r="T11" s="740"/>
      <c r="U11" s="740"/>
      <c r="V11" s="740"/>
      <c r="W11" s="740"/>
      <c r="X11" s="740"/>
      <c r="Y11" s="740"/>
      <c r="Z11" s="740"/>
      <c r="AA11" s="740"/>
      <c r="AB11" s="740"/>
      <c r="AC11" s="740"/>
      <c r="AD11" s="740"/>
      <c r="AE11" s="740"/>
    </row>
    <row r="12" spans="1:31" ht="15.5" x14ac:dyDescent="0.25">
      <c r="A12" s="1517">
        <v>0.18</v>
      </c>
      <c r="B12" s="744" t="s">
        <v>1</v>
      </c>
      <c r="C12" s="748">
        <f ca="1">SUM(C6:C11)*A12</f>
        <v>3792.1932562500001</v>
      </c>
      <c r="D12" s="740"/>
      <c r="E12" s="740"/>
      <c r="F12" s="740"/>
      <c r="G12" s="741" t="s">
        <v>552</v>
      </c>
      <c r="H12" s="742">
        <f>IF('TW Quote'!L35="Yes",600,0)</f>
        <v>0</v>
      </c>
      <c r="J12" s="740"/>
      <c r="K12" s="740"/>
      <c r="L12" s="740">
        <v>300000</v>
      </c>
      <c r="M12" s="740">
        <v>700</v>
      </c>
      <c r="N12" s="740"/>
      <c r="O12" s="740"/>
      <c r="P12" s="1499">
        <f t="shared" si="0"/>
        <v>800000</v>
      </c>
      <c r="Q12" s="758">
        <v>1.4286088109756097E-2</v>
      </c>
      <c r="R12" s="1510">
        <v>3000</v>
      </c>
      <c r="T12" s="740"/>
      <c r="U12" s="740"/>
      <c r="V12" s="740"/>
      <c r="W12" s="740"/>
      <c r="X12" s="740"/>
      <c r="Y12" s="740"/>
      <c r="Z12" s="740"/>
      <c r="AA12" s="740"/>
      <c r="AB12" s="740"/>
      <c r="AC12" s="740"/>
      <c r="AD12" s="740"/>
      <c r="AE12" s="740"/>
    </row>
    <row r="13" spans="1:31" ht="15.5" x14ac:dyDescent="0.25">
      <c r="A13" s="740"/>
      <c r="B13" s="744" t="s">
        <v>545</v>
      </c>
      <c r="C13" s="750">
        <f ca="1">SUM(C6:C12)*Administration!IR9</f>
        <v>24859.933568750002</v>
      </c>
      <c r="D13" s="740"/>
      <c r="E13" s="740"/>
      <c r="F13" s="740"/>
      <c r="G13" s="741" t="s">
        <v>546</v>
      </c>
      <c r="H13" s="742">
        <f>H2*10%</f>
        <v>1750</v>
      </c>
      <c r="I13" s="740"/>
      <c r="J13" s="755" t="s">
        <v>551</v>
      </c>
      <c r="K13" s="740"/>
      <c r="L13" s="740">
        <v>500000</v>
      </c>
      <c r="M13" s="740">
        <v>1100</v>
      </c>
      <c r="N13" s="740"/>
      <c r="O13" s="740"/>
      <c r="P13" s="1499">
        <f t="shared" si="0"/>
        <v>850000</v>
      </c>
      <c r="Q13" s="758">
        <v>1.4217795426829273E-2</v>
      </c>
      <c r="R13" s="1510">
        <v>3000</v>
      </c>
      <c r="T13" s="740"/>
      <c r="U13" s="740"/>
      <c r="V13" s="740"/>
      <c r="W13" s="740"/>
      <c r="X13" s="740"/>
      <c r="Y13" s="740"/>
      <c r="Z13" s="740"/>
      <c r="AA13" s="740"/>
      <c r="AB13" s="740"/>
      <c r="AC13" s="740"/>
      <c r="AD13" s="740"/>
      <c r="AE13" s="740"/>
    </row>
    <row r="14" spans="1:31" ht="15.5" x14ac:dyDescent="0.25">
      <c r="A14" s="740"/>
      <c r="B14" s="744"/>
      <c r="C14" s="744"/>
      <c r="D14" s="740"/>
      <c r="E14" s="740"/>
      <c r="G14" s="741" t="s">
        <v>547</v>
      </c>
      <c r="H14" s="742"/>
      <c r="I14" s="760" t="s">
        <v>550</v>
      </c>
      <c r="J14" s="748">
        <f>(C4*O14)</f>
        <v>14053.892987804878</v>
      </c>
      <c r="K14" s="740"/>
      <c r="L14" s="740">
        <v>1000000</v>
      </c>
      <c r="M14" s="740">
        <v>2200</v>
      </c>
      <c r="N14" s="740"/>
      <c r="O14" s="759">
        <f>VLOOKUP(C4,P4:IV22,2,1)</f>
        <v>1.4053892987804878E-2</v>
      </c>
      <c r="P14" s="1499">
        <f t="shared" si="0"/>
        <v>900000</v>
      </c>
      <c r="Q14" s="758">
        <v>1.4157090819783197E-2</v>
      </c>
      <c r="R14" s="1510">
        <v>3000</v>
      </c>
      <c r="T14" s="740"/>
      <c r="U14" s="740"/>
      <c r="V14" s="740"/>
      <c r="W14" s="740"/>
      <c r="X14" s="740"/>
      <c r="Y14" s="740"/>
      <c r="Z14" s="740"/>
      <c r="AA14" s="740"/>
      <c r="AB14" s="740"/>
      <c r="AC14" s="740"/>
      <c r="AD14" s="740"/>
      <c r="AE14" s="740"/>
    </row>
    <row r="15" spans="1:31" ht="15.5" x14ac:dyDescent="0.25">
      <c r="A15" s="740">
        <v>1</v>
      </c>
      <c r="B15" s="744"/>
      <c r="C15" s="744"/>
      <c r="D15" s="740"/>
      <c r="E15" s="740"/>
      <c r="F15" s="740"/>
      <c r="G15" s="741" t="s">
        <v>37</v>
      </c>
      <c r="H15" s="751">
        <f>VLOOKUP('TW Quote'!R33,'TW Working'!L12:M14,2,FALSE)</f>
        <v>700</v>
      </c>
      <c r="I15" s="740"/>
      <c r="J15" s="740"/>
      <c r="K15" s="740"/>
      <c r="L15" s="740"/>
      <c r="M15" s="740"/>
      <c r="N15" s="740"/>
      <c r="O15" s="740"/>
      <c r="P15" s="1499">
        <f t="shared" si="0"/>
        <v>950000</v>
      </c>
      <c r="Q15" s="758">
        <v>1.4102776171373555E-2</v>
      </c>
      <c r="R15" s="1510">
        <v>3000</v>
      </c>
      <c r="T15" s="740"/>
      <c r="U15" s="740"/>
      <c r="V15" s="740"/>
      <c r="W15" s="740"/>
      <c r="X15" s="740"/>
      <c r="Y15" s="740"/>
      <c r="Z15" s="740"/>
      <c r="AA15" s="740"/>
      <c r="AB15" s="740"/>
      <c r="AC15" s="740"/>
      <c r="AD15" s="740"/>
      <c r="AE15" s="740"/>
    </row>
    <row r="16" spans="1:31" ht="16" thickBot="1" x14ac:dyDescent="0.3">
      <c r="A16" s="1512">
        <f ca="1">TODAY()</f>
        <v>45351</v>
      </c>
      <c r="B16" s="752"/>
      <c r="C16" s="752"/>
      <c r="D16" s="740"/>
      <c r="E16" s="740"/>
      <c r="F16" s="740"/>
      <c r="G16" s="741" t="s">
        <v>548</v>
      </c>
      <c r="H16" s="751"/>
      <c r="I16" s="740"/>
      <c r="J16" s="740"/>
      <c r="K16" s="740"/>
      <c r="L16" s="740"/>
      <c r="M16" s="740"/>
      <c r="N16" s="740"/>
      <c r="O16" s="740"/>
      <c r="P16" s="1499">
        <f t="shared" si="0"/>
        <v>1000000</v>
      </c>
      <c r="Q16" s="758">
        <v>1.4053892987804878E-2</v>
      </c>
      <c r="R16" s="1510">
        <v>3000</v>
      </c>
      <c r="T16" s="740"/>
      <c r="U16" s="740"/>
      <c r="V16" s="740"/>
      <c r="W16" s="740"/>
      <c r="X16" s="740"/>
      <c r="Y16" s="740"/>
      <c r="Z16" s="740"/>
      <c r="AA16" s="740"/>
      <c r="AB16" s="740"/>
      <c r="AC16" s="740"/>
      <c r="AD16" s="740"/>
      <c r="AE16" s="740"/>
    </row>
    <row r="17" spans="1:31" ht="16" thickBot="1" x14ac:dyDescent="0.3">
      <c r="A17" s="1512"/>
      <c r="B17" s="740"/>
      <c r="C17" s="740"/>
      <c r="D17" s="740"/>
      <c r="E17" s="740"/>
      <c r="F17" s="1516">
        <f ca="1">IF(YEAR(A16)&gt;2023,0.25%*C4,IF(MONTH(A16)=8,0.04%*C4,IF(MONTH(A16)=9,0.08%*C4,IF(MONTH(A16)=10,0.12%*C4,IF(MONTH(A16)=11,0.16%*C4,IF(MONTH(A16)=12,0.25%*C4,0))))))</f>
        <v>2500</v>
      </c>
      <c r="G17" s="1514"/>
      <c r="I17" s="740"/>
      <c r="J17" s="740"/>
      <c r="K17" s="740"/>
      <c r="L17" s="740"/>
      <c r="M17" s="740"/>
      <c r="N17" s="740"/>
      <c r="O17" s="740"/>
      <c r="P17" s="1499">
        <f t="shared" si="0"/>
        <v>1050000</v>
      </c>
      <c r="Q17" s="758">
        <v>1.4009665345528458E-2</v>
      </c>
      <c r="R17" s="1510">
        <v>3000</v>
      </c>
      <c r="T17" s="740"/>
      <c r="U17" s="740"/>
      <c r="V17" s="740"/>
      <c r="W17" s="740"/>
      <c r="X17" s="740"/>
      <c r="Y17" s="740"/>
      <c r="Z17" s="740"/>
      <c r="AA17" s="740"/>
      <c r="AB17" s="740"/>
      <c r="AC17" s="740"/>
      <c r="AD17" s="740"/>
      <c r="AE17" s="740"/>
    </row>
    <row r="18" spans="1:31" ht="15.5" x14ac:dyDescent="0.25">
      <c r="A18" s="740"/>
      <c r="B18" s="740"/>
      <c r="C18" s="740"/>
      <c r="D18" s="740"/>
      <c r="E18" s="740"/>
      <c r="F18" s="740"/>
      <c r="G18" s="741"/>
      <c r="H18" s="753">
        <f>J14+(H15-700)+H6+H5+H12+(H10-F10)+(H11-F11)</f>
        <v>14053.892987804878</v>
      </c>
      <c r="I18" s="740"/>
      <c r="J18" s="740"/>
      <c r="K18" s="740"/>
      <c r="L18" s="740"/>
      <c r="M18" s="740"/>
      <c r="N18" s="740"/>
      <c r="O18" s="740"/>
      <c r="P18" s="1499">
        <f t="shared" si="0"/>
        <v>1100000</v>
      </c>
      <c r="Q18" s="758">
        <v>1.3969458398004436E-2</v>
      </c>
      <c r="R18" s="1510">
        <v>3000</v>
      </c>
      <c r="T18" s="740"/>
      <c r="U18" s="740"/>
      <c r="V18" s="740"/>
      <c r="W18" s="740"/>
      <c r="X18" s="740"/>
      <c r="Y18" s="740"/>
      <c r="Z18" s="740"/>
      <c r="AA18" s="740"/>
      <c r="AB18" s="740"/>
      <c r="AC18" s="740"/>
      <c r="AD18" s="740"/>
      <c r="AE18" s="740"/>
    </row>
    <row r="19" spans="1:31" ht="15.5" x14ac:dyDescent="0.25">
      <c r="A19" s="740"/>
      <c r="B19" s="740"/>
      <c r="C19" s="740"/>
      <c r="D19" s="740"/>
      <c r="E19" s="740"/>
      <c r="F19" s="740"/>
      <c r="G19" s="744" t="s">
        <v>545</v>
      </c>
      <c r="H19" s="754">
        <f ca="1">C13</f>
        <v>24859.933568750002</v>
      </c>
      <c r="I19" s="740"/>
      <c r="K19" s="740"/>
      <c r="L19" s="740"/>
      <c r="M19" s="740"/>
      <c r="N19" s="740"/>
      <c r="O19" s="740"/>
      <c r="P19" s="1499">
        <f t="shared" si="0"/>
        <v>1150000</v>
      </c>
      <c r="Q19" s="758">
        <v>1.393274770678685E-2</v>
      </c>
      <c r="R19" s="1510">
        <v>3000</v>
      </c>
      <c r="T19" s="740"/>
      <c r="U19" s="740"/>
      <c r="V19" s="740"/>
      <c r="W19" s="740"/>
      <c r="X19" s="740"/>
      <c r="Y19" s="740"/>
      <c r="Z19" s="740"/>
      <c r="AA19" s="740"/>
      <c r="AB19" s="740"/>
      <c r="AC19" s="740"/>
      <c r="AD19" s="740"/>
      <c r="AE19" s="740"/>
    </row>
    <row r="20" spans="1:31" ht="15.5" x14ac:dyDescent="0.25">
      <c r="A20" s="740"/>
      <c r="B20" s="740"/>
      <c r="C20" s="1477"/>
      <c r="D20" s="740"/>
      <c r="E20" s="740"/>
      <c r="F20" s="740"/>
      <c r="G20" s="740"/>
      <c r="H20" s="740"/>
      <c r="I20" s="740"/>
      <c r="J20" s="740"/>
      <c r="K20" s="1476"/>
      <c r="L20" s="740"/>
      <c r="M20" s="740"/>
      <c r="N20" s="740"/>
      <c r="O20" s="740"/>
      <c r="P20" s="1499">
        <f t="shared" si="0"/>
        <v>1200000</v>
      </c>
      <c r="Q20" s="758">
        <v>1.38990962398374E-2</v>
      </c>
      <c r="R20" s="1510">
        <v>3000</v>
      </c>
      <c r="T20" s="740"/>
      <c r="U20" s="740"/>
      <c r="V20" s="740"/>
      <c r="W20" s="740"/>
      <c r="X20" s="740"/>
      <c r="Y20" s="740"/>
      <c r="Z20" s="740"/>
      <c r="AA20" s="740"/>
      <c r="AB20" s="740"/>
      <c r="AC20" s="740"/>
      <c r="AD20" s="740"/>
      <c r="AE20" s="740"/>
    </row>
    <row r="21" spans="1:31" ht="15.5" x14ac:dyDescent="0.25">
      <c r="A21" s="740"/>
      <c r="B21" s="740"/>
      <c r="C21" s="740"/>
      <c r="D21" s="740"/>
      <c r="E21" s="740"/>
      <c r="F21" s="740"/>
      <c r="G21" s="740"/>
      <c r="H21" s="740"/>
      <c r="I21" s="740"/>
      <c r="J21" s="740"/>
      <c r="K21" s="740"/>
      <c r="L21" s="740"/>
      <c r="M21" s="740"/>
      <c r="N21" s="740"/>
      <c r="O21" s="740"/>
      <c r="P21" s="1499">
        <f t="shared" si="0"/>
        <v>1250000</v>
      </c>
      <c r="Q21" s="758">
        <v>1.3868136890243908E-2</v>
      </c>
      <c r="R21" s="1510">
        <v>3000</v>
      </c>
      <c r="T21" s="740"/>
      <c r="U21" s="740"/>
      <c r="V21" s="740"/>
      <c r="W21" s="740"/>
      <c r="X21" s="740"/>
      <c r="Y21" s="740"/>
      <c r="Z21" s="740"/>
      <c r="AA21" s="740"/>
      <c r="AB21" s="740"/>
      <c r="AC21" s="740"/>
      <c r="AD21" s="740"/>
      <c r="AE21" s="740"/>
    </row>
    <row r="22" spans="1:31" ht="15.5" x14ac:dyDescent="0.25">
      <c r="A22" s="740"/>
      <c r="B22" s="740"/>
      <c r="C22" s="740"/>
      <c r="D22" s="740"/>
      <c r="E22" s="740"/>
      <c r="F22" s="740"/>
      <c r="G22" s="1476" t="s">
        <v>543</v>
      </c>
      <c r="H22" s="1503" t="s">
        <v>78</v>
      </c>
      <c r="I22" s="740"/>
      <c r="J22" s="740"/>
      <c r="K22" s="740"/>
      <c r="L22" s="740"/>
      <c r="M22" s="740"/>
      <c r="N22" s="740"/>
      <c r="O22" s="740"/>
      <c r="P22" s="1499">
        <f t="shared" si="0"/>
        <v>1300000</v>
      </c>
      <c r="Q22" s="758">
        <v>1.3868136890243908E-2</v>
      </c>
      <c r="R22" s="1510">
        <v>3000</v>
      </c>
      <c r="T22" s="740"/>
      <c r="U22" s="740"/>
      <c r="V22" s="740"/>
      <c r="W22" s="740"/>
      <c r="X22" s="740"/>
      <c r="Y22" s="740"/>
      <c r="Z22" s="740"/>
      <c r="AA22" s="740"/>
      <c r="AB22" s="740"/>
      <c r="AC22" s="740"/>
      <c r="AD22" s="740"/>
      <c r="AE22" s="740"/>
    </row>
    <row r="23" spans="1:31" x14ac:dyDescent="0.25">
      <c r="A23" s="740"/>
      <c r="B23" s="740"/>
      <c r="C23" s="740"/>
      <c r="D23" s="740"/>
      <c r="G23" s="1476" t="s">
        <v>544</v>
      </c>
      <c r="H23" s="1503" t="str">
        <f>'TW Quote'!T22</f>
        <v>Yes</v>
      </c>
    </row>
    <row r="24" spans="1:31" x14ac:dyDescent="0.25">
      <c r="B24" s="740"/>
      <c r="C24" s="740"/>
    </row>
  </sheetData>
  <sheetProtection algorithmName="SHA-512" hashValue="nnqQG7ed8624EyJihgSTsTd8cEKYiYd5rgwdnnugLGClX8MU6gParXPH6QRGKQfiIm07eYU46buoxMEKpwc4sg==" saltValue="mVsoS1Nka8rN8nEa2cw1hA==" spinCount="100000" sheet="1" objects="1" scenarios="1"/>
  <mergeCells count="1">
    <mergeCell ref="P3:Q3"/>
  </mergeCells>
  <conditionalFormatting sqref="F17">
    <cfRule type="expression" dxfId="340" priority="1" stopIfTrue="1">
      <formula>G17=1</formula>
    </cfRule>
  </conditionalFormatting>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7" zoomScale="85" zoomScaleNormal="85" workbookViewId="0">
      <selection activeCell="R18" sqref="R18"/>
    </sheetView>
  </sheetViews>
  <sheetFormatPr defaultColWidth="0" defaultRowHeight="12.5" zeroHeight="1" x14ac:dyDescent="0.25"/>
  <cols>
    <col min="1" max="1" width="2.453125" style="142" customWidth="1"/>
    <col min="2" max="2" width="1.36328125" style="142" customWidth="1"/>
    <col min="3" max="3" width="4.36328125" style="142" customWidth="1"/>
    <col min="4" max="4" width="10.453125" style="142" customWidth="1"/>
    <col min="5" max="5" width="4.453125" style="142" customWidth="1"/>
    <col min="6" max="6" width="13.36328125" style="142" customWidth="1"/>
    <col min="7" max="7" width="4.36328125" style="142" customWidth="1"/>
    <col min="8" max="8" width="1.54296875" style="142" customWidth="1"/>
    <col min="9" max="9" width="16.90625" style="142" customWidth="1"/>
    <col min="10" max="11" width="1.90625" style="142" customWidth="1"/>
    <col min="12" max="12" width="4.90625" style="142" customWidth="1"/>
    <col min="13" max="13" width="9.90625" style="142" customWidth="1"/>
    <col min="14" max="14" width="5.08984375" style="142" customWidth="1"/>
    <col min="15" max="15" width="8.6328125" style="142" customWidth="1"/>
    <col min="16" max="16" width="3.6328125" style="142" customWidth="1"/>
    <col min="17" max="17" width="7.36328125" style="142" customWidth="1"/>
    <col min="18" max="18" width="24.90625" style="142" customWidth="1"/>
    <col min="19" max="19" width="4.6328125" style="142" customWidth="1"/>
    <col min="20" max="20" width="8.6328125" style="142" customWidth="1"/>
    <col min="21" max="21" width="3.54296875" style="142" hidden="1" customWidth="1"/>
    <col min="22" max="22" width="6.90625" style="559" hidden="1" customWidth="1"/>
    <col min="23" max="24" width="6.453125" style="559" hidden="1" customWidth="1"/>
    <col min="25" max="25" width="4.453125" style="559" hidden="1" customWidth="1"/>
    <col min="26" max="26" width="6.90625" style="559" hidden="1" customWidth="1"/>
    <col min="27" max="27" width="3.453125" style="559" hidden="1" customWidth="1"/>
    <col min="28" max="28" width="8.90625" style="559" hidden="1" customWidth="1"/>
    <col min="29" max="29" width="10.08984375" style="559" hidden="1" customWidth="1"/>
    <col min="30" max="253" width="8.90625" style="142" hidden="1" customWidth="1"/>
    <col min="254" max="254" width="5.6328125" style="142" hidden="1" customWidth="1"/>
    <col min="255" max="255" width="5.08984375" style="142" hidden="1" customWidth="1"/>
    <col min="256" max="16384" width="8.984375E-2" style="142" hidden="1"/>
  </cols>
  <sheetData>
    <row r="1" spans="1:28" ht="45" customHeight="1" thickTop="1" x14ac:dyDescent="0.25">
      <c r="A1" s="2"/>
      <c r="B1" s="119"/>
      <c r="C1" s="3"/>
      <c r="D1" s="3"/>
      <c r="E1" s="3"/>
      <c r="F1" s="3"/>
      <c r="G1" s="3"/>
      <c r="H1" s="3"/>
      <c r="I1" s="3"/>
      <c r="J1" s="3"/>
      <c r="K1" s="3"/>
      <c r="L1" s="3"/>
      <c r="M1" s="1583"/>
      <c r="N1" s="1583"/>
      <c r="O1" s="1583"/>
      <c r="P1" s="1583"/>
      <c r="Q1" s="1583"/>
      <c r="R1" s="1583"/>
      <c r="S1" s="1584"/>
      <c r="U1" s="139"/>
      <c r="V1" s="632"/>
      <c r="W1" s="632"/>
      <c r="X1" s="632"/>
      <c r="Y1" s="632"/>
      <c r="Z1" s="632"/>
      <c r="AA1" s="632"/>
      <c r="AB1" s="632"/>
    </row>
    <row r="2" spans="1:28" ht="33.75" customHeight="1" x14ac:dyDescent="0.25">
      <c r="A2" s="120"/>
      <c r="B2" s="15"/>
      <c r="C2" s="16"/>
      <c r="D2" s="16"/>
      <c r="E2" s="16"/>
      <c r="F2" s="16"/>
      <c r="G2" s="16"/>
      <c r="H2" s="16"/>
      <c r="I2" s="16"/>
      <c r="J2" s="16"/>
      <c r="K2" s="16"/>
      <c r="L2" s="16"/>
      <c r="M2" s="1585" t="str">
        <f>IF(U3=0,CONCATENATE("Print  ",Working!Y48,"  Sheet"),"")</f>
        <v/>
      </c>
      <c r="N2" s="1585"/>
      <c r="O2" s="1585"/>
      <c r="P2" s="1585"/>
      <c r="Q2" s="1585"/>
      <c r="R2" s="1585"/>
      <c r="S2" s="121"/>
      <c r="U2" s="139"/>
      <c r="V2" s="632"/>
      <c r="W2" s="632"/>
      <c r="X2" s="632"/>
      <c r="Y2" s="632"/>
      <c r="Z2" s="632"/>
      <c r="AA2" s="632"/>
      <c r="AB2" s="632"/>
    </row>
    <row r="3" spans="1:28" ht="12.9"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529</v>
      </c>
      <c r="D4" s="9"/>
      <c r="E4" s="295"/>
      <c r="F4" s="355"/>
      <c r="G4" s="7"/>
      <c r="H4" s="9"/>
      <c r="I4" s="9"/>
      <c r="J4" s="9"/>
      <c r="K4" s="9"/>
      <c r="L4" s="11"/>
      <c r="M4" s="326"/>
      <c r="N4" s="326"/>
      <c r="O4" s="335"/>
      <c r="P4" s="1593">
        <f ca="1">TODAY()</f>
        <v>45351</v>
      </c>
      <c r="Q4" s="1593"/>
      <c r="R4" s="1593"/>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x14ac:dyDescent="0.25">
      <c r="A8" s="120"/>
      <c r="B8" s="7"/>
      <c r="C8" s="1586" t="s">
        <v>526</v>
      </c>
      <c r="D8" s="1587"/>
      <c r="E8" s="1587"/>
      <c r="F8" s="1587"/>
      <c r="G8" s="1587"/>
      <c r="H8" s="1587"/>
      <c r="I8" s="1587"/>
      <c r="J8" s="1588"/>
      <c r="K8" s="273"/>
      <c r="L8" s="280" t="s">
        <v>108</v>
      </c>
      <c r="M8" s="104"/>
      <c r="N8" s="105"/>
      <c r="O8" s="105"/>
      <c r="P8" s="1586" t="s">
        <v>526</v>
      </c>
      <c r="Q8" s="1587"/>
      <c r="R8" s="1588"/>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586" t="s">
        <v>522</v>
      </c>
      <c r="Q9" s="1587"/>
      <c r="R9" s="1588"/>
      <c r="S9" s="644"/>
    </row>
    <row r="10" spans="1:28" ht="18" customHeight="1" x14ac:dyDescent="0.3">
      <c r="A10" s="120"/>
      <c r="B10" s="7"/>
      <c r="C10" s="331" t="s">
        <v>296</v>
      </c>
      <c r="D10" s="80"/>
      <c r="E10" s="80"/>
      <c r="F10" s="80"/>
      <c r="G10" s="348"/>
      <c r="H10" s="348"/>
      <c r="I10" s="348"/>
      <c r="J10" s="348"/>
      <c r="K10" s="103"/>
      <c r="L10" s="280" t="s">
        <v>357</v>
      </c>
      <c r="M10" s="258"/>
      <c r="N10" s="106"/>
      <c r="O10" s="106"/>
      <c r="P10" s="1596" t="s">
        <v>525</v>
      </c>
      <c r="Q10" s="1612"/>
      <c r="R10" s="1612"/>
      <c r="S10" s="350"/>
      <c r="X10" s="706" t="s">
        <v>527</v>
      </c>
    </row>
    <row r="11" spans="1:28" ht="18" customHeight="1" x14ac:dyDescent="0.25">
      <c r="A11" s="120"/>
      <c r="B11" s="7"/>
      <c r="C11" s="1586" t="s">
        <v>526</v>
      </c>
      <c r="D11" s="1587"/>
      <c r="E11" s="1587"/>
      <c r="F11" s="1587"/>
      <c r="G11" s="1587"/>
      <c r="H11" s="1587"/>
      <c r="I11" s="1587"/>
      <c r="J11" s="1588"/>
      <c r="K11" s="273"/>
      <c r="L11" s="280" t="s">
        <v>34</v>
      </c>
      <c r="M11" s="104"/>
      <c r="N11" s="107"/>
      <c r="O11" s="106"/>
      <c r="P11" s="1586" t="s">
        <v>528</v>
      </c>
      <c r="Q11" s="1587"/>
      <c r="R11" s="1588"/>
      <c r="S11" s="351"/>
    </row>
    <row r="12" spans="1:28" ht="18" customHeight="1" x14ac:dyDescent="0.3">
      <c r="A12" s="120"/>
      <c r="B12" s="7"/>
      <c r="C12" s="332" t="s">
        <v>298</v>
      </c>
      <c r="D12" s="80"/>
      <c r="E12" s="80"/>
      <c r="F12" s="80"/>
      <c r="G12" s="349"/>
      <c r="H12" s="349"/>
      <c r="I12" s="349"/>
      <c r="J12" s="349"/>
      <c r="K12" s="125"/>
      <c r="L12" s="280" t="s">
        <v>35</v>
      </c>
      <c r="M12" s="104"/>
      <c r="N12" s="108"/>
      <c r="O12" s="108"/>
      <c r="P12" s="1602" t="str">
        <f>IF(Working!U2=1,UPPER(V12),"")</f>
        <v>HIRING</v>
      </c>
      <c r="Q12" s="1602"/>
      <c r="R12" s="1602"/>
      <c r="S12" s="352"/>
      <c r="V12" s="559" t="str">
        <f>IF(Working!H9="Private Use","Private Use Only",Working!H9)</f>
        <v>Hiring</v>
      </c>
    </row>
    <row r="13" spans="1:28" ht="22.5" customHeight="1" x14ac:dyDescent="0.3">
      <c r="A13" s="120"/>
      <c r="B13" s="702">
        <f>IF(OR(C13=I86,C13=I87,C13=I88,C13=I89,C13=I90,C13=I91,C13=I92,C13=I93,C13=I94,C13=I95,C13=I96,C13=I97,C13=I98),1,0)</f>
        <v>0</v>
      </c>
      <c r="C13" s="1605" t="s">
        <v>578</v>
      </c>
      <c r="D13" s="1606"/>
      <c r="E13" s="1606"/>
      <c r="F13" s="1606"/>
      <c r="G13" s="1606"/>
      <c r="H13" s="1606"/>
      <c r="I13" s="1606"/>
      <c r="J13" s="1607"/>
      <c r="K13" s="274"/>
      <c r="L13" s="280" t="s">
        <v>408</v>
      </c>
      <c r="M13" s="104"/>
      <c r="N13" s="108"/>
      <c r="O13" s="108"/>
      <c r="P13" s="1596">
        <v>2007</v>
      </c>
      <c r="Q13" s="1597"/>
      <c r="R13" s="310">
        <f>IF(U3=1,Working!T12,"")</f>
        <v>4</v>
      </c>
      <c r="S13" s="352"/>
      <c r="T13" s="704">
        <f>IF(I13="Ijarah","Ijarah",I13)</f>
        <v>0</v>
      </c>
      <c r="V13" s="559" t="str">
        <f>IF(AND(Working!K14="",Working!B21="No"),"NOT APPLICABLE",IF(AND(Working!K14="",OR(Working!B21="Yes",Working!B21="Free")),"APPLICABLE  - TO BE ADVISED",Working!K14))</f>
        <v>HNB FINANCE</v>
      </c>
    </row>
    <row r="14" spans="1:28" ht="14.4" customHeight="1" x14ac:dyDescent="0.3">
      <c r="A14" s="120"/>
      <c r="B14" s="7"/>
      <c r="C14" s="19"/>
      <c r="D14" s="19"/>
      <c r="E14" s="19"/>
      <c r="F14" s="19"/>
      <c r="G14" s="19"/>
      <c r="H14" s="19"/>
      <c r="I14" s="703"/>
      <c r="J14" s="20"/>
      <c r="K14" s="20"/>
      <c r="L14" s="19"/>
      <c r="M14" s="19"/>
      <c r="N14" s="19"/>
      <c r="O14" s="19"/>
      <c r="P14" s="19" t="e">
        <f>t</f>
        <v>#NAME?</v>
      </c>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25"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598">
        <v>1000000</v>
      </c>
      <c r="R16" s="1599"/>
      <c r="S16" s="127"/>
    </row>
    <row r="17" spans="1:32" ht="13.25" customHeight="1" thickBot="1" x14ac:dyDescent="0.35">
      <c r="A17" s="120"/>
      <c r="B17" s="7"/>
      <c r="C17" s="1611" t="str">
        <f>IF(Working!H3="One Year","",CONCATENATE("(From ",Working!G4," ",Working!H4," ",Working!I4," to ",Working!G5," ",Working!H5," ",Working!I5,")"))</f>
        <v/>
      </c>
      <c r="D17" s="1611"/>
      <c r="E17" s="1611"/>
      <c r="F17" s="1611"/>
      <c r="G17" s="1611"/>
      <c r="H17" s="1611"/>
      <c r="I17" s="1611"/>
      <c r="J17" s="9"/>
      <c r="K17" s="9"/>
      <c r="L17" s="708" t="s">
        <v>168</v>
      </c>
      <c r="M17" s="258"/>
      <c r="N17" s="7"/>
      <c r="O17" s="7"/>
      <c r="P17" s="707"/>
      <c r="Q17" s="1600"/>
      <c r="R17" s="1601"/>
      <c r="S17" s="127"/>
    </row>
    <row r="18" spans="1:32" ht="17.149999999999999" customHeight="1" x14ac:dyDescent="0.3">
      <c r="A18" s="120"/>
      <c r="B18" s="7"/>
      <c r="C18" s="1611"/>
      <c r="D18" s="1611"/>
      <c r="E18" s="1611"/>
      <c r="F18" s="1611"/>
      <c r="G18" s="1611"/>
      <c r="H18" s="1611"/>
      <c r="I18" s="1611"/>
      <c r="J18" s="9"/>
      <c r="K18" s="9"/>
      <c r="L18" s="77" t="s">
        <v>13</v>
      </c>
      <c r="M18" s="7"/>
      <c r="N18" s="7"/>
      <c r="O18" s="7"/>
      <c r="P18" s="7"/>
      <c r="Q18" s="261" t="s">
        <v>26</v>
      </c>
      <c r="R18" s="266">
        <f ca="1">'TW Working'!C6-'TW Working'!H11-'TW Working'!H10</f>
        <v>10928.892987804878</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'TW Working'!H10*Administration!IR9</f>
        <v>2500</v>
      </c>
      <c r="S19" s="127"/>
      <c r="T19" s="645" t="s">
        <v>58</v>
      </c>
    </row>
    <row r="20" spans="1:32" ht="17.149999999999999" customHeight="1" x14ac:dyDescent="0.3">
      <c r="A20" s="120"/>
      <c r="B20" s="7"/>
      <c r="C20" s="1610" t="s">
        <v>519</v>
      </c>
      <c r="D20" s="1610"/>
      <c r="E20" s="1610"/>
      <c r="F20" s="1610"/>
      <c r="G20" s="1610"/>
      <c r="H20" s="1610"/>
      <c r="I20" s="1610"/>
      <c r="J20" s="1610"/>
      <c r="K20" s="9"/>
      <c r="L20" s="265" t="s">
        <v>24</v>
      </c>
      <c r="M20" s="7"/>
      <c r="N20" s="7"/>
      <c r="O20" s="7"/>
      <c r="P20" s="7"/>
      <c r="Q20" s="261" t="s">
        <v>26</v>
      </c>
      <c r="R20" s="266">
        <f ca="1">'TW Working'!H11*Administration!IR9</f>
        <v>625</v>
      </c>
      <c r="S20" s="127"/>
      <c r="T20" s="1507" t="s">
        <v>78</v>
      </c>
    </row>
    <row r="21" spans="1:32" ht="17.149999999999999" customHeight="1" x14ac:dyDescent="0.3">
      <c r="A21" s="120"/>
      <c r="B21" s="7"/>
      <c r="C21" s="1610"/>
      <c r="D21" s="1610"/>
      <c r="E21" s="1610"/>
      <c r="F21" s="1610"/>
      <c r="G21" s="1610"/>
      <c r="H21" s="1610"/>
      <c r="I21" s="1610"/>
      <c r="J21" s="1610"/>
      <c r="K21" s="9"/>
      <c r="L21" s="265" t="s">
        <v>146</v>
      </c>
      <c r="M21" s="7"/>
      <c r="N21" s="7"/>
      <c r="O21" s="7"/>
      <c r="P21" s="7"/>
      <c r="Q21" s="261" t="s">
        <v>26</v>
      </c>
      <c r="R21" s="266">
        <f ca="1">SUM('TW Working'!C7:C11)</f>
        <v>7013.8473246951216</v>
      </c>
      <c r="S21" s="127"/>
      <c r="T21" s="645" t="str">
        <f>IF(Q16&gt;=700000,"Terrorism","")</f>
        <v>Terrorism</v>
      </c>
    </row>
    <row r="22" spans="1:32" ht="17.149999999999999" customHeight="1" thickBot="1" x14ac:dyDescent="0.35">
      <c r="A22" s="120"/>
      <c r="B22" s="7"/>
      <c r="C22" s="1610"/>
      <c r="D22" s="1610"/>
      <c r="E22" s="1610"/>
      <c r="F22" s="1610"/>
      <c r="G22" s="1610"/>
      <c r="H22" s="1610"/>
      <c r="I22" s="1610"/>
      <c r="J22" s="1610"/>
      <c r="K22" s="9"/>
      <c r="L22" s="265" t="str">
        <f>IF(Rates!$F$20="Yes","Nation Building Levy (NBL)","VAT")</f>
        <v>VAT</v>
      </c>
      <c r="M22" s="7"/>
      <c r="N22" s="7"/>
      <c r="O22" s="7"/>
      <c r="P22" s="7"/>
      <c r="Q22" s="261" t="s">
        <v>26</v>
      </c>
      <c r="R22" s="266">
        <f ca="1">'TW Working'!C12</f>
        <v>3792.1932562500001</v>
      </c>
      <c r="S22" s="127"/>
      <c r="T22" s="756" t="str">
        <f>IF(Q16&lt;700000,T20,"Yes")</f>
        <v>Yes</v>
      </c>
    </row>
    <row r="23" spans="1:32" ht="17.149999999999999" customHeight="1" thickTop="1" thickBot="1" x14ac:dyDescent="0.35">
      <c r="A23" s="120"/>
      <c r="B23" s="7"/>
      <c r="C23" s="1610"/>
      <c r="D23" s="1610"/>
      <c r="E23" s="1610"/>
      <c r="F23" s="1610"/>
      <c r="G23" s="1610"/>
      <c r="H23" s="1610"/>
      <c r="I23" s="1610"/>
      <c r="J23" s="1610"/>
      <c r="K23" s="9"/>
      <c r="L23" s="77" t="str">
        <f>IF(Rates!$F$20="Yes","VAT","Total Contribution")</f>
        <v>Total Contribution</v>
      </c>
      <c r="M23" s="7"/>
      <c r="N23" s="7"/>
      <c r="O23" s="7"/>
      <c r="P23" s="7"/>
      <c r="Q23" s="261" t="s">
        <v>26</v>
      </c>
      <c r="R23" s="721">
        <f ca="1">IF(U3=1,'TW Working'!C13,0)</f>
        <v>24859.933568750002</v>
      </c>
      <c r="S23" s="127"/>
      <c r="Y23" s="641"/>
    </row>
    <row r="24" spans="1:32" ht="17.149999999999999" customHeight="1" thickTop="1" x14ac:dyDescent="0.3">
      <c r="A24" s="120"/>
      <c r="B24" s="7"/>
      <c r="C24" s="1610"/>
      <c r="D24" s="1610"/>
      <c r="E24" s="1610"/>
      <c r="F24" s="1610"/>
      <c r="G24" s="1610"/>
      <c r="H24" s="1610"/>
      <c r="I24" s="1610"/>
      <c r="J24" s="1610"/>
      <c r="K24" s="9"/>
      <c r="L24" s="1609" t="str">
        <f ca="1">IF(Administration!IR9=1,CONCATENATE("         ** Special Leasing Promotion        Exclusively for ",C13),"Quotation Expired")</f>
        <v xml:space="preserve">         ** Special Leasing Promotion        Exclusively for HNB FINANCE</v>
      </c>
      <c r="M24" s="1609"/>
      <c r="N24" s="1609"/>
      <c r="O24" s="1609"/>
      <c r="P24" s="1609"/>
      <c r="Q24" s="1609"/>
      <c r="R24" s="1609"/>
      <c r="S24" s="127"/>
    </row>
    <row r="25" spans="1:32" ht="25.25" customHeight="1" x14ac:dyDescent="0.3">
      <c r="A25" s="120"/>
      <c r="B25" s="7"/>
      <c r="C25" s="710"/>
      <c r="D25" s="710"/>
      <c r="E25" s="710"/>
      <c r="F25" s="710"/>
      <c r="G25" s="710"/>
      <c r="H25" s="710"/>
      <c r="I25" s="710"/>
      <c r="J25" s="710"/>
      <c r="K25" s="9"/>
      <c r="L25" s="1609"/>
      <c r="M25" s="1609"/>
      <c r="N25" s="1609"/>
      <c r="O25" s="1609"/>
      <c r="P25" s="1609"/>
      <c r="Q25" s="1609"/>
      <c r="R25" s="1609"/>
      <c r="S25" s="739"/>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8.89999999999999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0</v>
      </c>
      <c r="X32" s="713"/>
      <c r="Y32" s="713"/>
      <c r="Z32" s="716">
        <f>IF(AND(Working!AA25=1,Working!R25=2),MAX(Working!H25,Rates!C40),IF(AND(Working!AA25=1,Working!R25&lt;2),Rates!C40,IF(AND(Working!AA25=0,Working!R25=2),Working!H25,0)))</f>
        <v>0</v>
      </c>
      <c r="AA32" s="713"/>
      <c r="AB32" s="713"/>
      <c r="AC32" s="713"/>
      <c r="AD32" s="545"/>
      <c r="AE32" s="545"/>
      <c r="AF32" s="545"/>
    </row>
    <row r="33" spans="1:32" ht="18.899999999999999" customHeight="1" thickBot="1" x14ac:dyDescent="0.4">
      <c r="A33" s="120"/>
      <c r="B33" s="7"/>
      <c r="C33" s="21" t="s">
        <v>9</v>
      </c>
      <c r="D33" s="77" t="s">
        <v>530</v>
      </c>
      <c r="E33" s="10"/>
      <c r="F33" s="10"/>
      <c r="G33" s="10"/>
      <c r="H33" s="9"/>
      <c r="I33" s="9"/>
      <c r="J33" s="279"/>
      <c r="K33" s="9"/>
      <c r="L33" s="21" t="s">
        <v>9</v>
      </c>
      <c r="M33" s="608" t="s">
        <v>6</v>
      </c>
      <c r="N33" s="8"/>
      <c r="O33" s="11"/>
      <c r="P33" s="11"/>
      <c r="Q33" s="11"/>
      <c r="R33" s="695">
        <v>300000</v>
      </c>
      <c r="S33" s="126"/>
      <c r="T33" s="654" t="s">
        <v>0</v>
      </c>
      <c r="U33" s="287" t="str">
        <f>Working!B39</f>
        <v>Yes</v>
      </c>
      <c r="V33" s="713" t="s">
        <v>38</v>
      </c>
      <c r="W33" s="712">
        <f>Working!R29</f>
        <v>1</v>
      </c>
      <c r="X33" s="713"/>
      <c r="Y33" s="713"/>
      <c r="Z33" s="713"/>
      <c r="AA33" s="713"/>
      <c r="AB33" s="713"/>
      <c r="AC33" s="713"/>
      <c r="AD33" s="545"/>
      <c r="AE33" s="545"/>
      <c r="AF33" s="545"/>
    </row>
    <row r="34" spans="1:32" ht="18.899999999999999" customHeight="1" thickBot="1" x14ac:dyDescent="0.4">
      <c r="A34" s="120"/>
      <c r="B34" s="1505" t="str">
        <f>'TW Working'!H22</f>
        <v>Yes</v>
      </c>
      <c r="C34" s="21" t="s">
        <v>9</v>
      </c>
      <c r="D34" s="77" t="s">
        <v>265</v>
      </c>
      <c r="E34" s="10"/>
      <c r="F34" s="10"/>
      <c r="G34" s="10"/>
      <c r="H34" s="9"/>
      <c r="I34" s="9"/>
      <c r="J34" s="279"/>
      <c r="K34" s="9"/>
      <c r="L34" s="21" t="s">
        <v>9</v>
      </c>
      <c r="M34" s="608" t="s">
        <v>576</v>
      </c>
      <c r="N34" s="11"/>
      <c r="O34" s="11"/>
      <c r="P34" s="117"/>
      <c r="Q34" s="11"/>
      <c r="R34" s="697">
        <v>0</v>
      </c>
      <c r="S34" s="126"/>
      <c r="T34" s="719">
        <v>0</v>
      </c>
      <c r="U34" s="281" t="str">
        <f>Working!B40</f>
        <v>Yes</v>
      </c>
      <c r="V34" s="713" t="s">
        <v>37</v>
      </c>
      <c r="W34" s="712">
        <f>Working!T48</f>
        <v>1</v>
      </c>
      <c r="X34" s="713"/>
      <c r="Y34" s="713"/>
      <c r="Z34" s="713"/>
      <c r="AA34" s="713"/>
      <c r="AB34" s="713"/>
      <c r="AC34" s="713"/>
      <c r="AD34" s="545"/>
      <c r="AE34" s="545"/>
      <c r="AF34" s="545"/>
    </row>
    <row r="35" spans="1:32" ht="18.899999999999999" customHeight="1" thickBot="1" x14ac:dyDescent="0.4">
      <c r="A35" s="120"/>
      <c r="B35" s="1505" t="str">
        <f>'TW Working'!H23</f>
        <v>Yes</v>
      </c>
      <c r="C35" s="21" t="s">
        <v>9</v>
      </c>
      <c r="D35" s="77" t="s">
        <v>266</v>
      </c>
      <c r="E35" s="291"/>
      <c r="F35" s="76"/>
      <c r="G35" s="21" t="s">
        <v>9</v>
      </c>
      <c r="H35" s="116" t="str">
        <f ca="1">IF(AND(Working!$M$36&lt;0,Working!$I$38="Reveal"),CONCATENATE(K38," - ",MIN(Working!$H$36%,Working!$R$36%)*100,"%"),K38)</f>
        <v>No Claim Bonus (*)</v>
      </c>
      <c r="I35" s="69"/>
      <c r="J35" s="279"/>
      <c r="K35" s="9"/>
      <c r="L35" s="762" t="s">
        <v>114</v>
      </c>
      <c r="M35" s="77" t="s">
        <v>553</v>
      </c>
      <c r="N35" s="11"/>
      <c r="O35" s="11"/>
      <c r="P35" s="11"/>
      <c r="Q35" s="11"/>
      <c r="R35" s="649"/>
      <c r="S35" s="126"/>
      <c r="U35" s="281">
        <f>IF(Working!Y42&gt;0,1,0)</f>
        <v>0</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8.899999999999999" customHeight="1" thickBot="1" x14ac:dyDescent="0.4">
      <c r="A36" s="120"/>
      <c r="B36" s="7"/>
      <c r="C36" s="21" t="s">
        <v>9</v>
      </c>
      <c r="D36" s="77" t="s">
        <v>577</v>
      </c>
      <c r="E36" s="628"/>
      <c r="F36" s="76"/>
      <c r="G36" s="629"/>
      <c r="H36" s="22"/>
      <c r="I36" s="75" t="str">
        <f>IF(I12="Ijarah Leasing","NCB Protection","")</f>
        <v/>
      </c>
      <c r="J36" s="279"/>
      <c r="K36" s="9"/>
      <c r="L36" s="21" t="s">
        <v>9</v>
      </c>
      <c r="M36" s="608" t="s">
        <v>47</v>
      </c>
      <c r="N36" s="11"/>
      <c r="O36" s="11"/>
      <c r="P36" s="11"/>
      <c r="Q36" s="11"/>
      <c r="R36" s="697">
        <v>0</v>
      </c>
      <c r="S36" s="129"/>
      <c r="U36" s="281" t="str">
        <f>Working!B41</f>
        <v>Yes</v>
      </c>
      <c r="V36" s="713" t="s">
        <v>32</v>
      </c>
      <c r="W36" s="712">
        <f>Working!O52</f>
        <v>0</v>
      </c>
      <c r="X36" s="713"/>
      <c r="Y36" s="712"/>
      <c r="Z36" s="713"/>
      <c r="AA36" s="712"/>
      <c r="AB36" s="713"/>
      <c r="AC36" s="713"/>
      <c r="AD36" s="545"/>
      <c r="AE36" s="545"/>
      <c r="AF36" s="545"/>
    </row>
    <row r="37" spans="1:32" ht="18.89999999999999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8.89999999999999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8.89999999999999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21.75"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20.25" hidden="1" customHeight="1" x14ac:dyDescent="0.35">
      <c r="A41" s="120"/>
      <c r="B41" s="7"/>
      <c r="C41" s="7"/>
      <c r="D41" s="1595"/>
      <c r="E41" s="1595"/>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x14ac:dyDescent="0.3">
      <c r="A43" s="120"/>
      <c r="B43" s="7"/>
      <c r="C43" s="1604" t="s">
        <v>453</v>
      </c>
      <c r="D43" s="1604"/>
      <c r="E43" s="1604"/>
      <c r="F43" s="1604"/>
      <c r="G43" s="1604"/>
      <c r="H43" s="1604"/>
      <c r="I43" s="1604"/>
      <c r="J43" s="1604"/>
      <c r="K43" s="1604"/>
      <c r="L43" s="1604"/>
      <c r="M43" s="1604"/>
      <c r="N43" s="1604"/>
      <c r="O43" s="1604"/>
      <c r="P43" s="1604"/>
      <c r="Q43" s="1604"/>
      <c r="R43" s="1604"/>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73">
        <f ca="1">YEAR(P4)</f>
        <v>2024</v>
      </c>
      <c r="B45" s="7">
        <f>IF(AND(Rates!D71="Yes",Working!H12="Hybrid"),1,0)</f>
        <v>0</v>
      </c>
      <c r="C45" s="535" t="s">
        <v>406</v>
      </c>
      <c r="D45" s="292"/>
      <c r="E45" s="292"/>
      <c r="F45" s="292"/>
      <c r="G45" s="292"/>
      <c r="H45" s="271" t="s">
        <v>51</v>
      </c>
      <c r="I45" s="293" t="str">
        <f ca="1">IF(A45-P13&lt;16,"Nil","Rs.1,500/-")</f>
        <v>Rs.1,500/-</v>
      </c>
      <c r="J45" s="357"/>
      <c r="K45" s="292"/>
      <c r="L45" s="738"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5"/>
      <c r="F46" s="735"/>
      <c r="G46" s="735"/>
      <c r="H46" s="292" t="str">
        <f>IF(U33="Yes","-","")</f>
        <v>-</v>
      </c>
      <c r="I46" s="293" t="s">
        <v>532</v>
      </c>
      <c r="J46" s="357"/>
      <c r="K46" s="292"/>
      <c r="L46" s="734" t="s">
        <v>533</v>
      </c>
      <c r="M46" s="735"/>
      <c r="N46" s="295"/>
      <c r="O46" s="295"/>
      <c r="P46" s="292"/>
      <c r="Q46" s="736" t="s">
        <v>51</v>
      </c>
      <c r="R46" s="737" t="s">
        <v>534</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591" t="s">
        <v>300</v>
      </c>
      <c r="D48" s="1592"/>
      <c r="E48" s="1592"/>
      <c r="F48" s="1592"/>
      <c r="G48" s="1592"/>
      <c r="H48" s="1592"/>
      <c r="I48" s="1592"/>
      <c r="J48" s="1592"/>
      <c r="K48" s="1592"/>
      <c r="L48" s="1592"/>
      <c r="M48" s="1592"/>
      <c r="N48" s="1592"/>
      <c r="O48" s="1592"/>
      <c r="P48" s="1592"/>
      <c r="Q48" s="1592"/>
      <c r="R48" s="1592"/>
      <c r="S48" s="126"/>
      <c r="U48" s="281"/>
      <c r="W48" s="607"/>
    </row>
    <row r="49" spans="1:24" ht="16.5" customHeight="1" x14ac:dyDescent="0.3">
      <c r="A49" s="120"/>
      <c r="B49" s="7"/>
      <c r="C49" s="728" t="s">
        <v>536</v>
      </c>
      <c r="D49" s="729"/>
      <c r="E49" s="729"/>
      <c r="F49" s="729"/>
      <c r="G49" s="729"/>
      <c r="H49" s="729"/>
      <c r="I49" s="730"/>
      <c r="J49" s="730"/>
      <c r="K49" s="730"/>
      <c r="L49" s="730"/>
      <c r="M49" s="730"/>
      <c r="N49" s="730"/>
      <c r="O49" s="730"/>
      <c r="P49" s="730"/>
      <c r="Q49" s="730"/>
      <c r="R49" s="730"/>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x14ac:dyDescent="0.3">
      <c r="A50" s="120"/>
      <c r="B50" s="7"/>
      <c r="C50" s="731" t="s">
        <v>537</v>
      </c>
      <c r="D50" s="732"/>
      <c r="E50" s="732"/>
      <c r="F50" s="732"/>
      <c r="G50" s="732"/>
      <c r="H50" s="732"/>
      <c r="I50" s="733"/>
      <c r="J50" s="733"/>
      <c r="K50" s="733"/>
      <c r="L50" s="733"/>
      <c r="M50" s="733"/>
      <c r="N50" s="733"/>
      <c r="O50" s="733"/>
      <c r="P50" s="733"/>
      <c r="Q50" s="733"/>
      <c r="R50" s="733"/>
      <c r="S50" s="126"/>
    </row>
    <row r="51" spans="1:24" ht="28.5" customHeight="1" x14ac:dyDescent="0.3">
      <c r="A51" s="120"/>
      <c r="B51" s="7"/>
      <c r="C51" s="1608" t="s">
        <v>538</v>
      </c>
      <c r="D51" s="1608"/>
      <c r="E51" s="1608"/>
      <c r="F51" s="1608"/>
      <c r="G51" s="1608"/>
      <c r="H51" s="1608"/>
      <c r="I51" s="1608"/>
      <c r="J51" s="1608"/>
      <c r="K51" s="1608"/>
      <c r="L51" s="1608"/>
      <c r="M51" s="1608"/>
      <c r="N51" s="1608"/>
      <c r="O51" s="1608"/>
      <c r="P51" s="1608"/>
      <c r="Q51" s="1608"/>
      <c r="R51" s="1608"/>
      <c r="S51" s="126"/>
    </row>
    <row r="52" spans="1:24" ht="29.25" customHeight="1" x14ac:dyDescent="0.3">
      <c r="A52" s="120"/>
      <c r="B52" s="7"/>
      <c r="C52" s="727"/>
      <c r="D52" s="727"/>
      <c r="E52" s="727"/>
      <c r="F52" s="727"/>
      <c r="G52" s="727"/>
      <c r="H52" s="727"/>
      <c r="I52" s="727"/>
      <c r="J52" s="727"/>
      <c r="K52" s="727"/>
      <c r="L52" s="727"/>
      <c r="M52" s="727"/>
      <c r="N52" s="727"/>
      <c r="O52" s="727"/>
      <c r="P52" s="727"/>
      <c r="Q52" s="727"/>
      <c r="R52" s="727"/>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13"/>
      <c r="D54" s="1614"/>
      <c r="E54" s="1614"/>
      <c r="F54" s="1614"/>
      <c r="G54" s="1614"/>
      <c r="H54" s="1614"/>
      <c r="I54" s="1614"/>
      <c r="J54" s="1614"/>
      <c r="K54" s="1614"/>
      <c r="L54" s="1614"/>
      <c r="M54" s="1614"/>
      <c r="N54" s="278"/>
      <c r="O54" s="278"/>
      <c r="P54" s="278"/>
      <c r="Q54" s="278"/>
      <c r="R54" s="278"/>
      <c r="S54" s="129"/>
    </row>
    <row r="55" spans="1:24" ht="26.25" customHeight="1" x14ac:dyDescent="0.3">
      <c r="A55" s="120"/>
      <c r="B55" s="7"/>
      <c r="C55" s="1614"/>
      <c r="D55" s="1614"/>
      <c r="E55" s="1614"/>
      <c r="F55" s="1614"/>
      <c r="G55" s="1614"/>
      <c r="H55" s="1614"/>
      <c r="I55" s="1614"/>
      <c r="J55" s="1614"/>
      <c r="K55" s="1614"/>
      <c r="L55" s="1614"/>
      <c r="M55" s="1614"/>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03"/>
      <c r="O56" s="1603"/>
      <c r="P56" s="1603"/>
      <c r="Q56" s="1603"/>
      <c r="R56" s="1603"/>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590"/>
      <c r="D58" s="1590"/>
      <c r="E58" s="1590"/>
      <c r="F58" s="1590"/>
      <c r="G58" s="1590"/>
      <c r="H58" s="1590"/>
      <c r="I58" s="1590"/>
      <c r="J58" s="264"/>
      <c r="K58" s="264"/>
      <c r="L58" s="264"/>
      <c r="M58" s="14"/>
      <c r="N58" s="295"/>
      <c r="O58" s="295"/>
      <c r="P58" s="295"/>
      <c r="Q58" s="295"/>
      <c r="R58" s="295"/>
      <c r="S58" s="130"/>
    </row>
    <row r="59" spans="1:24" ht="18.75" customHeight="1" x14ac:dyDescent="0.3">
      <c r="A59" s="120"/>
      <c r="B59" s="7"/>
      <c r="C59" s="1589"/>
      <c r="D59" s="1589"/>
      <c r="E59" s="1589"/>
      <c r="F59" s="1589"/>
      <c r="G59" s="1589"/>
      <c r="H59" s="1589"/>
      <c r="I59" s="1589"/>
      <c r="J59" s="7"/>
      <c r="K59" s="7"/>
      <c r="L59" s="14"/>
      <c r="M59" s="14"/>
      <c r="N59" s="131"/>
      <c r="O59" s="131"/>
      <c r="P59" s="131"/>
      <c r="Q59" s="131"/>
      <c r="R59" s="131"/>
      <c r="S59" s="130"/>
    </row>
    <row r="60" spans="1:24" ht="11.25" customHeight="1" thickBot="1" x14ac:dyDescent="0.3">
      <c r="A60" s="574"/>
      <c r="B60" s="575"/>
      <c r="C60" s="1594" t="str">
        <f>CONCATENATE("[MN - ",-ROUND('TW Working'!F3*100,3),," - ",-ROUND('TW Working'!F7*100,3),"  P- (",'TW Working'!C10,")   S- (",'TW Working'!C9,") ]")</f>
        <v>[MN - 3.098 - 50  P- (2000)   S- (3000) ]</v>
      </c>
      <c r="D60" s="1594"/>
      <c r="E60" s="1594"/>
      <c r="F60" s="1594"/>
      <c r="G60" s="1455"/>
      <c r="H60" s="1455"/>
      <c r="I60" s="1455"/>
      <c r="J60" s="1455"/>
      <c r="K60" s="1455"/>
      <c r="L60" s="1456"/>
      <c r="M60" s="1457">
        <f>-'TW Working'!F7*100</f>
        <v>50</v>
      </c>
      <c r="N60" s="1455"/>
      <c r="O60" s="1458"/>
      <c r="P60" s="1459"/>
      <c r="Q60" s="1460"/>
      <c r="R60" s="1461" t="str">
        <f>CONCATENATE("I - ",'TW Working'!H16)</f>
        <v xml:space="preserve">I - </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582" t="s">
        <v>401</v>
      </c>
      <c r="B65" s="1582"/>
      <c r="C65" s="1582"/>
      <c r="D65" s="1582"/>
      <c r="E65" s="1582"/>
      <c r="F65" s="1582"/>
      <c r="G65" s="1582"/>
      <c r="H65" s="1582"/>
      <c r="I65" s="1582"/>
      <c r="J65" s="1582"/>
      <c r="K65" s="1582"/>
      <c r="L65" s="1582"/>
      <c r="M65" s="1582"/>
      <c r="N65" s="1582"/>
      <c r="O65" s="1582"/>
      <c r="P65" s="1582"/>
      <c r="Q65" s="1582"/>
      <c r="R65" s="1582"/>
      <c r="S65" s="1582"/>
    </row>
    <row r="66" spans="1:19" hidden="1" x14ac:dyDescent="0.25">
      <c r="A66" s="1582"/>
      <c r="B66" s="1582"/>
      <c r="C66" s="1582"/>
      <c r="D66" s="1582"/>
      <c r="E66" s="1582"/>
      <c r="F66" s="1582"/>
      <c r="G66" s="1582"/>
      <c r="H66" s="1582"/>
      <c r="I66" s="1582"/>
      <c r="J66" s="1582"/>
      <c r="K66" s="1582"/>
      <c r="L66" s="1582"/>
      <c r="M66" s="1582"/>
      <c r="N66" s="1582"/>
      <c r="O66" s="1582"/>
      <c r="P66" s="1582"/>
      <c r="Q66" s="1582"/>
      <c r="R66" s="1582"/>
      <c r="S66" s="1582"/>
    </row>
    <row r="67" spans="1:19" hidden="1" x14ac:dyDescent="0.25">
      <c r="A67" s="1582"/>
      <c r="B67" s="1582"/>
      <c r="C67" s="1582"/>
      <c r="D67" s="1582"/>
      <c r="E67" s="1582"/>
      <c r="F67" s="1582"/>
      <c r="G67" s="1582"/>
      <c r="H67" s="1582"/>
      <c r="I67" s="1582"/>
      <c r="J67" s="1582"/>
      <c r="K67" s="1582"/>
      <c r="L67" s="1582"/>
      <c r="M67" s="1582"/>
      <c r="N67" s="1582"/>
      <c r="O67" s="1582"/>
      <c r="P67" s="1582"/>
      <c r="Q67" s="1582"/>
      <c r="R67" s="1582"/>
      <c r="S67" s="1582"/>
    </row>
    <row r="68" spans="1:19" hidden="1" x14ac:dyDescent="0.25">
      <c r="A68" s="1582"/>
      <c r="B68" s="1582"/>
      <c r="C68" s="1582"/>
      <c r="D68" s="1582"/>
      <c r="E68" s="1582"/>
      <c r="F68" s="1582"/>
      <c r="G68" s="1582"/>
      <c r="H68" s="1582"/>
      <c r="I68" s="1582"/>
      <c r="J68" s="1582"/>
      <c r="K68" s="1582"/>
      <c r="L68" s="1582"/>
      <c r="M68" s="1582"/>
      <c r="N68" s="1582"/>
      <c r="O68" s="1582"/>
      <c r="P68" s="1582"/>
      <c r="Q68" s="1582"/>
      <c r="R68" s="1582"/>
      <c r="S68" s="1582"/>
    </row>
    <row r="69" spans="1:19" hidden="1" x14ac:dyDescent="0.25">
      <c r="A69" s="1582"/>
      <c r="B69" s="1582"/>
      <c r="C69" s="1582"/>
      <c r="D69" s="1582"/>
      <c r="E69" s="1582"/>
      <c r="F69" s="1582"/>
      <c r="G69" s="1582"/>
      <c r="H69" s="1582"/>
      <c r="I69" s="1582"/>
      <c r="J69" s="1582"/>
      <c r="K69" s="1582"/>
      <c r="L69" s="1582"/>
      <c r="M69" s="1582"/>
      <c r="N69" s="1582"/>
      <c r="O69" s="1582"/>
      <c r="P69" s="1582"/>
      <c r="Q69" s="1582"/>
      <c r="R69" s="1582"/>
      <c r="S69" s="1582"/>
    </row>
    <row r="70" spans="1:19" hidden="1" x14ac:dyDescent="0.25">
      <c r="A70" s="1582"/>
      <c r="B70" s="1582"/>
      <c r="C70" s="1582"/>
      <c r="D70" s="1582"/>
      <c r="E70" s="1582"/>
      <c r="F70" s="1582"/>
      <c r="G70" s="1582"/>
      <c r="H70" s="1582"/>
      <c r="I70" s="1582"/>
      <c r="J70" s="1582"/>
      <c r="K70" s="1582"/>
      <c r="L70" s="1582"/>
      <c r="M70" s="1582"/>
      <c r="N70" s="1582"/>
      <c r="O70" s="1582"/>
      <c r="P70" s="1582"/>
      <c r="Q70" s="1582"/>
      <c r="R70" s="1582"/>
      <c r="S70" s="1582"/>
    </row>
    <row r="71" spans="1:19" hidden="1" x14ac:dyDescent="0.25">
      <c r="A71" s="1582"/>
      <c r="B71" s="1582"/>
      <c r="C71" s="1582"/>
      <c r="D71" s="1582"/>
      <c r="E71" s="1582"/>
      <c r="F71" s="1582"/>
      <c r="G71" s="1582"/>
      <c r="H71" s="1582"/>
      <c r="I71" s="1582"/>
      <c r="J71" s="1582"/>
      <c r="K71" s="1582"/>
      <c r="L71" s="1582"/>
      <c r="M71" s="1582"/>
      <c r="N71" s="1582"/>
      <c r="O71" s="1582"/>
      <c r="P71" s="1582"/>
      <c r="Q71" s="1582"/>
      <c r="R71" s="1582"/>
      <c r="S71" s="1582"/>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algorithmName="SHA-512" hashValue="9npYsdBpX3Yd4kskaJkZD4SCIWig4ogtswwUkyvtmeQbQhLi9LsaYC4v4SnqzB2xw2+wFaF9TZowLPjmX6GSLw==" saltValue="MnY+TYbF/nr1mlGc5m1PJA==" spinCount="100000" sheet="1" objects="1" scenarios="1"/>
  <dataConsolidate/>
  <mergeCells count="26">
    <mergeCell ref="P10:R10"/>
    <mergeCell ref="C54:M55"/>
    <mergeCell ref="P12:R12"/>
    <mergeCell ref="N56:R56"/>
    <mergeCell ref="C43:R43"/>
    <mergeCell ref="C13:J13"/>
    <mergeCell ref="C51:R51"/>
    <mergeCell ref="L24:R25"/>
    <mergeCell ref="C20:J24"/>
    <mergeCell ref="C17:I18"/>
    <mergeCell ref="A65:S71"/>
    <mergeCell ref="M1:S1"/>
    <mergeCell ref="M2:R2"/>
    <mergeCell ref="C11:J11"/>
    <mergeCell ref="C8:J8"/>
    <mergeCell ref="P8:R8"/>
    <mergeCell ref="C59:I59"/>
    <mergeCell ref="C58:I58"/>
    <mergeCell ref="C48:R48"/>
    <mergeCell ref="P4:R4"/>
    <mergeCell ref="C60:F60"/>
    <mergeCell ref="P11:R11"/>
    <mergeCell ref="D41:E41"/>
    <mergeCell ref="P13:Q13"/>
    <mergeCell ref="P9:R9"/>
    <mergeCell ref="Q16:R17"/>
  </mergeCells>
  <phoneticPr fontId="0" type="noConversion"/>
  <conditionalFormatting sqref="X32">
    <cfRule type="expression" dxfId="339" priority="47" stopIfTrue="1">
      <formula>E32&gt;9%</formula>
    </cfRule>
  </conditionalFormatting>
  <conditionalFormatting sqref="X49">
    <cfRule type="expression" dxfId="338" priority="48" stopIfTrue="1">
      <formula>T42=1</formula>
    </cfRule>
  </conditionalFormatting>
  <conditionalFormatting sqref="M34">
    <cfRule type="expression" dxfId="337" priority="51" stopIfTrue="1">
      <formula>W32=1</formula>
    </cfRule>
  </conditionalFormatting>
  <conditionalFormatting sqref="F36">
    <cfRule type="expression" dxfId="336" priority="52" stopIfTrue="1">
      <formula>W37=3</formula>
    </cfRule>
  </conditionalFormatting>
  <conditionalFormatting sqref="Q37">
    <cfRule type="expression" dxfId="335" priority="53" stopIfTrue="1">
      <formula>X42=1</formula>
    </cfRule>
  </conditionalFormatting>
  <conditionalFormatting sqref="L39">
    <cfRule type="expression" dxfId="334" priority="55" stopIfTrue="1">
      <formula>U42=1</formula>
    </cfRule>
  </conditionalFormatting>
  <conditionalFormatting sqref="C33">
    <cfRule type="expression" dxfId="333" priority="56" stopIfTrue="1">
      <formula>U33="Yes"</formula>
    </cfRule>
  </conditionalFormatting>
  <conditionalFormatting sqref="X25">
    <cfRule type="expression" dxfId="332" priority="57" stopIfTrue="1">
      <formula>W38=1</formula>
    </cfRule>
  </conditionalFormatting>
  <conditionalFormatting sqref="M33">
    <cfRule type="expression" dxfId="331" priority="58" stopIfTrue="1">
      <formula>W34=1</formula>
    </cfRule>
  </conditionalFormatting>
  <conditionalFormatting sqref="L33">
    <cfRule type="expression" dxfId="330" priority="60" stopIfTrue="1">
      <formula>W34=1</formula>
    </cfRule>
  </conditionalFormatting>
  <conditionalFormatting sqref="D33">
    <cfRule type="expression" dxfId="329" priority="61" stopIfTrue="1">
      <formula>U33="Yes"</formula>
    </cfRule>
  </conditionalFormatting>
  <conditionalFormatting sqref="L34">
    <cfRule type="expression" dxfId="328" priority="64" stopIfTrue="1">
      <formula>W32=1</formula>
    </cfRule>
  </conditionalFormatting>
  <conditionalFormatting sqref="M39">
    <cfRule type="expression" dxfId="327" priority="66" stopIfTrue="1">
      <formula>U42=1</formula>
    </cfRule>
  </conditionalFormatting>
  <conditionalFormatting sqref="Y23">
    <cfRule type="expression" dxfId="326" priority="70" stopIfTrue="1">
      <formula>AA37=1</formula>
    </cfRule>
  </conditionalFormatting>
  <conditionalFormatting sqref="W29">
    <cfRule type="expression" dxfId="325" priority="72" stopIfTrue="1">
      <formula>W39=1</formula>
    </cfRule>
  </conditionalFormatting>
  <conditionalFormatting sqref="E36">
    <cfRule type="expression" dxfId="324" priority="74" stopIfTrue="1">
      <formula>U37=1</formula>
    </cfRule>
  </conditionalFormatting>
  <conditionalFormatting sqref="H35">
    <cfRule type="expression" dxfId="323" priority="76" stopIfTrue="1">
      <formula>W41=1</formula>
    </cfRule>
  </conditionalFormatting>
  <conditionalFormatting sqref="G35">
    <cfRule type="expression" dxfId="322" priority="77" stopIfTrue="1">
      <formula>W41=1</formula>
    </cfRule>
  </conditionalFormatting>
  <conditionalFormatting sqref="C40">
    <cfRule type="expression" dxfId="321" priority="80" stopIfTrue="1">
      <formula>T40=1</formula>
    </cfRule>
  </conditionalFormatting>
  <conditionalFormatting sqref="L40">
    <cfRule type="expression" dxfId="320" priority="81" stopIfTrue="1">
      <formula>U40=1</formula>
    </cfRule>
  </conditionalFormatting>
  <conditionalFormatting sqref="D40">
    <cfRule type="expression" dxfId="319" priority="82" stopIfTrue="1">
      <formula>T40=1</formula>
    </cfRule>
  </conditionalFormatting>
  <conditionalFormatting sqref="M40">
    <cfRule type="expression" dxfId="318" priority="83" stopIfTrue="1">
      <formula>U40=1</formula>
    </cfRule>
  </conditionalFormatting>
  <conditionalFormatting sqref="I16">
    <cfRule type="expression" dxfId="317" priority="88" stopIfTrue="1">
      <formula>T18="One Year"</formula>
    </cfRule>
  </conditionalFormatting>
  <conditionalFormatting sqref="U49">
    <cfRule type="cellIs" dxfId="316" priority="90" stopIfTrue="1" operator="equal">
      <formula>"."</formula>
    </cfRule>
  </conditionalFormatting>
  <conditionalFormatting sqref="X39:X40">
    <cfRule type="expression" dxfId="315" priority="92" stopIfTrue="1">
      <formula>#REF!&gt;1</formula>
    </cfRule>
  </conditionalFormatting>
  <conditionalFormatting sqref="D41:E41">
    <cfRule type="cellIs" dxfId="314" priority="93" stopIfTrue="1" operator="equal">
      <formula>"-"</formula>
    </cfRule>
  </conditionalFormatting>
  <conditionalFormatting sqref="G39:G40 E35 C9">
    <cfRule type="cellIs" dxfId="313" priority="94" stopIfTrue="1" operator="equal">
      <formula>0</formula>
    </cfRule>
  </conditionalFormatting>
  <conditionalFormatting sqref="H36">
    <cfRule type="expression" dxfId="312" priority="95" stopIfTrue="1">
      <formula>#REF!&gt;1000</formula>
    </cfRule>
  </conditionalFormatting>
  <conditionalFormatting sqref="I39:I40">
    <cfRule type="expression" dxfId="311" priority="97" stopIfTrue="1">
      <formula>#REF!=0</formula>
    </cfRule>
  </conditionalFormatting>
  <conditionalFormatting sqref="R5 P4">
    <cfRule type="cellIs" dxfId="310" priority="99" stopIfTrue="1" operator="equal">
      <formula>0</formula>
    </cfRule>
  </conditionalFormatting>
  <conditionalFormatting sqref="L23">
    <cfRule type="cellIs" dxfId="309" priority="101" stopIfTrue="1" operator="equal">
      <formula>"Total Contribution"</formula>
    </cfRule>
  </conditionalFormatting>
  <conditionalFormatting sqref="C8">
    <cfRule type="cellIs" dxfId="308" priority="40" stopIfTrue="1" operator="equal">
      <formula>0</formula>
    </cfRule>
  </conditionalFormatting>
  <conditionalFormatting sqref="Q38">
    <cfRule type="expression" dxfId="307" priority="36" stopIfTrue="1">
      <formula>V42=1</formula>
    </cfRule>
  </conditionalFormatting>
  <conditionalFormatting sqref="R38">
    <cfRule type="expression" dxfId="306" priority="35" stopIfTrue="1">
      <formula>AA43=1</formula>
    </cfRule>
  </conditionalFormatting>
  <conditionalFormatting sqref="G36">
    <cfRule type="expression" dxfId="305" priority="303" stopIfTrue="1">
      <formula>W35=1</formula>
    </cfRule>
  </conditionalFormatting>
  <conditionalFormatting sqref="F35">
    <cfRule type="expression" dxfId="304" priority="30" stopIfTrue="1">
      <formula>W35=3</formula>
    </cfRule>
  </conditionalFormatting>
  <conditionalFormatting sqref="M35">
    <cfRule type="expression" dxfId="303" priority="34" stopIfTrue="1">
      <formula>L35="Yes"</formula>
    </cfRule>
  </conditionalFormatting>
  <conditionalFormatting sqref="G37">
    <cfRule type="expression" dxfId="302" priority="26" stopIfTrue="1">
      <formula>AND(B13=1,I13="Ijarah Leasing")</formula>
    </cfRule>
  </conditionalFormatting>
  <conditionalFormatting sqref="H37">
    <cfRule type="expression" dxfId="301" priority="25" stopIfTrue="1">
      <formula>AND(C13=1,J13="Ijarah")</formula>
    </cfRule>
  </conditionalFormatting>
  <conditionalFormatting sqref="L37:L38">
    <cfRule type="expression" dxfId="300" priority="18" stopIfTrue="1">
      <formula>AND(AD35="Yes",AD33="Yes")</formula>
    </cfRule>
  </conditionalFormatting>
  <conditionalFormatting sqref="C11">
    <cfRule type="cellIs" dxfId="299" priority="15" stopIfTrue="1" operator="equal">
      <formula>0</formula>
    </cfRule>
  </conditionalFormatting>
  <conditionalFormatting sqref="I35">
    <cfRule type="expression" dxfId="298" priority="14" stopIfTrue="1">
      <formula>Y35=1</formula>
    </cfRule>
  </conditionalFormatting>
  <conditionalFormatting sqref="V41">
    <cfRule type="expression" dxfId="297" priority="304" stopIfTrue="1">
      <formula>$E$36&gt;0</formula>
    </cfRule>
  </conditionalFormatting>
  <conditionalFormatting sqref="C13">
    <cfRule type="cellIs" dxfId="296" priority="13" stopIfTrue="1" operator="equal">
      <formula>0</formula>
    </cfRule>
  </conditionalFormatting>
  <conditionalFormatting sqref="M36">
    <cfRule type="expression" dxfId="295" priority="12" stopIfTrue="1">
      <formula>W33=2</formula>
    </cfRule>
  </conditionalFormatting>
  <conditionalFormatting sqref="L36">
    <cfRule type="expression" dxfId="294" priority="11" stopIfTrue="1">
      <formula>W33=2</formula>
    </cfRule>
  </conditionalFormatting>
  <conditionalFormatting sqref="C53">
    <cfRule type="expression" dxfId="293" priority="10" stopIfTrue="1">
      <formula>V55&lt;&gt;0</formula>
    </cfRule>
  </conditionalFormatting>
  <conditionalFormatting sqref="T20">
    <cfRule type="expression" dxfId="292" priority="9" stopIfTrue="1">
      <formula>Q16&gt;=700000</formula>
    </cfRule>
  </conditionalFormatting>
  <conditionalFormatting sqref="T19">
    <cfRule type="expression" dxfId="291" priority="8" stopIfTrue="1">
      <formula>Q16&gt;=700000</formula>
    </cfRule>
  </conditionalFormatting>
  <conditionalFormatting sqref="T22">
    <cfRule type="expression" dxfId="290" priority="7" stopIfTrue="1">
      <formula>Q16&lt;700000</formula>
    </cfRule>
  </conditionalFormatting>
  <conditionalFormatting sqref="C35">
    <cfRule type="expression" dxfId="289" priority="5" stopIfTrue="1">
      <formula>AND(B35="Yes",B34="Yes")</formula>
    </cfRule>
  </conditionalFormatting>
  <conditionalFormatting sqref="C34">
    <cfRule type="expression" dxfId="288" priority="6" stopIfTrue="1">
      <formula>B34="Yes"</formula>
    </cfRule>
  </conditionalFormatting>
  <conditionalFormatting sqref="D34">
    <cfRule type="expression" dxfId="287" priority="3" stopIfTrue="1">
      <formula>B34="Yes"</formula>
    </cfRule>
  </conditionalFormatting>
  <conditionalFormatting sqref="D35">
    <cfRule type="expression" dxfId="286" priority="4" stopIfTrue="1">
      <formula>AND(B34="Yes",B35="Yes")</formula>
    </cfRule>
  </conditionalFormatting>
  <conditionalFormatting sqref="C36">
    <cfRule type="expression" dxfId="285" priority="2" stopIfTrue="1">
      <formula>U36="Yes"</formula>
    </cfRule>
  </conditionalFormatting>
  <conditionalFormatting sqref="D36">
    <cfRule type="expression" dxfId="284" priority="1" stopIfTrue="1">
      <formula>U36="Yes"</formula>
    </cfRule>
  </conditionalFormatting>
  <dataValidations count="11">
    <dataValidation type="whole" allowBlank="1" showInputMessage="1" showErrorMessage="1" sqref="E36 Q38 I35 L36:L40 C40 L33:L34 G35:H37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500000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90625" style="691" customWidth="1"/>
    <col min="2" max="2" width="0.54296875" style="691" customWidth="1"/>
    <col min="3" max="3" width="5.36328125" style="691" customWidth="1"/>
    <col min="4" max="4" width="3.36328125" style="691" customWidth="1"/>
    <col min="5" max="5" width="4.36328125" style="691" customWidth="1"/>
    <col min="6" max="6" width="33.36328125" style="691" customWidth="1"/>
    <col min="7" max="7" width="4.6328125" style="691" customWidth="1"/>
    <col min="8" max="8" width="18.54296875" style="691" customWidth="1"/>
    <col min="9" max="9" width="16.453125" style="691" customWidth="1"/>
    <col min="10" max="10" width="3.90625" style="691" customWidth="1"/>
    <col min="11" max="11" width="14.54296875" style="691" customWidth="1"/>
    <col min="12" max="12" width="4" style="691" customWidth="1"/>
    <col min="13" max="13" width="25.36328125" style="691" customWidth="1"/>
    <col min="14" max="14" width="11.453125" style="691" customWidth="1"/>
    <col min="15" max="15" width="9.90625" style="691" customWidth="1"/>
    <col min="16" max="16" width="13.54296875" style="691" customWidth="1"/>
    <col min="17" max="17" width="5.453125" style="692" customWidth="1"/>
    <col min="18" max="18" width="6.36328125" style="691" hidden="1" customWidth="1"/>
    <col min="19" max="19" width="5" style="691" hidden="1" customWidth="1"/>
    <col min="20" max="20" width="9.54296875" style="691" hidden="1" customWidth="1"/>
    <col min="21" max="21" width="5.36328125" style="691" hidden="1" customWidth="1"/>
    <col min="22" max="22" width="4.54296875" style="691" hidden="1" customWidth="1"/>
    <col min="23" max="23" width="2.90625" style="691" hidden="1" customWidth="1"/>
    <col min="24" max="24" width="0" style="691" hidden="1" customWidth="1"/>
    <col min="25" max="25" width="5.90625" style="691" hidden="1" customWidth="1"/>
    <col min="26" max="26" width="7.08984375" style="691" hidden="1" customWidth="1"/>
    <col min="27" max="27" width="26.54296875" style="691" hidden="1" customWidth="1"/>
    <col min="28" max="29" width="0" style="691" hidden="1" customWidth="1"/>
    <col min="30" max="30" width="27.089843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23"/>
      <c r="O1" s="1624"/>
      <c r="P1" s="139"/>
      <c r="Q1" s="139"/>
      <c r="R1" s="139"/>
      <c r="S1" s="139"/>
      <c r="T1" s="139"/>
      <c r="U1" s="142">
        <f>IF(G36="Yes",H23+H36,H23)</f>
        <v>77.141999999999996</v>
      </c>
      <c r="V1" s="139"/>
      <c r="W1" s="139"/>
      <c r="X1" s="139"/>
      <c r="Y1" s="139"/>
      <c r="Z1" s="139"/>
      <c r="AA1" s="656" t="s">
        <v>405</v>
      </c>
      <c r="AB1" s="139"/>
      <c r="AM1" s="219"/>
    </row>
    <row r="2" spans="1:60" s="141" customFormat="1" ht="18.5" thickBot="1" x14ac:dyDescent="0.45">
      <c r="A2" s="142"/>
      <c r="B2" s="289"/>
      <c r="C2" s="475" t="s">
        <v>114</v>
      </c>
      <c r="D2" s="6"/>
      <c r="E2" s="434" t="s">
        <v>174</v>
      </c>
      <c r="F2" s="177"/>
      <c r="G2" s="317" t="s">
        <v>282</v>
      </c>
      <c r="H2" s="1632" t="s">
        <v>531</v>
      </c>
      <c r="I2" s="1633"/>
      <c r="J2" s="439"/>
      <c r="K2" s="1621" t="s">
        <v>415</v>
      </c>
      <c r="L2" s="1621"/>
      <c r="M2" s="1622"/>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634" t="str">
        <f>IF(D3=0,"Charge SRCC/TC Full?","")</f>
        <v/>
      </c>
      <c r="M3" s="1635"/>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351</v>
      </c>
      <c r="I4" s="658">
        <v>2013</v>
      </c>
      <c r="J4" s="659"/>
      <c r="K4" s="388" t="str">
        <f>IF(Calculation!S3=0,"Date Error","")</f>
        <v/>
      </c>
      <c r="L4" s="1634"/>
      <c r="M4" s="1635"/>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17500</v>
      </c>
      <c r="P5" s="547">
        <f>(O5-M40-M42)/P6*100</f>
        <v>10267.857142857143</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1642"/>
      <c r="J6" s="1643"/>
      <c r="K6" s="1644"/>
      <c r="L6" s="1640" t="str">
        <f>'TW Quote'!C8</f>
        <v>to be advised</v>
      </c>
      <c r="M6" s="1641"/>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645" t="str">
        <f>'TW Quote'!C11</f>
        <v>to be advised</v>
      </c>
      <c r="I7" s="1646"/>
      <c r="J7" s="1646"/>
      <c r="K7" s="1647"/>
      <c r="L7" s="1648" t="str">
        <f>IF(AND(H15&gt;0,L6=""),"Enter Name","")</f>
        <v/>
      </c>
      <c r="M7" s="1649"/>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36" t="s">
        <v>212</v>
      </c>
      <c r="I8" s="1637"/>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54" t="s">
        <v>41</v>
      </c>
      <c r="I9" s="1655"/>
      <c r="J9" s="478"/>
      <c r="K9" s="1638" t="str">
        <f>IF(OR(T2=3,W2=0),"ERROR",IF(O8=0,"&lt;= Select Usage of Vehicle",IF(Z2=0,"NOT ALLOWED","")))</f>
        <v/>
      </c>
      <c r="L9" s="1638"/>
      <c r="M9" s="1639"/>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62" t="s">
        <v>108</v>
      </c>
      <c r="F10" s="1662"/>
      <c r="G10" s="317" t="s">
        <v>400</v>
      </c>
      <c r="H10" s="1658" t="str">
        <f>'TW Quote'!P8</f>
        <v>to be advised</v>
      </c>
      <c r="I10" s="1659"/>
      <c r="J10" s="478"/>
      <c r="K10" s="303" t="s">
        <v>380</v>
      </c>
      <c r="L10" s="1630" t="str">
        <f>'TW Quote'!P11</f>
        <v>TO BE ADVISED</v>
      </c>
      <c r="M10" s="1631"/>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672" t="str">
        <f>'TW Quote'!P9</f>
        <v>INDIA</v>
      </c>
      <c r="I11" s="1673"/>
      <c r="J11" s="1625" t="s">
        <v>451</v>
      </c>
      <c r="K11" s="1626"/>
      <c r="L11" s="1627"/>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676" t="s">
        <v>452</v>
      </c>
      <c r="I12" s="1677"/>
      <c r="J12" s="1670" t="str">
        <f>IF(H8="Motor Cycle","Important --&gt;","")</f>
        <v/>
      </c>
      <c r="K12" s="1671"/>
      <c r="L12" s="1671"/>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'TW Quote'!P13</f>
        <v>2007</v>
      </c>
      <c r="I13" s="1668" t="str">
        <f>IF(H13="","     Enter Year of Make",IF(Z15=0,CONCATENATE("     Vehicles Above ", Administration!F29," Yrs Not Covered"),""))</f>
        <v/>
      </c>
      <c r="J13" s="1669"/>
      <c r="K13" s="1669"/>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4" t="str">
        <f>IF('TW Quote'!C13="Not Applicable","No","Yes")</f>
        <v>Yes</v>
      </c>
      <c r="I14" s="1628" t="str">
        <f>IF(H14="Yes","NAME OF CO.","")</f>
        <v>NAME OF CO.</v>
      </c>
      <c r="J14" s="1629"/>
      <c r="K14" s="1674" t="str">
        <f>'TW Quote'!C13</f>
        <v>HNB FINANCE</v>
      </c>
      <c r="L14" s="1674"/>
      <c r="M14" s="1675"/>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67" t="str">
        <f>IF(H15&gt;Rates!B27,"SUM COVERED - Above Retention","SUM COVERED"                                    )</f>
        <v>SUM COVERED</v>
      </c>
      <c r="F15" s="1667"/>
      <c r="G15" s="317" t="s">
        <v>399</v>
      </c>
      <c r="H15" s="1656">
        <f>'TW Quote'!Q16</f>
        <v>1000000</v>
      </c>
      <c r="I15" s="1657"/>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60" t="str">
        <f ca="1">IF(Working!$C$69=0,"This Quotation system is not valid anymore",IF(C66-F69&lt;14,CONCATENATE("This quotation shall expire within ",C66-F69," days"),IF(AND(Rates!D79="No",O16=1,H14="No",(O57+Q57=1)),"Should Obtain 3 Tier Quotation","")))</f>
        <v/>
      </c>
      <c r="F16" s="1660"/>
      <c r="G16" s="1660"/>
      <c r="H16" s="1660"/>
      <c r="I16" s="1663" t="str">
        <f>IF(N16=0,"Please Get 3 Tier Quotation",IF(H8="","Enter Vehicle Type",IF(H9="","Enter Vehicle Usage",IF(H11="","Enter Vehicle Country of Make",IF(H12="","Enter Fuel Type",IF(H13="","Enter Year of Make",IF(H14="","Enter Lease Status",IF(L6="","Enter Proposer 2nd Name",""))))))))</f>
        <v/>
      </c>
      <c r="J16" s="1663"/>
      <c r="K16" s="1663"/>
      <c r="L16" s="1663"/>
      <c r="M16" s="1664"/>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61"/>
      <c r="F17" s="1661"/>
      <c r="G17" s="1661"/>
      <c r="H17" s="1661"/>
      <c r="I17" s="1665"/>
      <c r="J17" s="1665"/>
      <c r="K17" s="1665"/>
      <c r="L17" s="1665"/>
      <c r="M17" s="1666"/>
      <c r="N17" s="165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51"/>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52"/>
      <c r="O18" s="1653"/>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17500</v>
      </c>
      <c r="N19" s="236">
        <v>0</v>
      </c>
      <c r="O19" s="229"/>
      <c r="P19" s="229"/>
      <c r="Q19" s="465">
        <v>0.01</v>
      </c>
      <c r="R19" s="231"/>
      <c r="S19" s="585"/>
      <c r="T19" s="618"/>
      <c r="U19" s="585"/>
      <c r="V19" s="585"/>
      <c r="W19" s="559"/>
      <c r="X19" s="559"/>
      <c r="Y19" s="559"/>
      <c r="Z19" s="619"/>
      <c r="AA19" s="559"/>
      <c r="AU19" s="142">
        <f t="shared" si="1"/>
        <v>1981</v>
      </c>
    </row>
    <row r="20" spans="2:50" s="142" customFormat="1" ht="15.9"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5.9" customHeight="1" thickBot="1" x14ac:dyDescent="0.45">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5.9" customHeight="1" thickBot="1" x14ac:dyDescent="0.35">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4000.1499999999996</v>
      </c>
      <c r="AA22" s="589"/>
      <c r="AM22" s="219"/>
      <c r="AU22" s="142">
        <f t="shared" si="1"/>
        <v>1984</v>
      </c>
    </row>
    <row r="23" spans="2:50" s="142" customFormat="1" ht="15.9" customHeight="1" thickBot="1" x14ac:dyDescent="0.35">
      <c r="B23" s="5"/>
      <c r="C23" s="137"/>
      <c r="D23" s="321" t="s">
        <v>284</v>
      </c>
      <c r="E23" s="342" t="s">
        <v>9</v>
      </c>
      <c r="F23" s="267" t="s">
        <v>3</v>
      </c>
      <c r="G23" s="267"/>
      <c r="H23" s="557">
        <v>77.141999999999996</v>
      </c>
      <c r="I23" s="1619" t="str">
        <f ca="1">IF(AND(U23=0,M23&lt;0),"   (Special Rebate Allowed)",IF(U23=0,"   (Rebate Not Allowed)",IF(AND(H12="Hybrid",M23&lt;0),"N.B:- Hybrid Vehicle",IF(AND(H11="Korean",M23&lt;0),"N.B:- Korean Vehicle",""))))</f>
        <v/>
      </c>
      <c r="J23" s="1620"/>
      <c r="K23" s="1620"/>
      <c r="L23" s="1620"/>
      <c r="M23" s="193">
        <f ca="1">IF(AND($C$2="Yes",O23=1),N23,IF(AND(U23=0,C24=1),-((M19+M21+M22)*I24%),-((M19+M21+M22)*H23%*U23)))</f>
        <v>-13499.85</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-1000.0374999999999</v>
      </c>
      <c r="AA23" s="601"/>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4000.1499999999996</v>
      </c>
      <c r="N24" s="237"/>
      <c r="O24" s="233">
        <f ca="1">O23+M24</f>
        <v>4000.1499999999996</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8">
        <f>'TW Quote'!R34</f>
        <v>0</v>
      </c>
      <c r="I25" s="1615" t="s">
        <v>447</v>
      </c>
      <c r="J25" s="1616"/>
      <c r="K25" s="1617"/>
      <c r="L25" s="328">
        <f>IF(H15&gt;0,AD25,0)</f>
        <v>1</v>
      </c>
      <c r="M25" s="198">
        <f>(H25/25000)*110</f>
        <v>0</v>
      </c>
      <c r="N25" s="236">
        <v>0</v>
      </c>
      <c r="O25" s="234">
        <v>0</v>
      </c>
      <c r="P25" s="229">
        <f>IF(H25&gt;0,1,0)</f>
        <v>0</v>
      </c>
      <c r="Q25" s="229">
        <f>IF(L27&gt;0,1,0)</f>
        <v>1</v>
      </c>
      <c r="R25" s="234">
        <f>P25+Q25</f>
        <v>1</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618" t="str">
        <f>IF(OR($R$25&gt;1,AA25=1),"If PAB for Terrorism is Required for paid Driver or workers, state their number","")</f>
        <v/>
      </c>
      <c r="G27" s="1618"/>
      <c r="H27" s="1618"/>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618"/>
      <c r="G28" s="1618"/>
      <c r="H28" s="1618"/>
      <c r="I28" s="1690" t="str">
        <f>IF(AND(H25=0,L25=0),"",IF(I27&gt;L25,"Invalid Entry",""))</f>
        <v/>
      </c>
      <c r="J28" s="1690"/>
      <c r="K28" s="1690"/>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284</v>
      </c>
      <c r="E29" s="342" t="s">
        <v>9</v>
      </c>
      <c r="F29" s="77" t="s">
        <v>47</v>
      </c>
      <c r="G29" s="77"/>
      <c r="H29" s="600">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8">
        <v>0</v>
      </c>
      <c r="P29" s="229">
        <f>IF(K29&gt;0,1,0)</f>
        <v>0</v>
      </c>
      <c r="Q29" s="229">
        <f>IF(I29&gt;0,1,0)</f>
        <v>1</v>
      </c>
      <c r="R29" s="234">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3">
        <v>0</v>
      </c>
      <c r="I30" s="1698" t="s">
        <v>39</v>
      </c>
      <c r="J30" s="1699"/>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67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51"/>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79"/>
      <c r="O34" s="1653"/>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4000.1499999999996</v>
      </c>
      <c r="N35" s="237"/>
      <c r="O35" s="229"/>
      <c r="P35" s="229"/>
      <c r="Q35" s="241"/>
      <c r="AJ35" s="142">
        <f t="shared" si="2"/>
        <v>275000</v>
      </c>
      <c r="AM35" s="219"/>
      <c r="AU35" s="536">
        <f t="shared" si="1"/>
        <v>1997</v>
      </c>
    </row>
    <row r="36" spans="2:50" s="142" customFormat="1" ht="15.9" customHeight="1" thickBot="1" x14ac:dyDescent="0.4">
      <c r="B36" s="5"/>
      <c r="C36" s="137" t="str">
        <f>IF(H38="Upfront NCB","NCB (No Claim Bonus)","No Claim Bonus (NCB)")</f>
        <v>No Claim Bonus (NCB)</v>
      </c>
      <c r="D36" s="321" t="s">
        <v>284</v>
      </c>
      <c r="E36" s="342" t="s">
        <v>9</v>
      </c>
      <c r="F36" s="267" t="s">
        <v>320</v>
      </c>
      <c r="G36" s="374">
        <f>H36+H37</f>
        <v>25</v>
      </c>
      <c r="H36" s="675">
        <f>'TW Quote'!T34</f>
        <v>0</v>
      </c>
      <c r="I36" s="1668" t="str">
        <f>IF(H36&gt;R36,CONCATENATE("NCB ALLOWED - ",R36),IF(H36&gt;0,"Earned NCB - NOT Upfront NCB",IF(AND(M8=Administration!C19,H9=Administration!C20),"NCB Not Allowed","")))</f>
        <v/>
      </c>
      <c r="J36" s="1669"/>
      <c r="K36" s="1669"/>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5.9" customHeight="1" thickBot="1" x14ac:dyDescent="0.4">
      <c r="B37" s="5"/>
      <c r="C37" s="137"/>
      <c r="D37" s="321"/>
      <c r="E37" s="508" t="s">
        <v>9</v>
      </c>
      <c r="F37" s="267" t="s">
        <v>321</v>
      </c>
      <c r="G37" s="655">
        <f>IF(H36+H37&gt;35,35-H36,H37)</f>
        <v>25</v>
      </c>
      <c r="H37" s="556">
        <v>25</v>
      </c>
      <c r="I37" s="1688" t="str">
        <f>IF(G37&lt;&gt;H37,CONCATENATE(G37,"% NCB Allowed (Max - 35%)"),"")</f>
        <v/>
      </c>
      <c r="J37" s="1689"/>
      <c r="K37" s="1689"/>
      <c r="L37" s="498">
        <v>0</v>
      </c>
      <c r="M37" s="456">
        <f ca="1">IF(AND($C$2="Yes",L37=1),Q37,(-M35/1*G37%))</f>
        <v>-1000.0374999999999</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3000.1124999999997</v>
      </c>
      <c r="N38" s="237"/>
      <c r="O38" s="243">
        <f ca="1">M35+M36</f>
        <v>4000.1499999999996</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284</v>
      </c>
      <c r="E39" s="342" t="s">
        <v>9</v>
      </c>
      <c r="F39" s="267" t="s">
        <v>288</v>
      </c>
      <c r="G39" s="267"/>
      <c r="H39" s="221"/>
      <c r="I39" s="188"/>
      <c r="J39" s="188"/>
      <c r="K39" s="9"/>
      <c r="L39" s="498">
        <v>0</v>
      </c>
      <c r="M39" s="189">
        <f ca="1">IF(AND($C$2="Yes",L39=1),N39,IF(B39="Yes",M19*Rates!K11%,0))</f>
        <v>1750</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5.9" customHeight="1" thickBot="1" x14ac:dyDescent="0.35">
      <c r="B40" s="666" t="str">
        <f>IF(C40=1,"Yes","No")</f>
        <v>Yes</v>
      </c>
      <c r="C40" s="531">
        <v>1</v>
      </c>
      <c r="D40" s="321" t="s">
        <v>284</v>
      </c>
      <c r="E40" s="342" t="s">
        <v>9</v>
      </c>
      <c r="F40" s="267" t="s">
        <v>14</v>
      </c>
      <c r="G40" s="267"/>
      <c r="H40" s="188"/>
      <c r="I40" s="188"/>
      <c r="J40" s="188"/>
      <c r="K40" s="9"/>
      <c r="L40" s="498">
        <v>0</v>
      </c>
      <c r="M40" s="189">
        <f>IF(AND($C$2="Yes",L40=1),N40,(Q38*P38%*H15*U2*Z2*N4))</f>
        <v>2500</v>
      </c>
      <c r="N40" s="236">
        <v>0</v>
      </c>
      <c r="O40" s="1681"/>
      <c r="P40" s="1681"/>
      <c r="Q40" s="1681"/>
      <c r="R40" s="1681"/>
      <c r="S40" s="1681"/>
      <c r="T40" s="1681"/>
      <c r="U40" s="1681"/>
      <c r="V40" s="1681"/>
      <c r="AA40" s="559"/>
      <c r="AB40" s="559"/>
      <c r="AC40" s="559"/>
      <c r="AD40" s="559"/>
      <c r="AE40" s="559"/>
      <c r="AF40" s="559"/>
      <c r="AG40" s="559"/>
      <c r="AH40" s="559"/>
      <c r="AJ40" s="142">
        <f t="shared" si="2"/>
        <v>375000</v>
      </c>
      <c r="AU40" s="536">
        <f t="shared" si="3"/>
        <v>2002</v>
      </c>
      <c r="AX40" s="677"/>
    </row>
    <row r="41" spans="2:50" s="142" customFormat="1" ht="15.9" customHeight="1" thickBot="1" x14ac:dyDescent="0.35">
      <c r="B41" s="666"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681"/>
      <c r="P41" s="1681"/>
      <c r="Q41" s="1681"/>
      <c r="R41" s="1681"/>
      <c r="S41" s="1681"/>
      <c r="T41" s="1681"/>
      <c r="U41" s="1681"/>
      <c r="V41" s="1681"/>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x14ac:dyDescent="0.35">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625</v>
      </c>
      <c r="N42" s="679">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7"/>
    </row>
    <row r="43" spans="2:50" s="142" customFormat="1" ht="15.9"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7"/>
    </row>
    <row r="44" spans="2:50" s="142" customFormat="1" ht="15.9"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5250</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284</v>
      </c>
      <c r="E46" s="342" t="s">
        <v>9</v>
      </c>
      <c r="F46" s="267" t="s">
        <v>279</v>
      </c>
      <c r="G46" s="267"/>
      <c r="H46" s="1669" t="str">
        <f>IF(U57=1,"Free Cover",IF(AND(B46="Yes",Q48=1,Q46=0,U46=0),"Only for Private Dual Purpose Vehicles",""))</f>
        <v/>
      </c>
      <c r="I46" s="1669"/>
      <c r="J46" s="1669"/>
      <c r="K46" s="1669"/>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5.9" customHeight="1" thickBot="1" x14ac:dyDescent="0.35">
      <c r="B48" s="118"/>
      <c r="C48" s="136"/>
      <c r="D48" s="321" t="s">
        <v>284</v>
      </c>
      <c r="E48" s="342" t="s">
        <v>9</v>
      </c>
      <c r="F48" s="267" t="s">
        <v>6</v>
      </c>
      <c r="G48" s="267"/>
      <c r="H48" s="696">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284</v>
      </c>
      <c r="E49" s="342" t="s">
        <v>9</v>
      </c>
      <c r="F49" s="267" t="s">
        <v>12</v>
      </c>
      <c r="G49" s="267"/>
      <c r="H49" s="696">
        <f>'TW Quote'!R35</f>
        <v>0</v>
      </c>
      <c r="I49" s="1683" t="str">
        <f>IF(Q49&gt;0,CONCATENATE("Free Cover of Rs.",Q49,"/-"),"")</f>
        <v>Free Cover of Rs.1000/-</v>
      </c>
      <c r="J49" s="1684"/>
      <c r="K49" s="1684"/>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284</v>
      </c>
      <c r="E52" s="342" t="s">
        <v>9</v>
      </c>
      <c r="F52" s="267" t="s">
        <v>449</v>
      </c>
      <c r="G52" s="611">
        <v>1</v>
      </c>
      <c r="H52" s="614">
        <v>7500</v>
      </c>
      <c r="I52" s="1685" t="str">
        <f>IF(AND(G52=0,K50&gt;0),"Enter Number of Air Bags",IF(AND(K50&gt;0,T47=0),"Not Applicable",IF(AND(Q52=0,T47=1,K50&gt;0),"Free Cover",IF(R52=0,"Free Cover - Front Seat Bags","Value of 2 Front Dashboard Airbgs"))))</f>
        <v>Value of 2 Front Dashboard Airbgs</v>
      </c>
      <c r="J52" s="1685"/>
      <c r="K52" s="1685"/>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5.9" customHeight="1" thickBot="1" x14ac:dyDescent="0.35">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284</v>
      </c>
      <c r="E55" s="342" t="s">
        <v>9</v>
      </c>
      <c r="F55" s="725" t="s">
        <v>535</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697"/>
      <c r="G58" s="1697"/>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697"/>
      <c r="G59" s="1697"/>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691"/>
      <c r="F61" s="1692"/>
      <c r="G61" s="9"/>
      <c r="H61" s="73" t="s">
        <v>10</v>
      </c>
      <c r="I61" s="295"/>
      <c r="J61" s="73"/>
      <c r="K61" s="184"/>
      <c r="L61" s="185"/>
      <c r="M61" s="438">
        <f ca="1">SUM(M38:M60)*C69*U2</f>
        <v>14915.112499999999</v>
      </c>
      <c r="N61" s="207"/>
      <c r="O61" s="306">
        <f ca="1">M61-M40-M42-M41-M43</f>
        <v>11790.112499999999</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691"/>
      <c r="F62" s="1692"/>
      <c r="G62" s="9"/>
      <c r="H62" s="74" t="s">
        <v>134</v>
      </c>
      <c r="I62" s="295"/>
      <c r="J62" s="74"/>
      <c r="K62" s="78">
        <f>Rates!D19</f>
        <v>2.5</v>
      </c>
      <c r="L62" s="186" t="s">
        <v>56</v>
      </c>
      <c r="M62" s="257">
        <f ca="1">M61*Rates!D19%</f>
        <v>372.8778125</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691"/>
      <c r="F63" s="1692"/>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691"/>
      <c r="F64" s="1692"/>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691"/>
      <c r="F65" s="1692"/>
      <c r="G65" s="9"/>
      <c r="H65" s="74" t="s">
        <v>1</v>
      </c>
      <c r="I65" s="295"/>
      <c r="J65" s="74"/>
      <c r="K65" s="78">
        <f>Rates!D21</f>
        <v>8</v>
      </c>
      <c r="L65" s="186" t="s">
        <v>56</v>
      </c>
      <c r="M65" s="187">
        <f ca="1">SUM(M61:M64)*Rates!D21%</f>
        <v>1223.039225</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45413</v>
      </c>
      <c r="D66" s="6"/>
      <c r="E66" s="1693"/>
      <c r="F66" s="1694"/>
      <c r="G66" s="9"/>
      <c r="H66" s="73" t="s">
        <v>381</v>
      </c>
      <c r="I66" s="295"/>
      <c r="J66" s="73"/>
      <c r="K66" s="9"/>
      <c r="L66" s="185"/>
      <c r="M66" s="114">
        <f ca="1">SUM(M61:M65)*C69*U2</f>
        <v>16511.029537499999</v>
      </c>
      <c r="N66" s="168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87"/>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45351</v>
      </c>
      <c r="G69" s="180"/>
      <c r="H69" s="12"/>
      <c r="I69" s="12"/>
      <c r="J69" s="12"/>
      <c r="K69" s="12"/>
      <c r="L69" s="12"/>
      <c r="M69" s="1682"/>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695" t="str">
        <f>IF(O70=1,"Hiring",IF(O70=3,"Rent A Vehicle",IF(O70=0,"Private")))</f>
        <v>Private</v>
      </c>
      <c r="G70" s="1695"/>
      <c r="H70" s="1695"/>
      <c r="I70" s="14"/>
      <c r="J70" s="14"/>
      <c r="K70" s="14"/>
      <c r="L70" s="14"/>
      <c r="M70" s="1682"/>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696"/>
      <c r="G71" s="1696"/>
      <c r="H71" s="1696"/>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234</v>
      </c>
      <c r="N94" s="519" t="s">
        <v>269</v>
      </c>
      <c r="O94" s="519"/>
      <c r="P94" s="519"/>
      <c r="Q94" s="519"/>
      <c r="R94" s="1680" t="str">
        <f>IF(X43&gt;0,MAX(H30*Rates!K68%,Rates!L68),"")</f>
        <v/>
      </c>
      <c r="S94" s="1680"/>
      <c r="T94" s="1680"/>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28:K28"/>
    <mergeCell ref="E61:F66"/>
    <mergeCell ref="F70:H71"/>
    <mergeCell ref="F58:G58"/>
    <mergeCell ref="F59:G59"/>
    <mergeCell ref="I30:J30"/>
    <mergeCell ref="N33:O34"/>
    <mergeCell ref="R94:T94"/>
    <mergeCell ref="O40:V41"/>
    <mergeCell ref="H46:K46"/>
    <mergeCell ref="M69:M70"/>
    <mergeCell ref="I49:K49"/>
    <mergeCell ref="I52:K52"/>
    <mergeCell ref="N66:O66"/>
    <mergeCell ref="I37:K37"/>
    <mergeCell ref="I36:K36"/>
    <mergeCell ref="N17:O18"/>
    <mergeCell ref="H9:I9"/>
    <mergeCell ref="H15:I15"/>
    <mergeCell ref="H10:I10"/>
    <mergeCell ref="E16:H17"/>
    <mergeCell ref="E10:F10"/>
    <mergeCell ref="I16:M17"/>
    <mergeCell ref="E15:F15"/>
    <mergeCell ref="I13:K13"/>
    <mergeCell ref="J12:L12"/>
    <mergeCell ref="H11:I11"/>
    <mergeCell ref="K14:M14"/>
    <mergeCell ref="H12:I12"/>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s>
  <phoneticPr fontId="0" type="noConversion"/>
  <conditionalFormatting sqref="E54 E50">
    <cfRule type="expression" dxfId="283" priority="13" stopIfTrue="1">
      <formula>H50&gt;0</formula>
    </cfRule>
  </conditionalFormatting>
  <conditionalFormatting sqref="E56 E45">
    <cfRule type="expression" dxfId="282" priority="14" stopIfTrue="1">
      <formula>O45=1</formula>
    </cfRule>
  </conditionalFormatting>
  <conditionalFormatting sqref="E55">
    <cfRule type="expression" dxfId="281" priority="16" stopIfTrue="1">
      <formula>Q55=1</formula>
    </cfRule>
  </conditionalFormatting>
  <conditionalFormatting sqref="F56:G56">
    <cfRule type="expression" dxfId="280" priority="17" stopIfTrue="1">
      <formula>O56=1</formula>
    </cfRule>
  </conditionalFormatting>
  <conditionalFormatting sqref="F55:G55 G40">
    <cfRule type="expression" dxfId="279" priority="18" stopIfTrue="1">
      <formula>Q40=1</formula>
    </cfRule>
  </conditionalFormatting>
  <conditionalFormatting sqref="E44">
    <cfRule type="expression" dxfId="278" priority="19" stopIfTrue="1">
      <formula>M44&gt;1</formula>
    </cfRule>
  </conditionalFormatting>
  <conditionalFormatting sqref="E46">
    <cfRule type="expression" dxfId="277" priority="20" stopIfTrue="1">
      <formula>OR(T46=1,Q48=0)</formula>
    </cfRule>
  </conditionalFormatting>
  <conditionalFormatting sqref="F46:G46">
    <cfRule type="expression" dxfId="276" priority="21" stopIfTrue="1">
      <formula>OR(T46=1,Q48=0)</formula>
    </cfRule>
  </conditionalFormatting>
  <conditionalFormatting sqref="F39:G39">
    <cfRule type="expression" dxfId="275" priority="24" stopIfTrue="1">
      <formula>B39="Yes"</formula>
    </cfRule>
  </conditionalFormatting>
  <conditionalFormatting sqref="E39">
    <cfRule type="expression" dxfId="274" priority="25" stopIfTrue="1">
      <formula>B39="Yes"</formula>
    </cfRule>
  </conditionalFormatting>
  <conditionalFormatting sqref="F23">
    <cfRule type="expression" dxfId="273" priority="26" stopIfTrue="1">
      <formula>M23&lt;0</formula>
    </cfRule>
  </conditionalFormatting>
  <conditionalFormatting sqref="E23">
    <cfRule type="expression" dxfId="272" priority="27" stopIfTrue="1">
      <formula>M23&lt;0</formula>
    </cfRule>
  </conditionalFormatting>
  <conditionalFormatting sqref="F48:G48">
    <cfRule type="expression" dxfId="271" priority="28" stopIfTrue="1">
      <formula>T48=1</formula>
    </cfRule>
  </conditionalFormatting>
  <conditionalFormatting sqref="E48">
    <cfRule type="expression" dxfId="270" priority="29" stopIfTrue="1">
      <formula>T48=1</formula>
    </cfRule>
  </conditionalFormatting>
  <conditionalFormatting sqref="F44:G44">
    <cfRule type="expression" dxfId="269" priority="31" stopIfTrue="1">
      <formula>AND(O45=1,R45=1)</formula>
    </cfRule>
  </conditionalFormatting>
  <conditionalFormatting sqref="F45:G45">
    <cfRule type="expression" dxfId="268" priority="32" stopIfTrue="1">
      <formula>AND(O45=1,R45=1)</formula>
    </cfRule>
  </conditionalFormatting>
  <conditionalFormatting sqref="E20">
    <cfRule type="expression" dxfId="267" priority="33" stopIfTrue="1">
      <formula>H20&gt;0</formula>
    </cfRule>
  </conditionalFormatting>
  <conditionalFormatting sqref="F20:G20">
    <cfRule type="expression" dxfId="266" priority="34" stopIfTrue="1">
      <formula>H20&gt;0</formula>
    </cfRule>
  </conditionalFormatting>
  <conditionalFormatting sqref="F36:F37">
    <cfRule type="expression" dxfId="265" priority="35" stopIfTrue="1">
      <formula>AND(H36&gt;0%,M36&lt;0)</formula>
    </cfRule>
  </conditionalFormatting>
  <conditionalFormatting sqref="E36:E37">
    <cfRule type="expression" dxfId="264" priority="36" stopIfTrue="1">
      <formula>AND(H36&gt;0%,M36&lt;0)</formula>
    </cfRule>
  </conditionalFormatting>
  <conditionalFormatting sqref="E47">
    <cfRule type="expression" dxfId="263" priority="37" stopIfTrue="1">
      <formula>R64=1</formula>
    </cfRule>
  </conditionalFormatting>
  <conditionalFormatting sqref="F51:G51">
    <cfRule type="expression" dxfId="262" priority="39" stopIfTrue="1">
      <formula>AND($H$51&gt;0,Z49=1,Y49=1)</formula>
    </cfRule>
  </conditionalFormatting>
  <conditionalFormatting sqref="E51">
    <cfRule type="expression" dxfId="261" priority="40" stopIfTrue="1">
      <formula>AND($H$51&gt;0,Z49=1,Y49=1)</formula>
    </cfRule>
  </conditionalFormatting>
  <conditionalFormatting sqref="E60">
    <cfRule type="expression" dxfId="260" priority="41" stopIfTrue="1">
      <formula>C60=1</formula>
    </cfRule>
  </conditionalFormatting>
  <conditionalFormatting sqref="M19:M20 M22 M30 M36:M37 M39:M57">
    <cfRule type="expression" dxfId="259" priority="42" stopIfTrue="1">
      <formula>L19=1</formula>
    </cfRule>
  </conditionalFormatting>
  <conditionalFormatting sqref="M29 M23 M25">
    <cfRule type="expression" dxfId="258" priority="43" stopIfTrue="1">
      <formula>O23=1</formula>
    </cfRule>
  </conditionalFormatting>
  <conditionalFormatting sqref="E58:E59">
    <cfRule type="expression" dxfId="257" priority="45" stopIfTrue="1">
      <formula>O58=1</formula>
    </cfRule>
  </conditionalFormatting>
  <conditionalFormatting sqref="E21">
    <cfRule type="expression" dxfId="256" priority="48" stopIfTrue="1">
      <formula>OR(B21="Free",Q21=1)</formula>
    </cfRule>
  </conditionalFormatting>
  <conditionalFormatting sqref="E25">
    <cfRule type="expression" dxfId="255" priority="50" stopIfTrue="1">
      <formula>OR($R$25&gt;1,AA25=1)</formula>
    </cfRule>
  </conditionalFormatting>
  <conditionalFormatting sqref="I36">
    <cfRule type="expression" dxfId="254" priority="51" stopIfTrue="1">
      <formula>OR(H36&gt;R36,I36="NCB Not Allowed")</formula>
    </cfRule>
  </conditionalFormatting>
  <conditionalFormatting sqref="E57">
    <cfRule type="expression" dxfId="253" priority="54" stopIfTrue="1">
      <formula>M57&gt;1</formula>
    </cfRule>
  </conditionalFormatting>
  <conditionalFormatting sqref="H53">
    <cfRule type="expression" dxfId="252" priority="55" stopIfTrue="1">
      <formula>T48=0</formula>
    </cfRule>
  </conditionalFormatting>
  <conditionalFormatting sqref="F25">
    <cfRule type="expression" dxfId="251" priority="56" stopIfTrue="1">
      <formula>OR($R$25&gt;1,AA25=1)</formula>
    </cfRule>
  </conditionalFormatting>
  <conditionalFormatting sqref="F26">
    <cfRule type="expression" dxfId="250" priority="57" stopIfTrue="1">
      <formula>H25&gt;0</formula>
    </cfRule>
  </conditionalFormatting>
  <conditionalFormatting sqref="H26">
    <cfRule type="expression" dxfId="249" priority="58" stopIfTrue="1">
      <formula>H25&gt;0</formula>
    </cfRule>
  </conditionalFormatting>
  <conditionalFormatting sqref="K26">
    <cfRule type="expression" dxfId="248" priority="59" stopIfTrue="1">
      <formula>H25&gt;0</formula>
    </cfRule>
  </conditionalFormatting>
  <conditionalFormatting sqref="I29:J29">
    <cfRule type="expression" dxfId="247" priority="60" stopIfTrue="1">
      <formula>M29=0</formula>
    </cfRule>
  </conditionalFormatting>
  <conditionalFormatting sqref="I27">
    <cfRule type="expression" dxfId="246" priority="62" stopIfTrue="1">
      <formula>OR($R$25&gt;1,AA25=1)</formula>
    </cfRule>
  </conditionalFormatting>
  <conditionalFormatting sqref="L25">
    <cfRule type="expression" dxfId="245" priority="63" stopIfTrue="1">
      <formula>OR($R$25&gt;1,AA25=1)</formula>
    </cfRule>
  </conditionalFormatting>
  <conditionalFormatting sqref="G42">
    <cfRule type="expression" dxfId="244" priority="64" stopIfTrue="1">
      <formula>AND(R41=1,R40=1)</formula>
    </cfRule>
  </conditionalFormatting>
  <conditionalFormatting sqref="E40">
    <cfRule type="expression" dxfId="243" priority="65" stopIfTrue="1">
      <formula>Q38=1</formula>
    </cfRule>
  </conditionalFormatting>
  <conditionalFormatting sqref="F40">
    <cfRule type="expression" dxfId="242" priority="66" stopIfTrue="1">
      <formula>Q38=1</formula>
    </cfRule>
  </conditionalFormatting>
  <conditionalFormatting sqref="E42">
    <cfRule type="expression" dxfId="241" priority="67" stopIfTrue="1">
      <formula>AND(Q39=1,Q38=1)</formula>
    </cfRule>
  </conditionalFormatting>
  <conditionalFormatting sqref="F42">
    <cfRule type="expression" dxfId="240" priority="68" stopIfTrue="1">
      <formula>AND(Q39=1,Q38=1)</formula>
    </cfRule>
  </conditionalFormatting>
  <conditionalFormatting sqref="E53">
    <cfRule type="expression" dxfId="239" priority="79" stopIfTrue="1">
      <formula>AND(H53&gt;1000,T48=1,Z50=1,O53=1)</formula>
    </cfRule>
  </conditionalFormatting>
  <conditionalFormatting sqref="G4">
    <cfRule type="expression" dxfId="238" priority="86" stopIfTrue="1">
      <formula>D3=1</formula>
    </cfRule>
  </conditionalFormatting>
  <conditionalFormatting sqref="H4">
    <cfRule type="expression" dxfId="237" priority="87" stopIfTrue="1">
      <formula>D3=1</formula>
    </cfRule>
  </conditionalFormatting>
  <conditionalFormatting sqref="I4:J4">
    <cfRule type="expression" dxfId="236" priority="88" stopIfTrue="1">
      <formula>D3=1</formula>
    </cfRule>
  </conditionalFormatting>
  <conditionalFormatting sqref="G5">
    <cfRule type="expression" dxfId="235" priority="89" stopIfTrue="1">
      <formula>D3=1</formula>
    </cfRule>
  </conditionalFormatting>
  <conditionalFormatting sqref="I5:J5">
    <cfRule type="expression" dxfId="234" priority="90" stopIfTrue="1">
      <formula>D3=1</formula>
    </cfRule>
  </conditionalFormatting>
  <conditionalFormatting sqref="H5">
    <cfRule type="expression" dxfId="233" priority="91" stopIfTrue="1">
      <formula>D3=1</formula>
    </cfRule>
  </conditionalFormatting>
  <conditionalFormatting sqref="M5">
    <cfRule type="expression" dxfId="232" priority="92" stopIfTrue="1">
      <formula>D3=1</formula>
    </cfRule>
  </conditionalFormatting>
  <conditionalFormatting sqref="I3:J3">
    <cfRule type="expression" dxfId="231" priority="93" stopIfTrue="1">
      <formula>D3=1</formula>
    </cfRule>
  </conditionalFormatting>
  <conditionalFormatting sqref="E22">
    <cfRule type="expression" dxfId="230" priority="94" stopIfTrue="1">
      <formula>I22&gt;1000</formula>
    </cfRule>
  </conditionalFormatting>
  <conditionalFormatting sqref="F22">
    <cfRule type="expression" dxfId="229" priority="96" stopIfTrue="1">
      <formula>I22&gt;1</formula>
    </cfRule>
  </conditionalFormatting>
  <conditionalFormatting sqref="K8">
    <cfRule type="expression" dxfId="228" priority="85" stopIfTrue="1">
      <formula>M8=L8</formula>
    </cfRule>
  </conditionalFormatting>
  <conditionalFormatting sqref="I24:J24">
    <cfRule type="expression" dxfId="227" priority="178" stopIfTrue="1">
      <formula>AND(C24=1,U23=0)</formula>
    </cfRule>
  </conditionalFormatting>
  <conditionalFormatting sqref="F49:G49">
    <cfRule type="expression" dxfId="226" priority="22" stopIfTrue="1">
      <formula>OR(Q49&gt;0,H49&gt;0)</formula>
    </cfRule>
  </conditionalFormatting>
  <conditionalFormatting sqref="F47:G47">
    <cfRule type="expression" dxfId="225" priority="38" stopIfTrue="1">
      <formula>AND(H47&gt;1,T47=1,Z49=1)</formula>
    </cfRule>
  </conditionalFormatting>
  <conditionalFormatting sqref="F21:G21">
    <cfRule type="expression" dxfId="224" priority="49" stopIfTrue="1">
      <formula>OR(B21="Free",Q21=1)</formula>
    </cfRule>
  </conditionalFormatting>
  <conditionalFormatting sqref="E29">
    <cfRule type="expression" dxfId="223" priority="52" stopIfTrue="1">
      <formula>AND(R29&gt;1,Z49=1,Y49=1)</formula>
    </cfRule>
  </conditionalFormatting>
  <conditionalFormatting sqref="F29:G29">
    <cfRule type="expression" dxfId="222" priority="53" stopIfTrue="1">
      <formula>AND(R29&gt;1,Z49=1,Y49=1)</formula>
    </cfRule>
  </conditionalFormatting>
  <conditionalFormatting sqref="E41">
    <cfRule type="expression" dxfId="221" priority="184" stopIfTrue="1">
      <formula>AND($C$40=1,D41=1)</formula>
    </cfRule>
  </conditionalFormatting>
  <conditionalFormatting sqref="G41">
    <cfRule type="expression" dxfId="220" priority="185" stopIfTrue="1">
      <formula>AND($C$40=1,M30&gt;0)</formula>
    </cfRule>
  </conditionalFormatting>
  <conditionalFormatting sqref="F41">
    <cfRule type="expression" dxfId="219" priority="186" stopIfTrue="1">
      <formula>E41=1</formula>
    </cfRule>
  </conditionalFormatting>
  <conditionalFormatting sqref="K41">
    <cfRule type="expression" dxfId="218" priority="187" stopIfTrue="1">
      <formula>AND(Z42&gt;0,J41=1)</formula>
    </cfRule>
  </conditionalFormatting>
  <conditionalFormatting sqref="J41">
    <cfRule type="expression" dxfId="217" priority="188" stopIfTrue="1">
      <formula>AND($C$40=1,OR(H50&gt;0,H51&gt;0))</formula>
    </cfRule>
  </conditionalFormatting>
  <conditionalFormatting sqref="F43 K43">
    <cfRule type="expression" dxfId="216" priority="189" stopIfTrue="1">
      <formula>AND(E43=1,E41=1)</formula>
    </cfRule>
  </conditionalFormatting>
  <conditionalFormatting sqref="G43">
    <cfRule type="expression" dxfId="215" priority="190" stopIfTrue="1">
      <formula>AND($C$40=1,$C$42=1,M30&gt;0)</formula>
    </cfRule>
  </conditionalFormatting>
  <conditionalFormatting sqref="E43">
    <cfRule type="expression" dxfId="214" priority="191" stopIfTrue="1">
      <formula>AND($C$40=1,$C$42=1,D41=1)</formula>
    </cfRule>
  </conditionalFormatting>
  <conditionalFormatting sqref="J43">
    <cfRule type="expression" dxfId="213" priority="192" stopIfTrue="1">
      <formula>AND($C$40=1,$C$42=1,OR(H50&gt;0,H51&gt;0))</formula>
    </cfRule>
  </conditionalFormatting>
  <conditionalFormatting sqref="H58:H59">
    <cfRule type="expression" dxfId="212" priority="195" stopIfTrue="1">
      <formula>AND(C58=1,F58="")</formula>
    </cfRule>
  </conditionalFormatting>
  <conditionalFormatting sqref="H24">
    <cfRule type="expression" dxfId="211" priority="196" stopIfTrue="1">
      <formula>U23=0</formula>
    </cfRule>
  </conditionalFormatting>
  <conditionalFormatting sqref="I16:M17">
    <cfRule type="expression" dxfId="210" priority="200" stopIfTrue="1">
      <formula>R15=0</formula>
    </cfRule>
  </conditionalFormatting>
  <conditionalFormatting sqref="H41">
    <cfRule type="expression" dxfId="209" priority="209" stopIfTrue="1">
      <formula>AND($C$40=1,M30&gt;0,G41=1)</formula>
    </cfRule>
  </conditionalFormatting>
  <conditionalFormatting sqref="H43">
    <cfRule type="expression" dxfId="208" priority="210" stopIfTrue="1">
      <formula>AND($C$40=1,M30&gt;0,G43=1,G41=1)</formula>
    </cfRule>
  </conditionalFormatting>
  <conditionalFormatting sqref="O25 L22 L36:L37 L30 O23 L19:L20 O29 L39:L59">
    <cfRule type="expression" dxfId="207" priority="101" stopIfTrue="1">
      <formula>$C$2="Yes"</formula>
    </cfRule>
  </conditionalFormatting>
  <conditionalFormatting sqref="I41">
    <cfRule type="expression" dxfId="206" priority="82" stopIfTrue="1">
      <formula>AND(B40="Yes",T42="Yes",H25&gt;0,L27&gt;0)</formula>
    </cfRule>
  </conditionalFormatting>
  <conditionalFormatting sqref="I43">
    <cfRule type="expression" dxfId="205" priority="83" stopIfTrue="1">
      <formula>AND(B40="Yes",T42="Yes",H25&gt;0,L27&gt;0,B41="Yes",T43="Yes")</formula>
    </cfRule>
  </conditionalFormatting>
  <conditionalFormatting sqref="E30">
    <cfRule type="expression" dxfId="204" priority="98" stopIfTrue="1">
      <formula>AND(H30&gt;1,C30="Yes",AA2=1,Z49=1,Y49=1)</formula>
    </cfRule>
  </conditionalFormatting>
  <conditionalFormatting sqref="H42 I49:J49 H44 K42 K44">
    <cfRule type="cellIs" dxfId="203" priority="105" stopIfTrue="1" operator="equal">
      <formula>0</formula>
    </cfRule>
  </conditionalFormatting>
  <conditionalFormatting sqref="K47">
    <cfRule type="cellIs" dxfId="202" priority="100" stopIfTrue="1" operator="equal">
      <formula>0</formula>
    </cfRule>
  </conditionalFormatting>
  <conditionalFormatting sqref="F54:G54">
    <cfRule type="expression" dxfId="201" priority="103" stopIfTrue="1">
      <formula>$H$54&gt;0</formula>
    </cfRule>
  </conditionalFormatting>
  <conditionalFormatting sqref="F50:G50">
    <cfRule type="expression" dxfId="200" priority="104" stopIfTrue="1">
      <formula>$H$50&gt;0</formula>
    </cfRule>
  </conditionalFormatting>
  <conditionalFormatting sqref="F57:G60">
    <cfRule type="cellIs" dxfId="199" priority="106" stopIfTrue="1" operator="equal">
      <formula>"."</formula>
    </cfRule>
  </conditionalFormatting>
  <conditionalFormatting sqref="K48">
    <cfRule type="cellIs" dxfId="198" priority="107" stopIfTrue="1" operator="equal">
      <formula>0</formula>
    </cfRule>
  </conditionalFormatting>
  <conditionalFormatting sqref="I52:K53">
    <cfRule type="cellIs" dxfId="197" priority="116" stopIfTrue="1" operator="equal">
      <formula>"Enter Number of Air Bags"</formula>
    </cfRule>
  </conditionalFormatting>
  <conditionalFormatting sqref="K15">
    <cfRule type="cellIs" dxfId="196" priority="222" stopIfTrue="1" operator="equal">
      <formula>"Chinese Vehicles Covered"</formula>
    </cfRule>
  </conditionalFormatting>
  <conditionalFormatting sqref="K9:M9">
    <cfRule type="expression" dxfId="195" priority="114" stopIfTrue="1">
      <formula>OR($T$2=3,$W$2=0)</formula>
    </cfRule>
  </conditionalFormatting>
  <conditionalFormatting sqref="G22:G23">
    <cfRule type="expression" dxfId="194" priority="95" stopIfTrue="1">
      <formula>#REF!&gt;1</formula>
    </cfRule>
  </conditionalFormatting>
  <conditionalFormatting sqref="N25 N19:N20 N22:N23 N29:N30 N36:N37 N39:N57">
    <cfRule type="expression" dxfId="193" priority="102" stopIfTrue="1">
      <formula>$C$2="Yes"</formula>
    </cfRule>
  </conditionalFormatting>
  <conditionalFormatting sqref="H19">
    <cfRule type="cellIs" dxfId="192" priority="108" stopIfTrue="1" operator="equal">
      <formula>"This Quotation system is not valid anymore"</formula>
    </cfRule>
  </conditionalFormatting>
  <conditionalFormatting sqref="E26 G26 L26">
    <cfRule type="expression" dxfId="191" priority="109" stopIfTrue="1">
      <formula>$H$25&gt;0</formula>
    </cfRule>
  </conditionalFormatting>
  <conditionalFormatting sqref="I31:I34">
    <cfRule type="expression" dxfId="190" priority="112" stopIfTrue="1">
      <formula>$H$30=0</formula>
    </cfRule>
  </conditionalFormatting>
  <conditionalFormatting sqref="E32:E34">
    <cfRule type="expression" dxfId="189" priority="113" stopIfTrue="1">
      <formula>AND($H$30&gt;0,$O$31=1)</formula>
    </cfRule>
  </conditionalFormatting>
  <conditionalFormatting sqref="K22">
    <cfRule type="expression" dxfId="188" priority="117" stopIfTrue="1">
      <formula>$C$2="Yes"</formula>
    </cfRule>
  </conditionalFormatting>
  <conditionalFormatting sqref="K14:M14">
    <cfRule type="expression" dxfId="187" priority="233" stopIfTrue="1">
      <formula>$H$14="Yes"</formula>
    </cfRule>
  </conditionalFormatting>
  <conditionalFormatting sqref="K30">
    <cfRule type="expression" dxfId="186" priority="234" stopIfTrue="1">
      <formula>AND($H$30&gt;0,$O$31&gt;0)</formula>
    </cfRule>
  </conditionalFormatting>
  <conditionalFormatting sqref="F30">
    <cfRule type="expression" dxfId="185" priority="235" stopIfTrue="1">
      <formula>AND(H30&gt;1,C30="Yes",AA2=1,Z49=1,Y49=1)</formula>
    </cfRule>
  </conditionalFormatting>
  <conditionalFormatting sqref="I30:J30">
    <cfRule type="expression" dxfId="184" priority="236" stopIfTrue="1">
      <formula>AND($H$30&gt;0,$O$31&gt;0)</formula>
    </cfRule>
  </conditionalFormatting>
  <conditionalFormatting sqref="I25:K25">
    <cfRule type="expression" dxfId="183" priority="12" stopIfTrue="1">
      <formula>$H$25=0</formula>
    </cfRule>
  </conditionalFormatting>
  <conditionalFormatting sqref="E16:H17">
    <cfRule type="notContainsBlanks" dxfId="182" priority="238" stopIfTrue="1">
      <formula>LEN(TRIM(E16))&gt;0</formula>
    </cfRule>
  </conditionalFormatting>
  <conditionalFormatting sqref="E15:F15">
    <cfRule type="cellIs" dxfId="181" priority="10" stopIfTrue="1" operator="equal">
      <formula>"SUM COVERED - Above Retention"</formula>
    </cfRule>
  </conditionalFormatting>
  <conditionalFormatting sqref="M13">
    <cfRule type="expression" dxfId="180" priority="239" stopIfTrue="1">
      <formula>OR(L13="",L13=0)</formula>
    </cfRule>
  </conditionalFormatting>
  <conditionalFormatting sqref="AA1">
    <cfRule type="expression" dxfId="179" priority="7" stopIfTrue="1">
      <formula>AND($H$12="HYBRID",$H$14="No")</formula>
    </cfRule>
  </conditionalFormatting>
  <conditionalFormatting sqref="M12">
    <cfRule type="expression" dxfId="178" priority="3" stopIfTrue="1">
      <formula>AND(H12="Hybrid",H14="No")</formula>
    </cfRule>
  </conditionalFormatting>
  <conditionalFormatting sqref="M12">
    <cfRule type="expression" dxfId="177" priority="2" stopIfTrue="1">
      <formula>AND(H12="Hybrid",H14="No")</formula>
    </cfRule>
  </conditionalFormatting>
  <conditionalFormatting sqref="M12">
    <cfRule type="expression" dxfId="176" priority="1" stopIfTrue="1">
      <formula>H8="Motor Cycle"</formula>
    </cfRule>
  </conditionalFormatting>
  <conditionalFormatting sqref="K50">
    <cfRule type="expression" dxfId="175" priority="250" stopIfTrue="1">
      <formula>T47=0</formula>
    </cfRule>
  </conditionalFormatting>
  <conditionalFormatting sqref="F52:F53">
    <cfRule type="expression" dxfId="174" priority="251" stopIfTrue="1">
      <formula>AND($K$50&gt;0,T47=1,Z49=1,O52=1)</formula>
    </cfRule>
  </conditionalFormatting>
  <conditionalFormatting sqref="E52">
    <cfRule type="expression" dxfId="173"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G1" workbookViewId="0">
      <selection activeCell="IT5" sqref="IT5"/>
    </sheetView>
  </sheetViews>
  <sheetFormatPr defaultColWidth="9.08984375" defaultRowHeight="24.9" customHeight="1" x14ac:dyDescent="0.25"/>
  <cols>
    <col min="1" max="1" width="13.453125" style="764" customWidth="1"/>
    <col min="2" max="2" width="9.08984375" style="764"/>
    <col min="3" max="3" width="6.08984375" style="764" customWidth="1"/>
    <col min="4" max="4" width="11.36328125" style="764" customWidth="1"/>
    <col min="5" max="5" width="5" style="764" customWidth="1"/>
    <col min="6" max="6" width="5.6328125" style="764" customWidth="1"/>
    <col min="7" max="7" width="23.08984375" style="764" customWidth="1"/>
    <col min="8" max="8" width="9.08984375" style="764"/>
    <col min="9" max="9" width="10.453125" style="764" customWidth="1"/>
    <col min="10" max="10" width="41.08984375" style="764" customWidth="1"/>
    <col min="11" max="12" width="9.08984375" style="764"/>
    <col min="13" max="13" width="1.90625" style="764" customWidth="1"/>
    <col min="14" max="14" width="17.453125" style="764" customWidth="1"/>
    <col min="15" max="15" width="20.6328125" style="764" customWidth="1"/>
    <col min="16" max="16384" width="9.08984375" style="764"/>
  </cols>
  <sheetData>
    <row r="1" spans="1:254" ht="24.9" customHeight="1" thickBot="1" x14ac:dyDescent="0.35">
      <c r="A1" s="1700" t="s">
        <v>218</v>
      </c>
      <c r="B1" s="1701"/>
      <c r="C1" s="1701"/>
      <c r="D1" s="1702"/>
      <c r="E1" s="763"/>
    </row>
    <row r="2" spans="1:254" ht="14.25" customHeight="1" x14ac:dyDescent="0.25"/>
    <row r="3" spans="1:254" ht="20.25" customHeight="1" x14ac:dyDescent="0.3">
      <c r="A3" s="765"/>
      <c r="G3" s="766">
        <f>IF(IS5="January",1,IF(IS5="February",2,IF(IS5="March",3,IF(IS5="April",4,IF(IS5="May",5,IF(IS5="June",6,IF(IS5="July",7,IF(IS5="August",8,H3))))))))</f>
        <v>5</v>
      </c>
      <c r="H3" s="766">
        <f>IF(IS5="September",9,IF(IS5="October",10,IF(IS5="November",11,12)))</f>
        <v>12</v>
      </c>
      <c r="I3" s="767">
        <f>DATE(IR5,G3,IT5)</f>
        <v>45413</v>
      </c>
      <c r="J3" s="766">
        <f>IF(M3=0,29,28)</f>
        <v>29</v>
      </c>
      <c r="K3" s="768">
        <f>YEAR(I3)/4</f>
        <v>506</v>
      </c>
      <c r="L3" s="768">
        <f>ROUND(K3,0)</f>
        <v>506</v>
      </c>
      <c r="M3" s="766">
        <f>K3-L3</f>
        <v>0</v>
      </c>
      <c r="N3" s="769" t="s">
        <v>235</v>
      </c>
      <c r="Q3" s="770" t="s">
        <v>206</v>
      </c>
    </row>
    <row r="4" spans="1:254" ht="24.9" customHeight="1" thickBot="1" x14ac:dyDescent="0.35">
      <c r="A4" s="771"/>
      <c r="G4" s="772"/>
      <c r="H4" s="772"/>
      <c r="I4" s="773"/>
      <c r="J4" s="773"/>
      <c r="K4" s="773"/>
      <c r="L4" s="763"/>
      <c r="M4" s="763"/>
      <c r="N4" s="774" t="s">
        <v>236</v>
      </c>
      <c r="O4" s="775" t="s">
        <v>177</v>
      </c>
      <c r="Q4" s="764">
        <v>1</v>
      </c>
      <c r="IR4" s="776" t="s">
        <v>204</v>
      </c>
      <c r="IS4" s="776" t="s">
        <v>205</v>
      </c>
      <c r="IT4" s="776" t="s">
        <v>206</v>
      </c>
    </row>
    <row r="5" spans="1:254" ht="24.9" customHeight="1" thickBot="1" x14ac:dyDescent="0.35">
      <c r="A5" s="765" t="s">
        <v>207</v>
      </c>
      <c r="C5" s="1703" t="str">
        <f>H5</f>
        <v/>
      </c>
      <c r="D5" s="1704"/>
      <c r="E5" s="1705"/>
      <c r="G5" s="772"/>
      <c r="H5" s="772" t="str">
        <f>IF('Old MC Working'!$H$65529=N4,O4,IF('Old MC Working'!$H$65529=N5,O5,IF('Old MC Working'!$H$65529=N6,O6,IF('Old MC Working'!$H$65529=N7,O7,IF('Old MC Working'!$H$65529=N8,O8,IF('Old MC Working'!$H$65529=N9,O9,IF('Old MC Working'!$H$65529=N10,O10,IF('Old MC Working'!$H$65529=N11,O11,I5))))))))</f>
        <v/>
      </c>
      <c r="I5" s="772" t="str">
        <f>IF('Old MC Working'!$H$65529=N12,O12,IF('Old MC Working'!$H$65529=N13,O13,IF('Old MC Working'!$H$65529=N14,O14,IF('Old MC Working'!$H$65529=N15,O15,IF('Old MC Working'!$H$65529=N16,O16,IF('Old MC Working'!$H$65529=N17,O17,IF('Old MC Working'!$H$65529=N18,O18,IF('Old MC Working'!$H$65529=N19,O19,J5))))))))</f>
        <v/>
      </c>
      <c r="J5" s="772" t="str">
        <f>IF('Old MC Working'!$H$65529=N20,O20,IF('Old MC Working'!$H$65529=N21,O21,IF('Old MC Working'!$H$65529=N22,O22,IF('Old MC Working'!$H$65529=N23,O23,IF('Old MC Working'!$H$65529=N24,O24,IF('Old MC Working'!$H$65529=N25,O25,IF('Old MC Working'!$H$65529=N26,O26,IF('Old MC Working'!$H$65529=N27,O27,K5))))))))</f>
        <v/>
      </c>
      <c r="K5" s="772" t="str">
        <f>IF('Old MC Working'!$H$65529=N28,O28,IF('Old MC Working'!$H$65529=N29,O29,IF('Old MC Working'!$H$65529=N30,O30,IF('Old MC Working'!$H$65529=N31,O31,""))))</f>
        <v/>
      </c>
      <c r="N5" s="774" t="s">
        <v>237</v>
      </c>
      <c r="O5" s="775" t="s">
        <v>178</v>
      </c>
      <c r="Q5" s="764">
        <f>Q4+1</f>
        <v>2</v>
      </c>
      <c r="IR5" s="777">
        <v>2024</v>
      </c>
      <c r="IS5" s="777" t="s">
        <v>348</v>
      </c>
      <c r="IT5" s="777">
        <v>1</v>
      </c>
    </row>
    <row r="6" spans="1:254" ht="24.9" customHeight="1" thickBot="1" x14ac:dyDescent="0.3">
      <c r="G6" s="772"/>
      <c r="H6" s="772"/>
      <c r="I6" s="772"/>
      <c r="J6" s="778" t="s">
        <v>417</v>
      </c>
      <c r="K6" s="772"/>
      <c r="N6" s="774" t="s">
        <v>241</v>
      </c>
      <c r="O6" s="775" t="s">
        <v>179</v>
      </c>
      <c r="Q6" s="764">
        <f t="shared" ref="Q6:Q31" si="0">Q5+1</f>
        <v>3</v>
      </c>
    </row>
    <row r="7" spans="1:254" ht="24.9" customHeight="1" thickBot="1" x14ac:dyDescent="0.35">
      <c r="A7" s="765" t="s">
        <v>208</v>
      </c>
      <c r="C7" s="764" t="s">
        <v>175</v>
      </c>
      <c r="F7" s="779" t="s">
        <v>78</v>
      </c>
      <c r="G7" s="772" t="str">
        <f t="shared" ref="G7:G17" si="1">IF(F7="Yes",C7,"")</f>
        <v>Motor Car</v>
      </c>
      <c r="H7" s="772">
        <f>IF(F7="Yes",1,0)</f>
        <v>1</v>
      </c>
      <c r="I7" s="772" t="str">
        <f>IF(H7=1,C7,IF(H8=1,C8,IF(H9=1,C9,IF(H10=1,C10,IF(H11=1,C16,IF(H12=1,C11,IF(I5=1,C12,IF(H14=1,C13,J15))))))))</f>
        <v>Motor Car</v>
      </c>
      <c r="J7" s="778" t="s">
        <v>382</v>
      </c>
      <c r="K7" s="772"/>
      <c r="N7" s="774" t="s">
        <v>239</v>
      </c>
      <c r="O7" s="775" t="s">
        <v>180</v>
      </c>
      <c r="Q7" s="764">
        <f t="shared" si="0"/>
        <v>4</v>
      </c>
      <c r="IR7" s="1706">
        <f>I3</f>
        <v>45413</v>
      </c>
      <c r="IS7" s="1706"/>
      <c r="IT7" s="1706"/>
    </row>
    <row r="8" spans="1:254" ht="17.149999999999999" customHeight="1" thickBot="1" x14ac:dyDescent="0.3">
      <c r="C8" s="764" t="s">
        <v>209</v>
      </c>
      <c r="F8" s="779" t="s">
        <v>78</v>
      </c>
      <c r="G8" s="772" t="str">
        <f t="shared" si="1"/>
        <v>Jeep</v>
      </c>
      <c r="H8" s="772">
        <f>IF(F8="Yes",1,0)</f>
        <v>1</v>
      </c>
      <c r="I8" s="772"/>
      <c r="J8" s="778" t="s">
        <v>383</v>
      </c>
      <c r="K8" s="772"/>
      <c r="N8" s="774" t="s">
        <v>240</v>
      </c>
      <c r="O8" s="775" t="s">
        <v>181</v>
      </c>
      <c r="Q8" s="764">
        <f t="shared" si="0"/>
        <v>5</v>
      </c>
    </row>
    <row r="9" spans="1:254" ht="17.149999999999999" customHeight="1" thickBot="1" x14ac:dyDescent="0.3">
      <c r="C9" s="764" t="s">
        <v>210</v>
      </c>
      <c r="F9" s="779" t="s">
        <v>78</v>
      </c>
      <c r="G9" s="772" t="str">
        <f t="shared" si="1"/>
        <v>Dual Purpose</v>
      </c>
      <c r="H9" s="772">
        <f>IF(F9="Yes",1,0)</f>
        <v>1</v>
      </c>
      <c r="I9" s="772"/>
      <c r="J9" s="778" t="s">
        <v>390</v>
      </c>
      <c r="K9" s="772"/>
      <c r="N9" s="774" t="s">
        <v>238</v>
      </c>
      <c r="O9" s="775" t="s">
        <v>182</v>
      </c>
      <c r="Q9" s="764">
        <f t="shared" si="0"/>
        <v>6</v>
      </c>
    </row>
    <row r="10" spans="1:254" ht="17.149999999999999" customHeight="1" thickBot="1" x14ac:dyDescent="0.3">
      <c r="C10" s="764" t="s">
        <v>211</v>
      </c>
      <c r="F10" s="779" t="s">
        <v>78</v>
      </c>
      <c r="G10" s="772" t="str">
        <f t="shared" si="1"/>
        <v>Motor Coach</v>
      </c>
      <c r="H10" s="772">
        <f>IF(F10="Yes",1,0)</f>
        <v>1</v>
      </c>
      <c r="I10" s="772"/>
      <c r="J10" s="778" t="s">
        <v>427</v>
      </c>
      <c r="K10" s="772"/>
      <c r="N10" s="774" t="s">
        <v>261</v>
      </c>
      <c r="O10" s="775" t="s">
        <v>183</v>
      </c>
      <c r="Q10" s="764">
        <f t="shared" si="0"/>
        <v>7</v>
      </c>
    </row>
    <row r="11" spans="1:254" ht="17.149999999999999" customHeight="1" thickBot="1" x14ac:dyDescent="0.3">
      <c r="C11" s="764" t="s">
        <v>359</v>
      </c>
      <c r="F11" s="779" t="s">
        <v>78</v>
      </c>
      <c r="G11" s="772" t="str">
        <f t="shared" si="1"/>
        <v>Motor Lorry</v>
      </c>
      <c r="H11" s="772">
        <f>IF(F16="Yes",1,0)</f>
        <v>1</v>
      </c>
      <c r="I11" s="772"/>
      <c r="J11" s="778" t="s">
        <v>431</v>
      </c>
      <c r="K11" s="772"/>
      <c r="N11" s="774" t="s">
        <v>242</v>
      </c>
      <c r="O11" s="775" t="s">
        <v>184</v>
      </c>
      <c r="Q11" s="764">
        <f t="shared" si="0"/>
        <v>8</v>
      </c>
    </row>
    <row r="12" spans="1:254" ht="17.149999999999999" customHeight="1" thickBot="1" x14ac:dyDescent="0.3">
      <c r="C12" s="764" t="s">
        <v>212</v>
      </c>
      <c r="F12" s="779" t="s">
        <v>78</v>
      </c>
      <c r="G12" s="772" t="str">
        <f t="shared" si="1"/>
        <v>Three Wheeler</v>
      </c>
      <c r="H12" s="772">
        <f>IF(F11="Yes",1,0)</f>
        <v>1</v>
      </c>
      <c r="I12" s="772"/>
      <c r="J12" s="778" t="s">
        <v>384</v>
      </c>
      <c r="K12" s="772"/>
      <c r="N12" s="774" t="s">
        <v>243</v>
      </c>
      <c r="O12" s="775" t="s">
        <v>185</v>
      </c>
      <c r="Q12" s="764">
        <f t="shared" si="0"/>
        <v>9</v>
      </c>
    </row>
    <row r="13" spans="1:254" ht="17.149999999999999" customHeight="1" thickBot="1" x14ac:dyDescent="0.3">
      <c r="C13" s="764" t="s">
        <v>214</v>
      </c>
      <c r="F13" s="779" t="s">
        <v>78</v>
      </c>
      <c r="G13" s="772" t="str">
        <f t="shared" si="1"/>
        <v>Motor Cycle (Chinese)</v>
      </c>
      <c r="H13" s="772">
        <f>IF(F12="Yes",1,0)</f>
        <v>1</v>
      </c>
      <c r="I13" s="772"/>
      <c r="J13" s="778" t="s">
        <v>416</v>
      </c>
      <c r="K13" s="772"/>
      <c r="N13" s="774" t="s">
        <v>262</v>
      </c>
      <c r="O13" s="775" t="s">
        <v>186</v>
      </c>
      <c r="Q13" s="764">
        <f t="shared" si="0"/>
        <v>10</v>
      </c>
    </row>
    <row r="14" spans="1:254" ht="17.149999999999999" customHeight="1" thickBot="1" x14ac:dyDescent="0.3">
      <c r="C14" s="764" t="s">
        <v>361</v>
      </c>
      <c r="F14" s="779" t="s">
        <v>78</v>
      </c>
      <c r="G14" s="772" t="str">
        <f t="shared" si="1"/>
        <v>Motor Cycle</v>
      </c>
      <c r="H14" s="772">
        <f>IF(F13="Yes",1,0)</f>
        <v>1</v>
      </c>
      <c r="I14" s="772"/>
      <c r="J14" s="778" t="s">
        <v>440</v>
      </c>
      <c r="K14" s="772"/>
      <c r="N14" s="774" t="s">
        <v>263</v>
      </c>
      <c r="O14" s="775" t="s">
        <v>187</v>
      </c>
      <c r="Q14" s="764">
        <f t="shared" si="0"/>
        <v>11</v>
      </c>
    </row>
    <row r="15" spans="1:254" ht="17.149999999999999" customHeight="1" thickBot="1" x14ac:dyDescent="0.3">
      <c r="C15" s="764" t="s">
        <v>215</v>
      </c>
      <c r="F15" s="779" t="s">
        <v>78</v>
      </c>
      <c r="G15" s="772" t="str">
        <f t="shared" si="1"/>
        <v>Tractor</v>
      </c>
      <c r="H15" s="772">
        <f>IF(F14="Yes",1,0)</f>
        <v>1</v>
      </c>
      <c r="I15" s="772"/>
      <c r="J15" s="778" t="s">
        <v>420</v>
      </c>
      <c r="K15" s="772"/>
      <c r="N15" s="774" t="s">
        <v>244</v>
      </c>
      <c r="O15" s="775" t="s">
        <v>188</v>
      </c>
      <c r="Q15" s="764">
        <f t="shared" si="0"/>
        <v>12</v>
      </c>
    </row>
    <row r="16" spans="1:254" ht="17.149999999999999" customHeight="1" thickBot="1" x14ac:dyDescent="0.3">
      <c r="C16" s="764" t="s">
        <v>213</v>
      </c>
      <c r="F16" s="779" t="s">
        <v>78</v>
      </c>
      <c r="G16" s="772" t="str">
        <f t="shared" si="1"/>
        <v>Motor Lorry (Chinese)</v>
      </c>
      <c r="H16" s="772">
        <f>IF(F15="Yes",1,0)</f>
        <v>1</v>
      </c>
      <c r="I16" s="772"/>
      <c r="J16" s="778" t="s">
        <v>424</v>
      </c>
      <c r="K16" s="772"/>
      <c r="N16" s="774" t="s">
        <v>245</v>
      </c>
      <c r="O16" s="775" t="s">
        <v>189</v>
      </c>
      <c r="Q16" s="764">
        <f t="shared" si="0"/>
        <v>13</v>
      </c>
    </row>
    <row r="17" spans="1:17" ht="17.149999999999999" customHeight="1" thickBot="1" x14ac:dyDescent="0.3">
      <c r="C17" s="764" t="s">
        <v>216</v>
      </c>
      <c r="F17" s="779" t="s">
        <v>78</v>
      </c>
      <c r="G17" s="772" t="str">
        <f t="shared" si="1"/>
        <v>Others</v>
      </c>
      <c r="H17" s="772">
        <f>IF(F17="Yes",1,0)</f>
        <v>1</v>
      </c>
      <c r="I17" s="780"/>
      <c r="J17" s="778" t="s">
        <v>391</v>
      </c>
      <c r="K17" s="772"/>
      <c r="N17" s="774" t="s">
        <v>246</v>
      </c>
      <c r="O17" s="775" t="s">
        <v>190</v>
      </c>
      <c r="Q17" s="764">
        <f t="shared" si="0"/>
        <v>14</v>
      </c>
    </row>
    <row r="18" spans="1:17" ht="17.149999999999999" customHeight="1" x14ac:dyDescent="0.25">
      <c r="H18" s="772"/>
      <c r="I18" s="780"/>
      <c r="J18" s="778" t="s">
        <v>386</v>
      </c>
      <c r="K18" s="772"/>
      <c r="N18" s="774" t="s">
        <v>247</v>
      </c>
      <c r="O18" s="775" t="s">
        <v>191</v>
      </c>
      <c r="Q18" s="764">
        <f t="shared" si="0"/>
        <v>15</v>
      </c>
    </row>
    <row r="19" spans="1:17" ht="17.149999999999999" customHeight="1" thickBot="1" x14ac:dyDescent="0.3">
      <c r="G19" s="772"/>
      <c r="H19" s="772"/>
      <c r="I19" s="772"/>
      <c r="J19" s="778" t="s">
        <v>387</v>
      </c>
      <c r="K19" s="772"/>
      <c r="N19" s="774" t="s">
        <v>248</v>
      </c>
      <c r="O19" s="775" t="s">
        <v>192</v>
      </c>
      <c r="Q19" s="764">
        <f t="shared" si="0"/>
        <v>16</v>
      </c>
    </row>
    <row r="20" spans="1:17" ht="17.149999999999999" customHeight="1" thickBot="1" x14ac:dyDescent="0.3">
      <c r="A20" s="781" t="s">
        <v>35</v>
      </c>
      <c r="C20" s="764" t="s">
        <v>323</v>
      </c>
      <c r="F20" s="779" t="s">
        <v>78</v>
      </c>
      <c r="G20" s="772" t="str">
        <f>IF(F20="Yes",C20,"")</f>
        <v>Private Use Only</v>
      </c>
      <c r="H20" s="772"/>
      <c r="I20" s="772" t="str">
        <f>IF(G20&lt;&gt;"",G20,IF(G21&lt;&gt;"",G21,IF(G22&lt;&gt;"",G22,IF(G23&lt;&gt;"",G23,IF(G24&lt;&gt;"",G24,"")))))</f>
        <v>Private Use Only</v>
      </c>
      <c r="J20" s="778" t="s">
        <v>429</v>
      </c>
      <c r="K20" s="772"/>
      <c r="N20" s="774" t="s">
        <v>249</v>
      </c>
      <c r="O20" s="775" t="s">
        <v>176</v>
      </c>
      <c r="Q20" s="764">
        <f t="shared" si="0"/>
        <v>17</v>
      </c>
    </row>
    <row r="21" spans="1:17" ht="17.149999999999999" customHeight="1" thickBot="1" x14ac:dyDescent="0.3">
      <c r="C21" s="764" t="s">
        <v>41</v>
      </c>
      <c r="F21" s="779" t="s">
        <v>78</v>
      </c>
      <c r="G21" s="772" t="str">
        <f>IF(F21="Yes",C21,"")</f>
        <v>Hiring</v>
      </c>
      <c r="I21" s="772" t="str">
        <f>IF(AND(G21&lt;&gt;"",G21&lt;&gt;I20),G21,IF(AND(G22&lt;&gt;"",G22&lt;&gt;I20),G22,IF(AND(G23&lt;&gt;"",G23&lt;&gt;I20),G23,IF(AND(G24&lt;&gt;"",G24&lt;&gt;I20),G24,""))))</f>
        <v>Hiring</v>
      </c>
      <c r="J21" s="778" t="s">
        <v>388</v>
      </c>
      <c r="K21" s="772"/>
      <c r="N21" s="774" t="s">
        <v>250</v>
      </c>
      <c r="O21" s="775" t="s">
        <v>193</v>
      </c>
      <c r="Q21" s="764">
        <f t="shared" si="0"/>
        <v>18</v>
      </c>
    </row>
    <row r="22" spans="1:17" ht="18" customHeight="1" thickBot="1" x14ac:dyDescent="0.3">
      <c r="C22" s="764" t="s">
        <v>7</v>
      </c>
      <c r="F22" s="779" t="s">
        <v>78</v>
      </c>
      <c r="G22" s="772" t="str">
        <f>IF(F22="Yes",C22,"")</f>
        <v>Rent A Vehicle</v>
      </c>
      <c r="H22" s="772"/>
      <c r="I22" s="772" t="str">
        <f>IF(AND(G22&lt;&gt;"",G22&lt;&gt;I21,G22&lt;&gt;I20),G22,IF(AND(G23&lt;&gt;"",G23&lt;&gt;I21,G23&lt;&gt;I20),G23,IF(AND(G24&lt;&gt;"",G24&lt;&gt;I20,G24&lt;&gt;I21),G24,"")))</f>
        <v>Rent A Vehicle</v>
      </c>
      <c r="J22" s="778" t="s">
        <v>423</v>
      </c>
      <c r="K22" s="772"/>
      <c r="N22" s="774" t="s">
        <v>251</v>
      </c>
      <c r="O22" s="775" t="s">
        <v>194</v>
      </c>
      <c r="Q22" s="764">
        <f t="shared" si="0"/>
        <v>19</v>
      </c>
    </row>
    <row r="23" spans="1:17" ht="18" customHeight="1" thickBot="1" x14ac:dyDescent="0.3">
      <c r="C23" s="764" t="s">
        <v>219</v>
      </c>
      <c r="F23" s="779" t="s">
        <v>78</v>
      </c>
      <c r="G23" s="772" t="str">
        <f>IF(F23="Yes",C23,"")</f>
        <v xml:space="preserve">SLTB Route </v>
      </c>
      <c r="H23" s="772"/>
      <c r="I23" s="772" t="str">
        <f>IF(AND(G23&lt;&gt;"",I20&lt;&gt;G23,I21&lt;&gt;G23,I22&lt;&gt;G23),G23,IF(AND(G24&lt;&gt;"",G24&lt;&gt;I20,G24&lt;&gt;I21,G24&lt;&gt;I22),G24,""))</f>
        <v xml:space="preserve">SLTB Route </v>
      </c>
      <c r="J23" s="778" t="s">
        <v>422</v>
      </c>
      <c r="K23" s="772"/>
      <c r="N23" s="774" t="s">
        <v>252</v>
      </c>
      <c r="O23" s="775" t="s">
        <v>195</v>
      </c>
      <c r="Q23" s="764">
        <f t="shared" si="0"/>
        <v>20</v>
      </c>
    </row>
    <row r="24" spans="1:17" ht="18" customHeight="1" thickBot="1" x14ac:dyDescent="0.3">
      <c r="C24" s="764" t="s">
        <v>221</v>
      </c>
      <c r="F24" s="779" t="s">
        <v>114</v>
      </c>
      <c r="G24" s="772" t="str">
        <f>IF(F24="Yes",C24,"")</f>
        <v/>
      </c>
      <c r="H24" s="772"/>
      <c r="I24" s="772" t="str">
        <f>IF(AND(G24&lt;&gt;"",I21&lt;&gt;G24,I22&lt;&gt;G24,I23&lt;&gt;G24,G24&lt;&gt;I20),G24,"")</f>
        <v/>
      </c>
      <c r="J24" s="778" t="s">
        <v>432</v>
      </c>
      <c r="K24" s="772"/>
      <c r="N24" s="774" t="s">
        <v>253</v>
      </c>
      <c r="O24" s="775" t="s">
        <v>196</v>
      </c>
      <c r="Q24" s="764">
        <f t="shared" si="0"/>
        <v>21</v>
      </c>
    </row>
    <row r="25" spans="1:17" ht="18" customHeight="1" x14ac:dyDescent="0.25">
      <c r="G25" s="772"/>
      <c r="H25" s="772"/>
      <c r="I25" s="772"/>
      <c r="J25" s="778" t="s">
        <v>419</v>
      </c>
      <c r="K25" s="772"/>
      <c r="N25" s="774" t="s">
        <v>254</v>
      </c>
      <c r="O25" s="775" t="s">
        <v>197</v>
      </c>
      <c r="Q25" s="764">
        <f t="shared" si="0"/>
        <v>22</v>
      </c>
    </row>
    <row r="26" spans="1:17" ht="18" customHeight="1" thickBot="1" x14ac:dyDescent="0.3">
      <c r="G26" s="772"/>
      <c r="H26" s="772"/>
      <c r="I26" s="772"/>
      <c r="J26" s="778" t="s">
        <v>394</v>
      </c>
      <c r="K26" s="772"/>
      <c r="N26" s="774" t="s">
        <v>255</v>
      </c>
      <c r="O26" s="775" t="s">
        <v>198</v>
      </c>
      <c r="Q26" s="764">
        <f t="shared" si="0"/>
        <v>23</v>
      </c>
    </row>
    <row r="27" spans="1:17" ht="24.9" customHeight="1" thickBot="1" x14ac:dyDescent="0.35">
      <c r="A27" s="782" t="s">
        <v>217</v>
      </c>
      <c r="F27" s="779" t="s">
        <v>78</v>
      </c>
      <c r="G27" s="772"/>
      <c r="H27" s="772"/>
      <c r="I27" s="772"/>
      <c r="J27" s="778" t="s">
        <v>418</v>
      </c>
      <c r="K27" s="772"/>
      <c r="N27" s="774" t="s">
        <v>256</v>
      </c>
      <c r="O27" s="775" t="s">
        <v>199</v>
      </c>
      <c r="Q27" s="764">
        <f t="shared" si="0"/>
        <v>24</v>
      </c>
    </row>
    <row r="28" spans="1:17" ht="24.9" customHeight="1" thickBot="1" x14ac:dyDescent="0.3">
      <c r="G28" s="772"/>
      <c r="H28" s="772"/>
      <c r="I28" s="772"/>
      <c r="J28" s="778" t="s">
        <v>426</v>
      </c>
      <c r="K28" s="772"/>
      <c r="N28" s="774" t="s">
        <v>257</v>
      </c>
      <c r="O28" s="775" t="s">
        <v>200</v>
      </c>
      <c r="Q28" s="764">
        <f t="shared" si="0"/>
        <v>25</v>
      </c>
    </row>
    <row r="29" spans="1:17" ht="24.9" customHeight="1" thickBot="1" x14ac:dyDescent="0.35">
      <c r="A29" s="765" t="s">
        <v>278</v>
      </c>
      <c r="C29" s="783"/>
      <c r="F29" s="784">
        <v>19</v>
      </c>
      <c r="G29" s="772"/>
      <c r="I29" s="772"/>
      <c r="J29" s="778" t="s">
        <v>428</v>
      </c>
      <c r="K29" s="772"/>
      <c r="N29" s="774" t="s">
        <v>258</v>
      </c>
      <c r="O29" s="775" t="s">
        <v>201</v>
      </c>
      <c r="Q29" s="764">
        <f t="shared" si="0"/>
        <v>26</v>
      </c>
    </row>
    <row r="30" spans="1:17" ht="24.9" customHeight="1" thickBot="1" x14ac:dyDescent="0.3">
      <c r="G30" s="772"/>
      <c r="H30" s="772"/>
      <c r="I30" s="772"/>
      <c r="J30" s="778" t="s">
        <v>441</v>
      </c>
      <c r="K30" s="772"/>
      <c r="N30" s="774" t="s">
        <v>259</v>
      </c>
      <c r="O30" s="775" t="s">
        <v>202</v>
      </c>
      <c r="Q30" s="764">
        <f t="shared" si="0"/>
        <v>27</v>
      </c>
    </row>
    <row r="31" spans="1:17" ht="24.9" customHeight="1" thickBot="1" x14ac:dyDescent="0.35">
      <c r="A31" s="765" t="s">
        <v>289</v>
      </c>
      <c r="C31" s="783"/>
      <c r="F31" s="779" t="s">
        <v>78</v>
      </c>
      <c r="J31" s="778" t="s">
        <v>430</v>
      </c>
      <c r="N31" s="774" t="s">
        <v>260</v>
      </c>
      <c r="O31" s="775" t="s">
        <v>203</v>
      </c>
      <c r="Q31" s="764">
        <f t="shared" si="0"/>
        <v>28</v>
      </c>
    </row>
    <row r="32" spans="1:17" ht="8.25" customHeight="1" x14ac:dyDescent="0.25">
      <c r="A32" s="1707"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07"/>
      <c r="C32" s="1707"/>
      <c r="D32" s="1707"/>
      <c r="E32" s="1707"/>
      <c r="F32" s="1707"/>
      <c r="G32" s="1707"/>
      <c r="J32" s="778" t="s">
        <v>421</v>
      </c>
      <c r="N32" s="774"/>
      <c r="Q32" s="764">
        <f>IF(AND(M3&lt;&gt;0,G3=2),"",29)</f>
        <v>29</v>
      </c>
    </row>
    <row r="33" spans="1:17" ht="24.9" customHeight="1" x14ac:dyDescent="0.25">
      <c r="A33" s="1707"/>
      <c r="B33" s="1707"/>
      <c r="C33" s="1707"/>
      <c r="D33" s="1707"/>
      <c r="E33" s="1707"/>
      <c r="F33" s="1707"/>
      <c r="G33" s="1707"/>
      <c r="J33" s="778" t="s">
        <v>389</v>
      </c>
      <c r="N33" s="774"/>
      <c r="Q33" s="764">
        <f>IF(G3=2,"",30)</f>
        <v>30</v>
      </c>
    </row>
    <row r="34" spans="1:17" ht="24.9" customHeight="1" x14ac:dyDescent="0.25">
      <c r="I34" s="785" t="s">
        <v>443</v>
      </c>
      <c r="J34" s="778"/>
      <c r="N34" s="774"/>
      <c r="Q34" s="764">
        <f>IF(OR(G3=2,G3=4,G3=6,G3=9,G3=11),"",31)</f>
        <v>31</v>
      </c>
    </row>
    <row r="35" spans="1:17" ht="24.9" customHeight="1" x14ac:dyDescent="0.25">
      <c r="J35" s="778"/>
      <c r="N35" s="774"/>
    </row>
    <row r="36" spans="1:17" ht="24.9" customHeight="1" x14ac:dyDescent="0.25">
      <c r="J36" s="778"/>
    </row>
    <row r="37" spans="1:17" ht="24.9" customHeight="1" x14ac:dyDescent="0.25">
      <c r="J37" s="778"/>
    </row>
    <row r="38" spans="1:17" ht="24.9" customHeight="1" x14ac:dyDescent="0.25">
      <c r="J38" s="778"/>
    </row>
    <row r="39" spans="1:17" ht="24.9" customHeight="1" x14ac:dyDescent="0.25">
      <c r="J39" s="778"/>
    </row>
    <row r="40" spans="1:17" ht="24.9" customHeight="1" x14ac:dyDescent="0.25">
      <c r="J40" s="778"/>
    </row>
  </sheetData>
  <dataConsolidate/>
  <mergeCells count="4">
    <mergeCell ref="A1:D1"/>
    <mergeCell ref="C5:E5"/>
    <mergeCell ref="IR7:IT7"/>
    <mergeCell ref="A32:G33"/>
  </mergeCells>
  <conditionalFormatting sqref="F27 F20:F24 F7:F17 F31">
    <cfRule type="cellIs" dxfId="172"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0" sqref="D20"/>
    </sheetView>
  </sheetViews>
  <sheetFormatPr defaultColWidth="9.08984375" defaultRowHeight="20.149999999999999" customHeight="1" x14ac:dyDescent="0.25"/>
  <cols>
    <col min="1" max="1" width="3.08984375" style="783" customWidth="1"/>
    <col min="2" max="2" width="25.36328125" style="783" customWidth="1"/>
    <col min="3" max="3" width="1.6328125" style="783" customWidth="1"/>
    <col min="4" max="4" width="6.36328125" style="783" customWidth="1"/>
    <col min="5" max="5" width="2.453125" style="783" customWidth="1"/>
    <col min="6" max="6" width="7.36328125" style="783" customWidth="1"/>
    <col min="7" max="8" width="7" style="787" customWidth="1"/>
    <col min="9" max="9" width="2.6328125" style="783" customWidth="1"/>
    <col min="10" max="10" width="25.08984375" style="783" customWidth="1"/>
    <col min="11" max="11" width="7.6328125" style="783" customWidth="1"/>
    <col min="12" max="12" width="20.54296875" style="783" customWidth="1"/>
    <col min="13" max="13" width="8.90625" style="783" customWidth="1"/>
    <col min="14" max="14" width="15.90625" style="783" customWidth="1"/>
    <col min="15" max="15" width="10.36328125" style="783" customWidth="1"/>
    <col min="16" max="16" width="3.453125" style="783" customWidth="1"/>
    <col min="17" max="17" width="9.08984375" style="783"/>
    <col min="18" max="18" width="11.08984375" style="783" customWidth="1"/>
    <col min="19" max="21" width="9.08984375" style="783"/>
    <col min="22" max="22" width="7.36328125" style="783" customWidth="1"/>
    <col min="23" max="23" width="12.453125" style="783" customWidth="1"/>
    <col min="24" max="24" width="6" style="783" customWidth="1"/>
    <col min="25" max="16384" width="9.08984375" style="783"/>
  </cols>
  <sheetData>
    <row r="1" spans="1:19" ht="20.149999999999999" customHeight="1" thickBot="1" x14ac:dyDescent="0.3">
      <c r="A1" s="783">
        <f ca="1">YEAR(B1)</f>
        <v>2024</v>
      </c>
      <c r="B1" s="786">
        <f ca="1">TODAY()</f>
        <v>45351</v>
      </c>
      <c r="F1" s="1737" t="s">
        <v>156</v>
      </c>
      <c r="L1" s="788"/>
    </row>
    <row r="2" spans="1:19" ht="20.149999999999999" customHeight="1" thickTop="1" thickBot="1" x14ac:dyDescent="0.4">
      <c r="A2" s="789" t="s">
        <v>55</v>
      </c>
      <c r="B2" s="790"/>
      <c r="F2" s="1737"/>
      <c r="G2" s="791" t="s">
        <v>358</v>
      </c>
      <c r="H2" s="791" t="s">
        <v>362</v>
      </c>
      <c r="I2" s="1738" t="s">
        <v>57</v>
      </c>
      <c r="J2" s="1739"/>
      <c r="L2" s="788"/>
    </row>
    <row r="3" spans="1:19" ht="20.149999999999999" customHeight="1" thickTop="1" thickBot="1" x14ac:dyDescent="0.4">
      <c r="A3" s="792">
        <v>1</v>
      </c>
      <c r="B3" s="793" t="s">
        <v>50</v>
      </c>
      <c r="C3" s="794" t="s">
        <v>51</v>
      </c>
      <c r="D3" s="795">
        <f>IF('Old MC Working'!M12="Above 250cc",10,IF(AND(MC!B13=1,MC!T13="Ijarah"),5,2.2))</f>
        <v>2.2000000000000002</v>
      </c>
      <c r="E3" s="796" t="s">
        <v>56</v>
      </c>
      <c r="F3" s="797">
        <v>2</v>
      </c>
      <c r="I3" s="798">
        <v>1</v>
      </c>
      <c r="J3" s="799" t="s">
        <v>171</v>
      </c>
      <c r="K3" s="800">
        <v>0.2</v>
      </c>
      <c r="L3" s="801" t="s">
        <v>72</v>
      </c>
      <c r="M3" s="802"/>
      <c r="N3" s="1731" t="s">
        <v>142</v>
      </c>
      <c r="O3" s="1732"/>
      <c r="P3" s="1733"/>
      <c r="Q3" s="803" t="s">
        <v>139</v>
      </c>
      <c r="R3" s="804" t="s">
        <v>58</v>
      </c>
    </row>
    <row r="4" spans="1:19" ht="20.149999999999999" customHeight="1" thickTop="1" x14ac:dyDescent="0.35">
      <c r="A4" s="805">
        <f>A3+1</f>
        <v>2</v>
      </c>
      <c r="B4" s="806" t="s">
        <v>52</v>
      </c>
      <c r="C4" s="807" t="s">
        <v>51</v>
      </c>
      <c r="D4" s="808">
        <f>IF('Old MC Working'!M12="Above 250cc",10,IF(AND(MC!B13=1,MC!T13="Ijarah"),5,2.2))</f>
        <v>2.2000000000000002</v>
      </c>
      <c r="E4" s="809" t="s">
        <v>56</v>
      </c>
      <c r="F4" s="810">
        <v>2</v>
      </c>
      <c r="I4" s="811"/>
      <c r="J4" s="812" t="s">
        <v>170</v>
      </c>
      <c r="K4" s="813">
        <v>0.25</v>
      </c>
      <c r="L4" s="814" t="s">
        <v>72</v>
      </c>
      <c r="M4" s="815"/>
      <c r="N4" s="1740" t="s">
        <v>140</v>
      </c>
      <c r="O4" s="1741"/>
      <c r="P4" s="1741"/>
      <c r="Q4" s="816">
        <v>7.0000000000000007E-2</v>
      </c>
      <c r="R4" s="817">
        <v>2.5000000000000001E-2</v>
      </c>
    </row>
    <row r="5" spans="1:19" ht="20.149999999999999" customHeight="1" x14ac:dyDescent="0.35">
      <c r="A5" s="818">
        <f t="shared" ref="A5:A14" si="0">A4+1</f>
        <v>3</v>
      </c>
      <c r="B5" s="819" t="s">
        <v>155</v>
      </c>
      <c r="C5" s="820" t="s">
        <v>51</v>
      </c>
      <c r="D5" s="821">
        <v>2</v>
      </c>
      <c r="E5" s="822" t="s">
        <v>56</v>
      </c>
      <c r="F5" s="823">
        <v>20</v>
      </c>
      <c r="I5" s="824">
        <f>I3+1</f>
        <v>2</v>
      </c>
      <c r="J5" s="825" t="s">
        <v>172</v>
      </c>
      <c r="K5" s="826">
        <v>0.05</v>
      </c>
      <c r="L5" s="827" t="s">
        <v>72</v>
      </c>
      <c r="M5" s="828"/>
      <c r="N5" s="1727" t="s">
        <v>149</v>
      </c>
      <c r="O5" s="1728"/>
      <c r="P5" s="1728"/>
      <c r="Q5" s="829">
        <v>0.04</v>
      </c>
      <c r="R5" s="830">
        <v>1.2500000000000001E-2</v>
      </c>
    </row>
    <row r="6" spans="1:19" ht="20.149999999999999" customHeight="1" x14ac:dyDescent="0.35">
      <c r="A6" s="805">
        <f t="shared" si="0"/>
        <v>4</v>
      </c>
      <c r="B6" s="806" t="s">
        <v>160</v>
      </c>
      <c r="C6" s="807" t="s">
        <v>51</v>
      </c>
      <c r="D6" s="831">
        <v>2.25</v>
      </c>
      <c r="E6" s="809" t="s">
        <v>56</v>
      </c>
      <c r="F6" s="810">
        <v>5</v>
      </c>
      <c r="I6" s="824"/>
      <c r="J6" s="832" t="s">
        <v>170</v>
      </c>
      <c r="K6" s="826">
        <v>6.25E-2</v>
      </c>
      <c r="L6" s="827" t="s">
        <v>72</v>
      </c>
      <c r="M6" s="828"/>
      <c r="N6" s="1727" t="s">
        <v>148</v>
      </c>
      <c r="O6" s="1728"/>
      <c r="P6" s="1728"/>
      <c r="Q6" s="829">
        <v>3.7499999999999999E-2</v>
      </c>
      <c r="R6" s="830">
        <v>1.2500000000000001E-2</v>
      </c>
    </row>
    <row r="7" spans="1:19" ht="20.149999999999999" customHeight="1" thickBot="1" x14ac:dyDescent="0.4">
      <c r="A7" s="818">
        <f t="shared" si="0"/>
        <v>5</v>
      </c>
      <c r="B7" s="819" t="s">
        <v>161</v>
      </c>
      <c r="C7" s="820" t="s">
        <v>51</v>
      </c>
      <c r="D7" s="821">
        <v>2</v>
      </c>
      <c r="E7" s="822" t="s">
        <v>56</v>
      </c>
      <c r="F7" s="823">
        <v>5</v>
      </c>
      <c r="I7" s="811">
        <f>I5+1</f>
        <v>3</v>
      </c>
      <c r="J7" s="833" t="s">
        <v>59</v>
      </c>
      <c r="K7" s="813"/>
      <c r="L7" s="814"/>
      <c r="M7" s="815"/>
      <c r="N7" s="1729" t="s">
        <v>141</v>
      </c>
      <c r="O7" s="1730"/>
      <c r="P7" s="1730"/>
      <c r="Q7" s="834">
        <v>0.05</v>
      </c>
      <c r="R7" s="835">
        <v>1250</v>
      </c>
    </row>
    <row r="8" spans="1:19" ht="20.149999999999999" customHeight="1" thickTop="1" thickBot="1" x14ac:dyDescent="0.4">
      <c r="A8" s="805">
        <f t="shared" si="0"/>
        <v>6</v>
      </c>
      <c r="B8" s="806" t="s">
        <v>163</v>
      </c>
      <c r="C8" s="807" t="s">
        <v>51</v>
      </c>
      <c r="D8" s="831">
        <v>2.25</v>
      </c>
      <c r="E8" s="809" t="s">
        <v>56</v>
      </c>
      <c r="F8" s="810">
        <v>7</v>
      </c>
      <c r="I8" s="811"/>
      <c r="J8" s="814" t="s">
        <v>68</v>
      </c>
      <c r="K8" s="813">
        <v>50</v>
      </c>
      <c r="L8" s="814" t="s">
        <v>61</v>
      </c>
      <c r="M8" s="815"/>
      <c r="N8" s="1731" t="s">
        <v>40</v>
      </c>
      <c r="O8" s="1732"/>
      <c r="P8" s="1733"/>
      <c r="Q8" s="834">
        <v>0.15</v>
      </c>
      <c r="R8" s="835">
        <v>0.25</v>
      </c>
      <c r="S8" s="783" t="s">
        <v>145</v>
      </c>
    </row>
    <row r="9" spans="1:19" ht="20.149999999999999" customHeight="1" thickTop="1" thickBot="1" x14ac:dyDescent="0.4">
      <c r="A9" s="818">
        <f t="shared" si="0"/>
        <v>7</v>
      </c>
      <c r="B9" s="819" t="s">
        <v>162</v>
      </c>
      <c r="C9" s="820" t="s">
        <v>51</v>
      </c>
      <c r="D9" s="821">
        <v>2</v>
      </c>
      <c r="E9" s="822" t="s">
        <v>56</v>
      </c>
      <c r="F9" s="823">
        <v>7</v>
      </c>
      <c r="I9" s="811"/>
      <c r="J9" s="814" t="s">
        <v>67</v>
      </c>
      <c r="K9" s="813">
        <v>25</v>
      </c>
      <c r="L9" s="814" t="s">
        <v>61</v>
      </c>
      <c r="M9" s="815"/>
      <c r="N9" s="1734" t="s">
        <v>143</v>
      </c>
      <c r="O9" s="1734"/>
      <c r="P9" s="1734"/>
      <c r="Q9" s="834">
        <v>15</v>
      </c>
      <c r="R9" s="835">
        <v>3.7499999999999999E-2</v>
      </c>
      <c r="S9" s="783" t="s">
        <v>144</v>
      </c>
    </row>
    <row r="10" spans="1:19" ht="20.149999999999999" customHeight="1" thickTop="1" x14ac:dyDescent="0.35">
      <c r="A10" s="805">
        <f t="shared" si="0"/>
        <v>8</v>
      </c>
      <c r="B10" s="806" t="s">
        <v>317</v>
      </c>
      <c r="C10" s="807" t="s">
        <v>51</v>
      </c>
      <c r="D10" s="831">
        <f>'Old MC Working'!K8*100</f>
        <v>1.25</v>
      </c>
      <c r="E10" s="809" t="s">
        <v>56</v>
      </c>
      <c r="F10" s="810">
        <v>5</v>
      </c>
      <c r="I10" s="811"/>
      <c r="J10" s="814" t="s">
        <v>66</v>
      </c>
      <c r="K10" s="813">
        <v>25</v>
      </c>
      <c r="L10" s="814" t="s">
        <v>61</v>
      </c>
      <c r="M10" s="815"/>
    </row>
    <row r="11" spans="1:19" ht="20.149999999999999" customHeight="1" x14ac:dyDescent="0.35">
      <c r="A11" s="818">
        <f t="shared" si="0"/>
        <v>9</v>
      </c>
      <c r="B11" s="819" t="s">
        <v>154</v>
      </c>
      <c r="C11" s="820" t="s">
        <v>51</v>
      </c>
      <c r="D11" s="821">
        <v>1</v>
      </c>
      <c r="E11" s="822" t="s">
        <v>56</v>
      </c>
      <c r="F11" s="823">
        <v>60</v>
      </c>
      <c r="I11" s="824">
        <v>4</v>
      </c>
      <c r="J11" s="825" t="s">
        <v>63</v>
      </c>
      <c r="K11" s="826">
        <v>10</v>
      </c>
      <c r="L11" s="827" t="s">
        <v>69</v>
      </c>
      <c r="M11" s="828"/>
    </row>
    <row r="12" spans="1:19" ht="20.149999999999999" customHeight="1" x14ac:dyDescent="0.35">
      <c r="A12" s="805">
        <f t="shared" si="0"/>
        <v>10</v>
      </c>
      <c r="B12" s="806" t="s">
        <v>53</v>
      </c>
      <c r="C12" s="807" t="s">
        <v>51</v>
      </c>
      <c r="D12" s="831">
        <v>1.75</v>
      </c>
      <c r="E12" s="809" t="s">
        <v>56</v>
      </c>
      <c r="F12" s="810">
        <v>4</v>
      </c>
      <c r="I12" s="811">
        <f>I11+1</f>
        <v>5</v>
      </c>
      <c r="J12" s="836" t="s">
        <v>64</v>
      </c>
      <c r="K12" s="813">
        <v>10</v>
      </c>
      <c r="L12" s="814" t="s">
        <v>70</v>
      </c>
      <c r="M12" s="815"/>
    </row>
    <row r="13" spans="1:19" ht="20.149999999999999" customHeight="1" thickBot="1" x14ac:dyDescent="0.4">
      <c r="A13" s="818">
        <f t="shared" si="0"/>
        <v>11</v>
      </c>
      <c r="B13" s="837" t="s">
        <v>54</v>
      </c>
      <c r="C13" s="838" t="s">
        <v>51</v>
      </c>
      <c r="D13" s="839">
        <v>0.8</v>
      </c>
      <c r="E13" s="840" t="s">
        <v>56</v>
      </c>
      <c r="F13" s="841">
        <v>4</v>
      </c>
      <c r="I13" s="824">
        <f>I12+1</f>
        <v>6</v>
      </c>
      <c r="J13" s="825" t="s">
        <v>11</v>
      </c>
      <c r="K13" s="826">
        <v>15</v>
      </c>
      <c r="L13" s="827" t="s">
        <v>69</v>
      </c>
      <c r="M13" s="828"/>
    </row>
    <row r="14" spans="1:19" ht="20.149999999999999" customHeight="1" thickTop="1" thickBot="1" x14ac:dyDescent="0.4">
      <c r="A14" s="805">
        <f t="shared" si="0"/>
        <v>12</v>
      </c>
      <c r="B14" s="842" t="s">
        <v>164</v>
      </c>
      <c r="C14" s="807" t="s">
        <v>51</v>
      </c>
      <c r="D14" s="843">
        <v>0.8</v>
      </c>
      <c r="E14" s="844" t="s">
        <v>56</v>
      </c>
      <c r="F14" s="845">
        <v>4</v>
      </c>
      <c r="I14" s="811">
        <f>I13+1</f>
        <v>7</v>
      </c>
      <c r="J14" s="836" t="s">
        <v>46</v>
      </c>
      <c r="K14" s="813">
        <v>30</v>
      </c>
      <c r="L14" s="814" t="s">
        <v>69</v>
      </c>
      <c r="M14" s="846" t="s">
        <v>126</v>
      </c>
    </row>
    <row r="15" spans="1:19" ht="20.149999999999999" customHeight="1" thickTop="1" thickBot="1" x14ac:dyDescent="0.4">
      <c r="A15" s="818">
        <f>A14+1</f>
        <v>13</v>
      </c>
      <c r="B15" s="837" t="s">
        <v>167</v>
      </c>
      <c r="C15" s="838" t="s">
        <v>51</v>
      </c>
      <c r="D15" s="839">
        <v>2</v>
      </c>
      <c r="E15" s="840" t="s">
        <v>56</v>
      </c>
      <c r="F15" s="841">
        <v>50</v>
      </c>
      <c r="I15" s="824">
        <f>I14+1</f>
        <v>8</v>
      </c>
      <c r="J15" s="825" t="s">
        <v>65</v>
      </c>
      <c r="K15" s="826">
        <v>33.33</v>
      </c>
      <c r="L15" s="827" t="s">
        <v>69</v>
      </c>
      <c r="M15" s="846" t="s">
        <v>126</v>
      </c>
    </row>
    <row r="16" spans="1:19" ht="20.149999999999999" customHeight="1" thickTop="1" x14ac:dyDescent="0.35">
      <c r="A16" s="805">
        <f>A15+1</f>
        <v>14</v>
      </c>
      <c r="B16" s="806" t="s">
        <v>318</v>
      </c>
      <c r="C16" s="807" t="s">
        <v>51</v>
      </c>
      <c r="D16" s="847">
        <v>2.25</v>
      </c>
      <c r="E16" s="848" t="s">
        <v>56</v>
      </c>
      <c r="F16" s="845">
        <v>4</v>
      </c>
      <c r="I16" s="811">
        <f>I15+1</f>
        <v>9</v>
      </c>
      <c r="J16" s="833" t="s">
        <v>36</v>
      </c>
      <c r="K16" s="814"/>
      <c r="L16" s="814"/>
      <c r="M16" s="815"/>
    </row>
    <row r="17" spans="1:15" ht="20.149999999999999" customHeight="1" thickBot="1" x14ac:dyDescent="0.4">
      <c r="A17" s="849">
        <v>15</v>
      </c>
      <c r="B17" s="850" t="s">
        <v>165</v>
      </c>
      <c r="C17" s="851" t="s">
        <v>51</v>
      </c>
      <c r="D17" s="852"/>
      <c r="E17" s="853" t="s">
        <v>56</v>
      </c>
      <c r="F17" s="854">
        <v>5</v>
      </c>
      <c r="I17" s="811"/>
      <c r="J17" s="812" t="s">
        <v>71</v>
      </c>
      <c r="K17" s="855">
        <v>100</v>
      </c>
      <c r="L17" s="856" t="s">
        <v>81</v>
      </c>
      <c r="M17" s="857">
        <f>IF('Old MC Working'!H8='Administration (2)'!C12,700,350)</f>
        <v>350</v>
      </c>
    </row>
    <row r="18" spans="1:15" ht="20.149999999999999" customHeight="1" thickTop="1" thickBot="1" x14ac:dyDescent="0.4">
      <c r="A18" s="858">
        <v>1</v>
      </c>
      <c r="B18" s="859"/>
      <c r="C18" s="859"/>
      <c r="D18" s="859"/>
      <c r="E18" s="859"/>
      <c r="F18" s="859"/>
      <c r="I18" s="811"/>
      <c r="J18" s="812" t="s">
        <v>521</v>
      </c>
      <c r="K18" s="855">
        <v>250</v>
      </c>
      <c r="L18" s="860" t="s">
        <v>82</v>
      </c>
      <c r="M18" s="857">
        <f>IF('Old MC Working'!H8='Administration (2)'!C12,100,650)</f>
        <v>650</v>
      </c>
      <c r="N18" s="861"/>
    </row>
    <row r="19" spans="1:15" ht="20.149999999999999" customHeight="1" thickTop="1" thickBot="1" x14ac:dyDescent="0.4">
      <c r="A19" s="862"/>
      <c r="B19" s="863" t="s">
        <v>79</v>
      </c>
      <c r="C19" s="864" t="s">
        <v>51</v>
      </c>
      <c r="D19" s="865">
        <v>2.5</v>
      </c>
      <c r="E19" s="866" t="s">
        <v>56</v>
      </c>
      <c r="F19" s="859"/>
      <c r="I19" s="824">
        <v>10</v>
      </c>
      <c r="J19" s="825" t="s">
        <v>127</v>
      </c>
      <c r="K19" s="826">
        <v>15</v>
      </c>
      <c r="L19" s="827" t="s">
        <v>69</v>
      </c>
      <c r="M19" s="1735" t="s">
        <v>128</v>
      </c>
      <c r="N19" s="1736"/>
      <c r="O19" s="846" t="s">
        <v>114</v>
      </c>
    </row>
    <row r="20" spans="1:15" ht="20.149999999999999" customHeight="1" thickTop="1" thickBot="1" x14ac:dyDescent="0.4">
      <c r="A20" s="867"/>
      <c r="B20" s="868" t="s">
        <v>173</v>
      </c>
      <c r="C20" s="869" t="s">
        <v>51</v>
      </c>
      <c r="D20" s="870">
        <v>0</v>
      </c>
      <c r="E20" s="871" t="s">
        <v>56</v>
      </c>
      <c r="F20" s="872" t="s">
        <v>114</v>
      </c>
      <c r="G20" s="873">
        <f>IF(F20="Yes",D20,0)</f>
        <v>0</v>
      </c>
      <c r="H20" s="873"/>
      <c r="I20" s="824"/>
      <c r="J20" s="825"/>
      <c r="K20" s="826"/>
      <c r="L20" s="827"/>
      <c r="M20" s="874"/>
      <c r="N20" s="875"/>
    </row>
    <row r="21" spans="1:15" ht="20.149999999999999" customHeight="1" thickTop="1" thickBot="1" x14ac:dyDescent="0.4">
      <c r="A21" s="876"/>
      <c r="B21" s="877" t="s">
        <v>80</v>
      </c>
      <c r="C21" s="878" t="s">
        <v>51</v>
      </c>
      <c r="D21" s="879">
        <v>8</v>
      </c>
      <c r="E21" s="880" t="s">
        <v>56</v>
      </c>
      <c r="F21" s="859"/>
      <c r="I21" s="811">
        <f>I19+1</f>
        <v>11</v>
      </c>
      <c r="J21" s="836" t="s">
        <v>73</v>
      </c>
      <c r="K21" s="813">
        <v>10</v>
      </c>
      <c r="L21" s="814" t="s">
        <v>75</v>
      </c>
      <c r="M21" s="846" t="s">
        <v>126</v>
      </c>
    </row>
    <row r="22" spans="1:15" ht="30.75" customHeight="1" thickTop="1" thickBot="1" x14ac:dyDescent="0.35">
      <c r="I22" s="824">
        <f>I21+1</f>
        <v>12</v>
      </c>
      <c r="J22" s="881" t="s">
        <v>74</v>
      </c>
      <c r="K22" s="827"/>
      <c r="L22" s="827"/>
      <c r="M22" s="828"/>
    </row>
    <row r="23" spans="1:15" ht="20.149999999999999" customHeight="1" thickTop="1" thickBot="1" x14ac:dyDescent="0.4">
      <c r="A23" s="858">
        <v>2</v>
      </c>
      <c r="B23" s="882" t="s">
        <v>120</v>
      </c>
      <c r="I23" s="824"/>
      <c r="J23" s="827" t="s">
        <v>62</v>
      </c>
      <c r="K23" s="826">
        <v>150</v>
      </c>
      <c r="L23" s="883" t="s">
        <v>77</v>
      </c>
      <c r="M23" s="828"/>
    </row>
    <row r="24" spans="1:15" ht="20.149999999999999" customHeight="1" thickTop="1" thickBot="1" x14ac:dyDescent="0.4">
      <c r="A24" s="884"/>
      <c r="B24" s="885">
        <v>28000000</v>
      </c>
      <c r="I24" s="824"/>
      <c r="J24" s="886" t="s">
        <v>124</v>
      </c>
      <c r="K24" s="887">
        <v>600</v>
      </c>
      <c r="L24" s="888" t="s">
        <v>77</v>
      </c>
      <c r="M24" s="828"/>
    </row>
    <row r="25" spans="1:15" ht="20.149999999999999" customHeight="1" thickBot="1" x14ac:dyDescent="0.4">
      <c r="B25" s="885">
        <v>1000000</v>
      </c>
      <c r="C25" s="889" t="s">
        <v>138</v>
      </c>
      <c r="I25" s="824"/>
      <c r="J25" s="827" t="s">
        <v>76</v>
      </c>
      <c r="K25" s="826">
        <v>150</v>
      </c>
      <c r="L25" s="883" t="s">
        <v>77</v>
      </c>
      <c r="M25" s="828"/>
    </row>
    <row r="26" spans="1:15" ht="20.149999999999999" customHeight="1" thickTop="1" thickBot="1" x14ac:dyDescent="0.4">
      <c r="A26" s="858">
        <v>3</v>
      </c>
      <c r="B26" s="882" t="s">
        <v>113</v>
      </c>
      <c r="F26" s="882" t="s">
        <v>396</v>
      </c>
      <c r="I26" s="811">
        <v>13</v>
      </c>
      <c r="J26" s="833" t="s">
        <v>83</v>
      </c>
      <c r="K26" s="814"/>
      <c r="L26" s="814"/>
      <c r="M26" s="857"/>
    </row>
    <row r="27" spans="1:15" ht="20.149999999999999" customHeight="1" thickTop="1" thickBot="1" x14ac:dyDescent="0.4">
      <c r="A27" s="884"/>
      <c r="B27" s="885">
        <v>28000000</v>
      </c>
      <c r="F27" s="1714">
        <v>10</v>
      </c>
      <c r="G27" s="1715"/>
      <c r="I27" s="890"/>
      <c r="J27" s="891" t="s">
        <v>554</v>
      </c>
      <c r="K27" s="855">
        <v>6</v>
      </c>
      <c r="L27" s="892" t="s">
        <v>555</v>
      </c>
      <c r="M27" s="857">
        <v>12</v>
      </c>
    </row>
    <row r="28" spans="1:15" ht="20.149999999999999" customHeight="1" thickTop="1" thickBot="1" x14ac:dyDescent="0.4">
      <c r="A28" s="858">
        <v>4</v>
      </c>
      <c r="B28" s="882" t="s">
        <v>115</v>
      </c>
      <c r="C28" s="1724" t="s">
        <v>78</v>
      </c>
      <c r="D28" s="1725"/>
      <c r="I28" s="890"/>
      <c r="J28" s="891" t="s">
        <v>556</v>
      </c>
      <c r="K28" s="855">
        <v>20</v>
      </c>
      <c r="L28" s="892" t="s">
        <v>557</v>
      </c>
      <c r="M28" s="857">
        <v>30</v>
      </c>
    </row>
    <row r="29" spans="1:15" ht="20.149999999999999" customHeight="1" thickTop="1" thickBot="1" x14ac:dyDescent="0.4">
      <c r="A29" s="858">
        <v>5</v>
      </c>
      <c r="B29" s="893" t="s">
        <v>116</v>
      </c>
      <c r="C29" s="1714">
        <v>75</v>
      </c>
      <c r="D29" s="1715"/>
      <c r="E29" s="1716">
        <f>IF(OR('Old MC Working'!H8='Administration (2)'!C7,'Old MC Working'!H8='Administration (2)'!C8),G29,0)</f>
        <v>0</v>
      </c>
      <c r="F29" s="1717"/>
      <c r="G29" s="1718">
        <v>1200000</v>
      </c>
      <c r="H29" s="1719"/>
      <c r="I29" s="890"/>
      <c r="J29" s="891" t="s">
        <v>558</v>
      </c>
      <c r="K29" s="855">
        <v>55</v>
      </c>
      <c r="L29" s="892" t="s">
        <v>559</v>
      </c>
      <c r="M29" s="857">
        <v>105</v>
      </c>
    </row>
    <row r="30" spans="1:15" ht="20.149999999999999" customHeight="1" thickTop="1" thickBot="1" x14ac:dyDescent="0.4">
      <c r="A30" s="858">
        <v>6</v>
      </c>
      <c r="B30" s="882" t="s">
        <v>117</v>
      </c>
      <c r="I30" s="890"/>
      <c r="J30" s="891" t="s">
        <v>560</v>
      </c>
      <c r="K30" s="855">
        <v>290</v>
      </c>
      <c r="L30" s="891"/>
      <c r="M30" s="857"/>
    </row>
    <row r="31" spans="1:15" ht="20.149999999999999" customHeight="1" thickTop="1" thickBot="1" x14ac:dyDescent="0.4">
      <c r="A31" s="884"/>
      <c r="B31" s="885">
        <v>1000000</v>
      </c>
      <c r="I31" s="824">
        <v>14</v>
      </c>
      <c r="J31" s="825" t="s">
        <v>91</v>
      </c>
      <c r="K31" s="826">
        <v>2000</v>
      </c>
      <c r="L31" s="883" t="s">
        <v>77</v>
      </c>
      <c r="M31" s="828"/>
    </row>
    <row r="32" spans="1:15" ht="20.149999999999999" customHeight="1" thickTop="1" thickBot="1" x14ac:dyDescent="0.4">
      <c r="A32" s="858">
        <v>7</v>
      </c>
      <c r="B32" s="882" t="s">
        <v>129</v>
      </c>
      <c r="I32" s="811">
        <v>15</v>
      </c>
      <c r="J32" s="836" t="s">
        <v>92</v>
      </c>
      <c r="K32" s="813">
        <v>10</v>
      </c>
      <c r="L32" s="814" t="s">
        <v>93</v>
      </c>
      <c r="M32" s="815"/>
    </row>
    <row r="33" spans="1:13" ht="20.149999999999999" customHeight="1" thickTop="1" thickBot="1" x14ac:dyDescent="0.4">
      <c r="B33" s="885">
        <v>5000</v>
      </c>
      <c r="I33" s="824">
        <v>16</v>
      </c>
      <c r="J33" s="881" t="s">
        <v>8</v>
      </c>
      <c r="K33" s="827"/>
      <c r="L33" s="827"/>
      <c r="M33" s="828"/>
    </row>
    <row r="34" spans="1:13" ht="20.149999999999999" customHeight="1" thickBot="1" x14ac:dyDescent="0.35">
      <c r="I34" s="894"/>
      <c r="J34" s="827" t="s">
        <v>95</v>
      </c>
      <c r="K34" s="826">
        <v>150</v>
      </c>
      <c r="L34" s="883" t="s">
        <v>77</v>
      </c>
      <c r="M34" s="828"/>
    </row>
    <row r="35" spans="1:13" ht="20.149999999999999" customHeight="1" thickTop="1" thickBot="1" x14ac:dyDescent="0.4">
      <c r="A35" s="858">
        <v>8</v>
      </c>
      <c r="B35" s="895" t="s">
        <v>137</v>
      </c>
      <c r="I35" s="894"/>
      <c r="J35" s="827" t="s">
        <v>60</v>
      </c>
      <c r="K35" s="826">
        <v>200</v>
      </c>
      <c r="L35" s="883" t="s">
        <v>77</v>
      </c>
      <c r="M35" s="828"/>
    </row>
    <row r="36" spans="1:13" ht="20.149999999999999" customHeight="1" thickTop="1" thickBot="1" x14ac:dyDescent="0.4">
      <c r="A36" s="884"/>
      <c r="B36" s="885">
        <v>1000</v>
      </c>
      <c r="I36" s="894"/>
      <c r="J36" s="827" t="s">
        <v>94</v>
      </c>
      <c r="K36" s="826">
        <v>200</v>
      </c>
      <c r="L36" s="883" t="s">
        <v>77</v>
      </c>
      <c r="M36" s="828"/>
    </row>
    <row r="37" spans="1:13" ht="20.149999999999999" customHeight="1" thickTop="1" thickBot="1" x14ac:dyDescent="0.4">
      <c r="A37" s="858">
        <v>9</v>
      </c>
      <c r="B37" s="896" t="s">
        <v>135</v>
      </c>
      <c r="I37" s="811">
        <v>17</v>
      </c>
      <c r="J37" s="833" t="s">
        <v>2</v>
      </c>
      <c r="K37" s="813"/>
      <c r="L37" s="814"/>
      <c r="M37" s="815"/>
    </row>
    <row r="38" spans="1:13" ht="20.149999999999999" customHeight="1" thickTop="1" thickBot="1" x14ac:dyDescent="0.35">
      <c r="B38" s="897" t="s">
        <v>136</v>
      </c>
      <c r="C38" s="1720">
        <v>0</v>
      </c>
      <c r="D38" s="1721"/>
      <c r="E38" s="1722"/>
      <c r="I38" s="898" t="s">
        <v>96</v>
      </c>
      <c r="J38" s="813">
        <v>1000</v>
      </c>
      <c r="K38" s="899">
        <v>10</v>
      </c>
      <c r="L38" s="900"/>
      <c r="M38" s="815"/>
    </row>
    <row r="39" spans="1:13" ht="20.149999999999999" customHeight="1" thickTop="1" thickBot="1" x14ac:dyDescent="0.4">
      <c r="A39" s="858">
        <v>10</v>
      </c>
      <c r="B39" s="901" t="s">
        <v>119</v>
      </c>
      <c r="D39" s="902" t="s">
        <v>78</v>
      </c>
      <c r="I39" s="898" t="s">
        <v>96</v>
      </c>
      <c r="J39" s="813">
        <v>2500</v>
      </c>
      <c r="K39" s="899">
        <v>15</v>
      </c>
      <c r="L39" s="900"/>
      <c r="M39" s="815"/>
    </row>
    <row r="40" spans="1:13" ht="17.149999999999999" customHeight="1" thickTop="1" thickBot="1" x14ac:dyDescent="0.4">
      <c r="A40" s="884"/>
      <c r="B40" s="903" t="s">
        <v>118</v>
      </c>
      <c r="C40" s="1720">
        <v>50000</v>
      </c>
      <c r="D40" s="1721"/>
      <c r="E40" s="1722"/>
      <c r="I40" s="898" t="s">
        <v>96</v>
      </c>
      <c r="J40" s="813">
        <v>5000</v>
      </c>
      <c r="K40" s="899">
        <v>20</v>
      </c>
      <c r="L40" s="900"/>
      <c r="M40" s="815"/>
    </row>
    <row r="41" spans="1:13" ht="17.149999999999999" customHeight="1" thickTop="1" thickBot="1" x14ac:dyDescent="0.35">
      <c r="B41" s="903" t="s">
        <v>130</v>
      </c>
      <c r="D41" s="902" t="s">
        <v>114</v>
      </c>
      <c r="I41" s="824">
        <v>18</v>
      </c>
      <c r="J41" s="881" t="s">
        <v>97</v>
      </c>
      <c r="K41" s="827"/>
      <c r="L41" s="827"/>
      <c r="M41" s="828"/>
    </row>
    <row r="42" spans="1:13" ht="17.149999999999999" customHeight="1" thickTop="1" thickBot="1" x14ac:dyDescent="0.35">
      <c r="B42" s="903" t="s">
        <v>159</v>
      </c>
      <c r="D42" s="902">
        <v>10</v>
      </c>
      <c r="I42" s="894"/>
      <c r="J42" s="904" t="s">
        <v>98</v>
      </c>
      <c r="K42" s="826">
        <v>4.5</v>
      </c>
      <c r="L42" s="827" t="s">
        <v>69</v>
      </c>
      <c r="M42" s="828"/>
    </row>
    <row r="43" spans="1:13" ht="17.149999999999999" customHeight="1" thickTop="1" thickBot="1" x14ac:dyDescent="0.4">
      <c r="A43" s="858">
        <v>11</v>
      </c>
      <c r="B43" s="1723" t="s">
        <v>131</v>
      </c>
      <c r="D43" s="902" t="s">
        <v>114</v>
      </c>
      <c r="I43" s="894"/>
      <c r="J43" s="904" t="s">
        <v>99</v>
      </c>
      <c r="K43" s="826">
        <v>5.25</v>
      </c>
      <c r="L43" s="827" t="s">
        <v>69</v>
      </c>
      <c r="M43" s="828"/>
    </row>
    <row r="44" spans="1:13" ht="17.149999999999999" customHeight="1" thickTop="1" thickBot="1" x14ac:dyDescent="0.35">
      <c r="B44" s="1723"/>
      <c r="I44" s="894"/>
      <c r="J44" s="904" t="s">
        <v>100</v>
      </c>
      <c r="K44" s="826">
        <v>6</v>
      </c>
      <c r="L44" s="827" t="s">
        <v>69</v>
      </c>
      <c r="M44" s="828"/>
    </row>
    <row r="45" spans="1:13" ht="17.149999999999999" customHeight="1" thickTop="1" thickBot="1" x14ac:dyDescent="0.4">
      <c r="A45" s="858">
        <v>12</v>
      </c>
      <c r="B45" s="903" t="s">
        <v>295</v>
      </c>
      <c r="D45" s="902" t="s">
        <v>114</v>
      </c>
      <c r="I45" s="894"/>
      <c r="J45" s="904" t="s">
        <v>101</v>
      </c>
      <c r="K45" s="826">
        <v>6.25</v>
      </c>
      <c r="L45" s="827" t="s">
        <v>69</v>
      </c>
      <c r="M45" s="828"/>
    </row>
    <row r="46" spans="1:13" ht="17.149999999999999" customHeight="1" thickTop="1" thickBot="1" x14ac:dyDescent="0.35">
      <c r="I46" s="894"/>
      <c r="J46" s="904" t="s">
        <v>102</v>
      </c>
      <c r="K46" s="826">
        <v>6.5</v>
      </c>
      <c r="L46" s="827" t="s">
        <v>69</v>
      </c>
      <c r="M46" s="828"/>
    </row>
    <row r="47" spans="1:13" ht="17.149999999999999" customHeight="1" thickTop="1" thickBot="1" x14ac:dyDescent="0.4">
      <c r="A47" s="858">
        <v>13</v>
      </c>
      <c r="B47" s="1726" t="s">
        <v>402</v>
      </c>
      <c r="D47" s="902" t="s">
        <v>114</v>
      </c>
      <c r="I47" s="894"/>
      <c r="J47" s="904" t="s">
        <v>103</v>
      </c>
      <c r="K47" s="826">
        <v>6.75</v>
      </c>
      <c r="L47" s="827" t="s">
        <v>69</v>
      </c>
      <c r="M47" s="828"/>
    </row>
    <row r="48" spans="1:13" ht="17.149999999999999" customHeight="1" thickTop="1" x14ac:dyDescent="0.3">
      <c r="B48" s="1726"/>
      <c r="I48" s="894"/>
      <c r="J48" s="904" t="s">
        <v>104</v>
      </c>
      <c r="K48" s="826">
        <v>7</v>
      </c>
      <c r="L48" s="827" t="s">
        <v>69</v>
      </c>
      <c r="M48" s="828"/>
    </row>
    <row r="49" spans="1:13" ht="17.149999999999999" customHeight="1" thickBot="1" x14ac:dyDescent="0.35">
      <c r="I49" s="894"/>
      <c r="J49" s="904" t="s">
        <v>105</v>
      </c>
      <c r="K49" s="826">
        <v>7</v>
      </c>
      <c r="L49" s="827" t="s">
        <v>69</v>
      </c>
      <c r="M49" s="828"/>
    </row>
    <row r="50" spans="1:13" ht="20.149999999999999" customHeight="1" thickTop="1" thickBot="1" x14ac:dyDescent="0.4">
      <c r="A50" s="858">
        <v>14</v>
      </c>
      <c r="B50" s="903" t="s">
        <v>264</v>
      </c>
      <c r="D50" s="902" t="s">
        <v>114</v>
      </c>
      <c r="I50" s="894"/>
      <c r="J50" s="904" t="s">
        <v>106</v>
      </c>
      <c r="K50" s="826">
        <v>7</v>
      </c>
      <c r="L50" s="827" t="s">
        <v>69</v>
      </c>
      <c r="M50" s="828"/>
    </row>
    <row r="51" spans="1:13" ht="17.149999999999999" customHeight="1" thickTop="1" thickBot="1" x14ac:dyDescent="0.35">
      <c r="I51" s="894"/>
      <c r="J51" s="904" t="s">
        <v>107</v>
      </c>
      <c r="K51" s="826">
        <v>7</v>
      </c>
      <c r="L51" s="827" t="s">
        <v>69</v>
      </c>
      <c r="M51" s="828"/>
    </row>
    <row r="52" spans="1:13" ht="17.149999999999999" customHeight="1" thickTop="1" thickBot="1" x14ac:dyDescent="0.4">
      <c r="A52" s="858">
        <v>15</v>
      </c>
      <c r="B52" s="905" t="str">
        <f>CONCATENATE("Allow Vehicle Above ",'Administration (2)'!F29," Years")</f>
        <v>Allow Vehicle Above 19 Years</v>
      </c>
      <c r="D52" s="902" t="s">
        <v>78</v>
      </c>
      <c r="I52" s="811">
        <v>19</v>
      </c>
      <c r="J52" s="833" t="s">
        <v>40</v>
      </c>
      <c r="K52" s="814"/>
      <c r="L52" s="814"/>
      <c r="M52" s="815"/>
    </row>
    <row r="53" spans="1:13" ht="17.149999999999999" customHeight="1" thickTop="1" thickBot="1" x14ac:dyDescent="0.35">
      <c r="I53" s="890"/>
      <c r="J53" s="814" t="s">
        <v>4</v>
      </c>
      <c r="K53" s="906">
        <v>0.7</v>
      </c>
      <c r="L53" s="814" t="s">
        <v>122</v>
      </c>
      <c r="M53" s="815"/>
    </row>
    <row r="54" spans="1:13" ht="17.149999999999999" customHeight="1" thickTop="1" thickBot="1" x14ac:dyDescent="0.4">
      <c r="A54" s="858">
        <v>16</v>
      </c>
      <c r="B54" s="905" t="s">
        <v>294</v>
      </c>
      <c r="I54" s="890"/>
      <c r="J54" s="907" t="s">
        <v>5</v>
      </c>
      <c r="K54" s="908">
        <v>1.5</v>
      </c>
      <c r="L54" s="907" t="s">
        <v>122</v>
      </c>
      <c r="M54" s="815"/>
    </row>
    <row r="55" spans="1:13" ht="20.149999999999999" customHeight="1" thickTop="1" thickBot="1" x14ac:dyDescent="0.35">
      <c r="B55" s="1720">
        <v>15000</v>
      </c>
      <c r="C55" s="1721"/>
      <c r="D55" s="1722"/>
      <c r="I55" s="890"/>
      <c r="J55" s="907" t="s">
        <v>39</v>
      </c>
      <c r="K55" s="908">
        <v>3.5</v>
      </c>
      <c r="L55" s="907" t="s">
        <v>122</v>
      </c>
      <c r="M55" s="815"/>
    </row>
    <row r="56" spans="1:13" ht="20.149999999999999" customHeight="1" thickTop="1" thickBot="1" x14ac:dyDescent="0.35">
      <c r="I56" s="890"/>
      <c r="J56" s="907" t="s">
        <v>121</v>
      </c>
      <c r="K56" s="908">
        <v>1.5</v>
      </c>
      <c r="L56" s="907" t="s">
        <v>122</v>
      </c>
      <c r="M56" s="815"/>
    </row>
    <row r="57" spans="1:13" ht="20.149999999999999" customHeight="1" thickTop="1" thickBot="1" x14ac:dyDescent="0.45">
      <c r="A57" s="858">
        <v>17</v>
      </c>
      <c r="B57" s="909" t="s">
        <v>363</v>
      </c>
      <c r="I57" s="824">
        <v>20</v>
      </c>
      <c r="J57" s="881" t="s">
        <v>123</v>
      </c>
      <c r="K57" s="826">
        <v>33.33</v>
      </c>
      <c r="L57" s="827" t="s">
        <v>69</v>
      </c>
      <c r="M57" s="828"/>
    </row>
    <row r="58" spans="1:13" ht="20.149999999999999" customHeight="1" thickTop="1" thickBot="1" x14ac:dyDescent="0.35">
      <c r="B58" s="910" t="s">
        <v>367</v>
      </c>
      <c r="D58" s="902" t="s">
        <v>78</v>
      </c>
      <c r="I58" s="811">
        <v>21</v>
      </c>
      <c r="J58" s="833" t="s">
        <v>229</v>
      </c>
      <c r="K58" s="814"/>
      <c r="L58" s="814"/>
      <c r="M58" s="815"/>
    </row>
    <row r="59" spans="1:13" ht="20.149999999999999" customHeight="1" thickTop="1" thickBot="1" x14ac:dyDescent="0.35">
      <c r="B59" s="910" t="s">
        <v>364</v>
      </c>
      <c r="D59" s="779">
        <v>15</v>
      </c>
      <c r="E59" s="783" t="s">
        <v>368</v>
      </c>
      <c r="I59" s="890"/>
      <c r="J59" s="814" t="s">
        <v>230</v>
      </c>
      <c r="K59" s="906">
        <v>0</v>
      </c>
      <c r="L59" s="911" t="s">
        <v>77</v>
      </c>
      <c r="M59" s="815"/>
    </row>
    <row r="60" spans="1:13" ht="20.149999999999999" customHeight="1" thickBot="1" x14ac:dyDescent="0.35">
      <c r="B60" s="910" t="s">
        <v>365</v>
      </c>
      <c r="D60" s="779">
        <v>15</v>
      </c>
      <c r="E60" s="783" t="s">
        <v>368</v>
      </c>
      <c r="I60" s="890"/>
      <c r="J60" s="814" t="s">
        <v>231</v>
      </c>
      <c r="K60" s="908">
        <v>0</v>
      </c>
      <c r="L60" s="911" t="s">
        <v>77</v>
      </c>
      <c r="M60" s="815"/>
    </row>
    <row r="61" spans="1:13" ht="20.149999999999999" customHeight="1" thickTop="1" thickBot="1" x14ac:dyDescent="0.35">
      <c r="A61" s="912"/>
      <c r="B61" s="913" t="s">
        <v>369</v>
      </c>
      <c r="D61" s="902" t="s">
        <v>78</v>
      </c>
      <c r="I61" s="890"/>
      <c r="J61" s="907" t="s">
        <v>41</v>
      </c>
      <c r="K61" s="908">
        <v>0</v>
      </c>
      <c r="L61" s="911" t="s">
        <v>77</v>
      </c>
      <c r="M61" s="815"/>
    </row>
    <row r="62" spans="1:13" ht="20.149999999999999" customHeight="1" thickTop="1" thickBot="1" x14ac:dyDescent="0.35">
      <c r="I62" s="890"/>
      <c r="J62" s="907" t="s">
        <v>42</v>
      </c>
      <c r="K62" s="908">
        <v>6000</v>
      </c>
      <c r="L62" s="911" t="s">
        <v>77</v>
      </c>
      <c r="M62" s="815"/>
    </row>
    <row r="63" spans="1:13" ht="20.149999999999999" customHeight="1" thickTop="1" thickBot="1" x14ac:dyDescent="0.4">
      <c r="A63" s="858">
        <v>18</v>
      </c>
      <c r="B63" s="914" t="s">
        <v>366</v>
      </c>
      <c r="D63" s="902" t="s">
        <v>78</v>
      </c>
      <c r="I63" s="890"/>
      <c r="J63" s="907" t="s">
        <v>225</v>
      </c>
      <c r="K63" s="908">
        <v>0</v>
      </c>
      <c r="L63" s="911" t="s">
        <v>77</v>
      </c>
      <c r="M63" s="815"/>
    </row>
    <row r="64" spans="1:13" ht="20.149999999999999" customHeight="1" thickTop="1" thickBot="1" x14ac:dyDescent="0.35">
      <c r="B64" s="910" t="s">
        <v>367</v>
      </c>
      <c r="D64" s="902" t="s">
        <v>78</v>
      </c>
      <c r="I64" s="890"/>
      <c r="J64" s="907" t="s">
        <v>232</v>
      </c>
      <c r="K64" s="908">
        <v>2500</v>
      </c>
      <c r="L64" s="911" t="s">
        <v>77</v>
      </c>
      <c r="M64" s="815"/>
    </row>
    <row r="65" spans="1:13" ht="20.149999999999999" customHeight="1" thickTop="1" thickBot="1" x14ac:dyDescent="0.35">
      <c r="I65" s="890"/>
      <c r="J65" s="907" t="s">
        <v>228</v>
      </c>
      <c r="K65" s="908">
        <v>2000</v>
      </c>
      <c r="L65" s="911" t="s">
        <v>77</v>
      </c>
      <c r="M65" s="815"/>
    </row>
    <row r="66" spans="1:13" ht="20.149999999999999" customHeight="1" thickTop="1" thickBot="1" x14ac:dyDescent="0.45">
      <c r="A66" s="858">
        <v>19</v>
      </c>
      <c r="B66" s="909" t="s">
        <v>370</v>
      </c>
      <c r="I66" s="890"/>
      <c r="J66" s="907" t="s">
        <v>233</v>
      </c>
      <c r="K66" s="908">
        <v>5000</v>
      </c>
      <c r="L66" s="911" t="s">
        <v>77</v>
      </c>
      <c r="M66" s="815"/>
    </row>
    <row r="67" spans="1:13" ht="20.149999999999999" customHeight="1" thickTop="1" thickBot="1" x14ac:dyDescent="0.35">
      <c r="B67" s="915" t="s">
        <v>371</v>
      </c>
      <c r="D67" s="902" t="s">
        <v>78</v>
      </c>
      <c r="I67" s="890"/>
      <c r="J67" s="907" t="s">
        <v>220</v>
      </c>
      <c r="K67" s="908">
        <v>2500</v>
      </c>
      <c r="L67" s="911" t="s">
        <v>77</v>
      </c>
      <c r="M67" s="815"/>
    </row>
    <row r="68" spans="1:13" ht="20.149999999999999" customHeight="1" thickTop="1" x14ac:dyDescent="0.3">
      <c r="A68" s="1708" t="s">
        <v>435</v>
      </c>
      <c r="B68" s="1709"/>
      <c r="C68" s="1709"/>
      <c r="D68" s="1709"/>
      <c r="E68" s="1709"/>
      <c r="F68" s="1709"/>
      <c r="G68" s="1710"/>
      <c r="I68" s="890"/>
      <c r="J68" s="907" t="s">
        <v>270</v>
      </c>
      <c r="K68" s="908">
        <v>10</v>
      </c>
      <c r="L68" s="916">
        <v>5000</v>
      </c>
      <c r="M68" s="917" t="s">
        <v>283</v>
      </c>
    </row>
    <row r="69" spans="1:13" ht="20.149999999999999" customHeight="1" x14ac:dyDescent="0.3">
      <c r="A69" s="1711"/>
      <c r="B69" s="1712"/>
      <c r="C69" s="1712"/>
      <c r="D69" s="1712"/>
      <c r="E69" s="1712"/>
      <c r="F69" s="1712"/>
      <c r="G69" s="1713"/>
      <c r="I69" s="890"/>
      <c r="J69" s="907" t="s">
        <v>210</v>
      </c>
      <c r="K69" s="908">
        <v>0</v>
      </c>
      <c r="L69" s="911" t="s">
        <v>77</v>
      </c>
      <c r="M69" s="815"/>
    </row>
    <row r="70" spans="1:13" ht="20.149999999999999" customHeight="1" thickBot="1" x14ac:dyDescent="0.35">
      <c r="I70" s="890"/>
      <c r="J70" s="907" t="s">
        <v>271</v>
      </c>
      <c r="K70" s="908">
        <v>0</v>
      </c>
      <c r="L70" s="911" t="s">
        <v>77</v>
      </c>
      <c r="M70" s="815"/>
    </row>
    <row r="71" spans="1:13" ht="20.149999999999999" customHeight="1" thickTop="1" thickBot="1" x14ac:dyDescent="0.35">
      <c r="B71" s="915" t="s">
        <v>372</v>
      </c>
      <c r="D71" s="902" t="s">
        <v>114</v>
      </c>
      <c r="I71" s="890"/>
      <c r="J71" s="907" t="s">
        <v>209</v>
      </c>
      <c r="K71" s="908">
        <v>0</v>
      </c>
      <c r="L71" s="911" t="s">
        <v>77</v>
      </c>
      <c r="M71" s="815"/>
    </row>
    <row r="72" spans="1:13" ht="20.149999999999999" customHeight="1" thickTop="1" x14ac:dyDescent="0.3">
      <c r="A72" s="1708"/>
      <c r="B72" s="1709"/>
      <c r="C72" s="1709"/>
      <c r="D72" s="1709"/>
      <c r="E72" s="1709"/>
      <c r="F72" s="1709"/>
      <c r="G72" s="1710"/>
      <c r="I72" s="890"/>
      <c r="J72" s="907" t="s">
        <v>275</v>
      </c>
      <c r="K72" s="908">
        <v>0</v>
      </c>
      <c r="L72" s="911" t="s">
        <v>77</v>
      </c>
      <c r="M72" s="815"/>
    </row>
    <row r="73" spans="1:13" ht="20.149999999999999" customHeight="1" x14ac:dyDescent="0.3">
      <c r="A73" s="1711"/>
      <c r="B73" s="1712"/>
      <c r="C73" s="1712"/>
      <c r="D73" s="1712"/>
      <c r="E73" s="1712"/>
      <c r="F73" s="1712"/>
      <c r="G73" s="1713"/>
      <c r="I73" s="890"/>
      <c r="J73" s="907" t="s">
        <v>276</v>
      </c>
      <c r="K73" s="908">
        <v>0</v>
      </c>
      <c r="L73" s="911" t="s">
        <v>77</v>
      </c>
      <c r="M73" s="815"/>
    </row>
    <row r="74" spans="1:13" ht="20.149999999999999" customHeight="1" thickBot="1" x14ac:dyDescent="0.35">
      <c r="I74" s="890"/>
      <c r="J74" s="907" t="s">
        <v>211</v>
      </c>
      <c r="K74" s="908">
        <v>0</v>
      </c>
      <c r="L74" s="911" t="s">
        <v>77</v>
      </c>
      <c r="M74" s="815"/>
    </row>
    <row r="75" spans="1:13" ht="20.149999999999999" customHeight="1" thickTop="1" thickBot="1" x14ac:dyDescent="0.35">
      <c r="B75" s="915" t="s">
        <v>373</v>
      </c>
      <c r="D75" s="902" t="s">
        <v>114</v>
      </c>
      <c r="F75" s="918">
        <v>0.25</v>
      </c>
      <c r="I75" s="890"/>
      <c r="J75" s="907" t="s">
        <v>215</v>
      </c>
      <c r="K75" s="908">
        <v>0</v>
      </c>
      <c r="L75" s="911" t="s">
        <v>77</v>
      </c>
      <c r="M75" s="815"/>
    </row>
    <row r="76" spans="1:13" ht="20.149999999999999" customHeight="1" thickTop="1" thickBot="1" x14ac:dyDescent="0.35">
      <c r="B76" s="910" t="s">
        <v>367</v>
      </c>
      <c r="D76" s="902" t="str">
        <f>IF(OR('Old MC Working'!H14="Yes",'Old MC Working'!M12="Corporate"),"Yes","No")</f>
        <v>Yes</v>
      </c>
      <c r="I76" s="890"/>
      <c r="J76" s="919" t="s">
        <v>212</v>
      </c>
      <c r="K76" s="908">
        <v>3000</v>
      </c>
      <c r="L76" s="911" t="s">
        <v>77</v>
      </c>
      <c r="M76" s="815"/>
    </row>
    <row r="77" spans="1:13" ht="20.149999999999999" customHeight="1" thickTop="1" x14ac:dyDescent="0.3">
      <c r="I77" s="824">
        <v>22</v>
      </c>
      <c r="J77" s="881" t="s">
        <v>306</v>
      </c>
      <c r="K77" s="827"/>
      <c r="L77" s="827"/>
      <c r="M77" s="828"/>
    </row>
    <row r="78" spans="1:13" ht="20.149999999999999" customHeight="1" thickBot="1" x14ac:dyDescent="0.35">
      <c r="I78" s="894"/>
      <c r="J78" s="904" t="s">
        <v>316</v>
      </c>
      <c r="K78" s="920">
        <v>0.125</v>
      </c>
      <c r="L78" s="827" t="s">
        <v>307</v>
      </c>
      <c r="M78" s="828"/>
    </row>
    <row r="79" spans="1:13" ht="20.149999999999999" customHeight="1" thickTop="1" thickBot="1" x14ac:dyDescent="0.45">
      <c r="A79" s="858">
        <v>20</v>
      </c>
      <c r="B79" s="909" t="s">
        <v>397</v>
      </c>
      <c r="D79" s="902" t="s">
        <v>78</v>
      </c>
      <c r="I79" s="894"/>
      <c r="J79" s="904" t="s">
        <v>308</v>
      </c>
      <c r="K79" s="920">
        <v>0.25</v>
      </c>
      <c r="L79" s="827" t="s">
        <v>307</v>
      </c>
      <c r="M79" s="828"/>
    </row>
    <row r="80" spans="1:13" ht="20.149999999999999" customHeight="1" thickTop="1" thickBot="1" x14ac:dyDescent="0.35">
      <c r="I80" s="894"/>
      <c r="J80" s="904" t="s">
        <v>309</v>
      </c>
      <c r="K80" s="920">
        <v>0.375</v>
      </c>
      <c r="L80" s="827" t="s">
        <v>307</v>
      </c>
      <c r="M80" s="828"/>
    </row>
    <row r="81" spans="1:13" ht="20.149999999999999" customHeight="1" thickTop="1" thickBot="1" x14ac:dyDescent="0.4">
      <c r="A81" s="858">
        <v>24</v>
      </c>
      <c r="B81" s="921" t="s">
        <v>407</v>
      </c>
      <c r="D81" s="902" t="s">
        <v>114</v>
      </c>
      <c r="F81" s="902">
        <v>1000</v>
      </c>
      <c r="I81" s="894"/>
      <c r="J81" s="904" t="s">
        <v>302</v>
      </c>
      <c r="K81" s="920">
        <v>0.5</v>
      </c>
      <c r="L81" s="827" t="s">
        <v>69</v>
      </c>
      <c r="M81" s="828"/>
    </row>
    <row r="82" spans="1:13" ht="20.149999999999999" customHeight="1" thickTop="1" thickBot="1" x14ac:dyDescent="0.35">
      <c r="B82" s="922" t="s">
        <v>409</v>
      </c>
      <c r="I82" s="894"/>
      <c r="J82" s="904" t="s">
        <v>310</v>
      </c>
      <c r="K82" s="920">
        <v>0.625</v>
      </c>
      <c r="L82" s="827" t="s">
        <v>69</v>
      </c>
      <c r="M82" s="828"/>
    </row>
    <row r="83" spans="1:13" ht="20.149999999999999" customHeight="1" thickTop="1" thickBot="1" x14ac:dyDescent="0.35">
      <c r="B83" s="923" t="s">
        <v>223</v>
      </c>
      <c r="D83" s="902">
        <v>2500</v>
      </c>
      <c r="I83" s="894"/>
      <c r="J83" s="904" t="s">
        <v>305</v>
      </c>
      <c r="K83" s="920">
        <v>0.75</v>
      </c>
      <c r="L83" s="827" t="s">
        <v>69</v>
      </c>
      <c r="M83" s="828"/>
    </row>
    <row r="84" spans="1:13" ht="20.149999999999999" customHeight="1" thickTop="1" x14ac:dyDescent="0.3">
      <c r="I84" s="894"/>
      <c r="J84" s="904" t="s">
        <v>311</v>
      </c>
      <c r="K84" s="920">
        <v>0.75</v>
      </c>
      <c r="L84" s="827" t="s">
        <v>69</v>
      </c>
      <c r="M84" s="828"/>
    </row>
    <row r="85" spans="1:13" ht="20.149999999999999" customHeight="1" thickBot="1" x14ac:dyDescent="0.35">
      <c r="I85" s="894"/>
      <c r="J85" s="904" t="s">
        <v>312</v>
      </c>
      <c r="K85" s="920">
        <v>0.875</v>
      </c>
      <c r="L85" s="827" t="s">
        <v>307</v>
      </c>
      <c r="M85" s="828"/>
    </row>
    <row r="86" spans="1:13" ht="20.149999999999999" customHeight="1" thickTop="1" thickBot="1" x14ac:dyDescent="0.4">
      <c r="A86" s="858">
        <v>25</v>
      </c>
      <c r="B86" s="921" t="s">
        <v>412</v>
      </c>
      <c r="D86" s="924" t="s">
        <v>414</v>
      </c>
      <c r="E86" s="924"/>
      <c r="F86" s="924" t="s">
        <v>0</v>
      </c>
      <c r="I86" s="894"/>
      <c r="J86" s="904" t="s">
        <v>304</v>
      </c>
      <c r="K86" s="920">
        <v>0.875</v>
      </c>
      <c r="L86" s="827" t="s">
        <v>307</v>
      </c>
      <c r="M86" s="828"/>
    </row>
    <row r="87" spans="1:13" ht="20.149999999999999" customHeight="1" thickTop="1" x14ac:dyDescent="0.3">
      <c r="B87" s="925" t="s">
        <v>60</v>
      </c>
      <c r="D87" s="926">
        <f>IF(OR('Old MC Working'!K14='Old MC Working'!F107,'Old MC Working'!K14='Old MC Working'!F114),1,IF('Old MC Working'!K14='Old MC Working'!F99,0,IF('Old MC Working'!K14='Old MC Working'!F112,0,IF('Old MC Working'!K14='Old MC Working'!F97,'Rates (2)'!D98,0))))</f>
        <v>0</v>
      </c>
      <c r="E87" s="927"/>
      <c r="F87" s="926">
        <f>IF('Old MC Working'!K14='Old MC Working'!F99,10,IF('Old MC Working'!K14='Old MC Working'!F112,10,IF('Old MC Working'!K14='Old MC Working'!F97,'Rates (2)'!F98,15)))</f>
        <v>15</v>
      </c>
      <c r="I87" s="894"/>
      <c r="J87" s="904" t="s">
        <v>313</v>
      </c>
      <c r="K87" s="928">
        <v>1</v>
      </c>
      <c r="L87" s="827" t="s">
        <v>307</v>
      </c>
      <c r="M87" s="828"/>
    </row>
    <row r="88" spans="1:13" ht="20.149999999999999" customHeight="1" x14ac:dyDescent="0.3">
      <c r="B88" s="925" t="s">
        <v>413</v>
      </c>
      <c r="D88" s="926">
        <f>IF(OR('Old MC Working'!K14='Old MC Working'!F107,'Old MC Working'!K14='Old MC Working'!F114),0,IF('Old MC Working'!K14='Old MC Working'!F112,D92,IF(OR('Old MC Working'!K14='Old MC Working'!F102,'Old MC Working'!K14='Old MC Working'!F118),D104,0)))</f>
        <v>0</v>
      </c>
      <c r="E88" s="927"/>
      <c r="F88" s="926">
        <f>IF(OR('Old MC Working'!K14='Old MC Working'!F107,'Old MC Working'!K14='Old MC Working'!F114),15,IF('Old MC Working'!K14='Old MC Working'!F112,F92,IF(OR('Old MC Working'!K14='Old MC Working'!F102,'Old MC Working'!K14='Old MC Working'!F118),F104,15)))</f>
        <v>15</v>
      </c>
      <c r="I88" s="894"/>
      <c r="J88" s="904" t="s">
        <v>314</v>
      </c>
      <c r="K88" s="928">
        <v>1</v>
      </c>
      <c r="L88" s="827" t="s">
        <v>307</v>
      </c>
      <c r="M88" s="828"/>
    </row>
    <row r="89" spans="1:13" ht="20.149999999999999" customHeight="1" x14ac:dyDescent="0.3">
      <c r="I89" s="894"/>
      <c r="J89" s="904" t="s">
        <v>315</v>
      </c>
      <c r="K89" s="928">
        <v>1</v>
      </c>
      <c r="L89" s="827" t="s">
        <v>307</v>
      </c>
      <c r="M89" s="828"/>
    </row>
    <row r="90" spans="1:13" ht="20.149999999999999" customHeight="1" x14ac:dyDescent="0.3">
      <c r="B90" s="787"/>
      <c r="I90" s="894"/>
      <c r="J90" s="904" t="s">
        <v>303</v>
      </c>
      <c r="K90" s="928">
        <v>1</v>
      </c>
      <c r="L90" s="827" t="s">
        <v>307</v>
      </c>
      <c r="M90" s="828"/>
    </row>
    <row r="91" spans="1:13" ht="20.149999999999999" customHeight="1" x14ac:dyDescent="0.3">
      <c r="B91" s="929" t="s">
        <v>433</v>
      </c>
      <c r="C91" s="929"/>
      <c r="D91" s="930" t="s">
        <v>414</v>
      </c>
      <c r="E91" s="930"/>
      <c r="F91" s="930" t="s">
        <v>0</v>
      </c>
      <c r="I91" s="894"/>
      <c r="J91" s="904"/>
      <c r="K91" s="826"/>
      <c r="L91" s="827"/>
      <c r="M91" s="828"/>
    </row>
    <row r="92" spans="1:13" ht="20.149999999999999" customHeight="1" x14ac:dyDescent="0.3">
      <c r="B92" s="931" t="s">
        <v>434</v>
      </c>
      <c r="D92" s="926">
        <f>IF('Old MC Working'!H9="Hiring",'Rates (2)'!D95,'Rates (2)'!F95)</f>
        <v>10</v>
      </c>
      <c r="E92" s="927"/>
      <c r="F92" s="926">
        <f>IF('Old MC Working'!H9="Hiring",'Rates (2)'!D96,'Rates (2)'!F96)</f>
        <v>38.32</v>
      </c>
      <c r="I92" s="894"/>
      <c r="J92" s="904"/>
      <c r="K92" s="826"/>
      <c r="L92" s="827"/>
      <c r="M92" s="828"/>
    </row>
    <row r="93" spans="1:13" ht="20.149999999999999" customHeight="1" x14ac:dyDescent="0.3">
      <c r="I93" s="894"/>
      <c r="J93" s="904"/>
      <c r="K93" s="826"/>
      <c r="L93" s="827"/>
      <c r="M93" s="828"/>
    </row>
    <row r="94" spans="1:13" ht="20.149999999999999" customHeight="1" x14ac:dyDescent="0.3">
      <c r="D94" s="783" t="s">
        <v>41</v>
      </c>
      <c r="F94" s="783" t="s">
        <v>45</v>
      </c>
      <c r="I94" s="894"/>
      <c r="J94" s="904"/>
      <c r="K94" s="826"/>
      <c r="L94" s="827"/>
      <c r="M94" s="828"/>
    </row>
    <row r="95" spans="1:13" ht="20.149999999999999" customHeight="1" x14ac:dyDescent="0.25">
      <c r="B95" s="932" t="s">
        <v>414</v>
      </c>
      <c r="D95" s="783">
        <v>33.799999999999997</v>
      </c>
      <c r="F95" s="783">
        <v>10</v>
      </c>
    </row>
    <row r="96" spans="1:13" ht="20.149999999999999" customHeight="1" x14ac:dyDescent="0.25">
      <c r="B96" s="933" t="s">
        <v>0</v>
      </c>
      <c r="C96" s="934"/>
      <c r="D96" s="934">
        <v>65</v>
      </c>
      <c r="E96" s="934"/>
      <c r="F96" s="934">
        <v>38.32</v>
      </c>
    </row>
    <row r="97" spans="2:6" ht="20.149999999999999" customHeight="1" x14ac:dyDescent="0.3">
      <c r="B97" s="935" t="s">
        <v>437</v>
      </c>
      <c r="C97" s="929"/>
      <c r="D97" s="930" t="s">
        <v>414</v>
      </c>
      <c r="E97" s="930"/>
      <c r="F97" s="930" t="s">
        <v>0</v>
      </c>
    </row>
    <row r="98" spans="2:6" ht="20.149999999999999" customHeight="1" x14ac:dyDescent="0.3">
      <c r="B98" s="931" t="s">
        <v>436</v>
      </c>
      <c r="D98" s="926">
        <v>0</v>
      </c>
      <c r="E98" s="927"/>
      <c r="F98" s="926">
        <v>15</v>
      </c>
    </row>
    <row r="99" spans="2:6" ht="20.149999999999999" customHeight="1" x14ac:dyDescent="0.25">
      <c r="D99" s="936" t="s">
        <v>438</v>
      </c>
      <c r="F99" s="937" t="s">
        <v>439</v>
      </c>
    </row>
    <row r="100" spans="2:6" ht="20.149999999999999" customHeight="1" x14ac:dyDescent="0.25">
      <c r="B100" s="932" t="s">
        <v>444</v>
      </c>
      <c r="D100" s="783">
        <v>0</v>
      </c>
      <c r="F100" s="783">
        <v>0</v>
      </c>
    </row>
    <row r="101" spans="2:6" ht="20.149999999999999" customHeight="1" x14ac:dyDescent="0.25">
      <c r="B101" s="933" t="s">
        <v>445</v>
      </c>
      <c r="C101" s="934"/>
      <c r="D101" s="934">
        <v>15</v>
      </c>
      <c r="E101" s="934"/>
      <c r="F101" s="934">
        <v>15</v>
      </c>
    </row>
    <row r="102" spans="2:6" ht="20.149999999999999" customHeight="1" x14ac:dyDescent="0.25">
      <c r="B102" s="933"/>
      <c r="C102" s="934"/>
      <c r="D102" s="934"/>
      <c r="E102" s="934"/>
      <c r="F102" s="934"/>
    </row>
    <row r="103" spans="2:6" ht="23.25" customHeight="1" x14ac:dyDescent="0.3">
      <c r="B103" s="938" t="s">
        <v>442</v>
      </c>
      <c r="C103" s="929"/>
      <c r="D103" s="930" t="s">
        <v>414</v>
      </c>
      <c r="E103" s="930"/>
      <c r="F103" s="930" t="s">
        <v>0</v>
      </c>
    </row>
    <row r="104" spans="2:6" ht="20.149999999999999" customHeight="1" x14ac:dyDescent="0.3">
      <c r="B104" s="931" t="s">
        <v>434</v>
      </c>
      <c r="D104" s="926">
        <v>33</v>
      </c>
      <c r="E104" s="927"/>
      <c r="F104" s="926">
        <v>35</v>
      </c>
    </row>
  </sheetData>
  <mergeCells count="22">
    <mergeCell ref="F1:F2"/>
    <mergeCell ref="I2:J2"/>
    <mergeCell ref="N3:P3"/>
    <mergeCell ref="N4:P4"/>
    <mergeCell ref="N5:P5"/>
    <mergeCell ref="N6:P6"/>
    <mergeCell ref="N7:P7"/>
    <mergeCell ref="N8:P8"/>
    <mergeCell ref="N9:P9"/>
    <mergeCell ref="M19:N19"/>
    <mergeCell ref="F27:G27"/>
    <mergeCell ref="C28:D28"/>
    <mergeCell ref="B47:B48"/>
    <mergeCell ref="B55:D55"/>
    <mergeCell ref="A68:G69"/>
    <mergeCell ref="A72:G73"/>
    <mergeCell ref="C29:D29"/>
    <mergeCell ref="E29:F29"/>
    <mergeCell ref="G29:H29"/>
    <mergeCell ref="C38:E38"/>
    <mergeCell ref="C40:E40"/>
    <mergeCell ref="B43:B44"/>
  </mergeCells>
  <conditionalFormatting sqref="D59:D60">
    <cfRule type="cellIs" dxfId="171"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08984375" defaultRowHeight="20.149999999999999" customHeight="1" x14ac:dyDescent="0.25"/>
  <cols>
    <col min="1" max="1" width="5.08984375" style="941" customWidth="1"/>
    <col min="2" max="3" width="10.36328125" style="941" customWidth="1"/>
    <col min="4" max="4" width="1.6328125" style="941" customWidth="1"/>
    <col min="5" max="5" width="3.54296875" style="941" customWidth="1"/>
    <col min="6" max="6" width="10.08984375" style="941" customWidth="1"/>
    <col min="7" max="7" width="5.453125" style="941" customWidth="1"/>
    <col min="8" max="8" width="4.08984375" style="941" customWidth="1"/>
    <col min="9" max="9" width="3.6328125" style="941" customWidth="1"/>
    <col min="10" max="10" width="10.08984375" style="941" customWidth="1"/>
    <col min="11" max="11" width="6.54296875" style="941" customWidth="1"/>
    <col min="12" max="12" width="9.54296875" style="941" customWidth="1"/>
    <col min="13" max="13" width="2.36328125" style="941" customWidth="1"/>
    <col min="14" max="14" width="10.6328125" style="941" customWidth="1"/>
    <col min="15" max="15" width="13.54296875" style="941" customWidth="1"/>
    <col min="16" max="16" width="9.453125" style="941" bestFit="1" customWidth="1"/>
    <col min="17" max="19" width="9.08984375" style="941"/>
    <col min="20" max="20" width="11.453125" style="941" customWidth="1"/>
    <col min="21" max="21" width="10.453125" style="941" bestFit="1" customWidth="1"/>
    <col min="22" max="16384" width="9.08984375" style="941"/>
  </cols>
  <sheetData>
    <row r="1" spans="1:24" ht="20.149999999999999" customHeight="1" x14ac:dyDescent="0.3">
      <c r="A1" s="1751"/>
      <c r="B1" s="1752"/>
      <c r="C1" s="1752"/>
      <c r="D1" s="1752"/>
      <c r="E1" s="1752"/>
      <c r="F1" s="1752"/>
      <c r="G1" s="1752"/>
      <c r="H1" s="1752"/>
      <c r="I1" s="1752"/>
      <c r="J1" s="939"/>
      <c r="K1" s="939"/>
      <c r="L1" s="939"/>
      <c r="M1" s="940"/>
      <c r="R1" s="942" t="s">
        <v>327</v>
      </c>
      <c r="S1" s="942">
        <f>IF(O3&gt;DATE('Old MC Working'!I4,2,28),K3,'Old MC Working'!I4)</f>
        <v>2014</v>
      </c>
      <c r="T1" s="941">
        <f>IF(OR(S1=2008,S1=2012,S1=2016,S1=2020),366,365)</f>
        <v>365</v>
      </c>
      <c r="U1" s="943" t="s">
        <v>222</v>
      </c>
      <c r="V1" s="943" t="s">
        <v>328</v>
      </c>
      <c r="W1" s="944" t="s">
        <v>329</v>
      </c>
    </row>
    <row r="2" spans="1:24" ht="20.149999999999999" customHeight="1" thickBot="1" x14ac:dyDescent="0.3">
      <c r="A2" s="945"/>
      <c r="B2" s="946"/>
      <c r="C2" s="946"/>
      <c r="D2" s="946"/>
      <c r="E2" s="946"/>
      <c r="F2" s="946"/>
      <c r="G2" s="946"/>
      <c r="H2" s="942"/>
      <c r="I2" s="942"/>
      <c r="J2" s="942"/>
      <c r="K2" s="942"/>
      <c r="L2" s="942"/>
      <c r="M2" s="947"/>
      <c r="O2" s="944" t="s">
        <v>206</v>
      </c>
      <c r="P2" s="944" t="s">
        <v>205</v>
      </c>
      <c r="Q2" s="944"/>
      <c r="R2" s="941" t="s">
        <v>330</v>
      </c>
      <c r="S2" s="941">
        <f>IF(OR('Old MC Working'!I4=2008,'Old MC Working'!I4=2012,'Old MC Working'!I4=2016,'Old MC Working'!I4=2020),29,28)</f>
        <v>28</v>
      </c>
      <c r="T2" s="941">
        <f>IF(OR(K3=2008,K3=2012,K3=2016,K3=2020),29,28)</f>
        <v>28</v>
      </c>
      <c r="U2" s="944">
        <f>IF(AND('Old MC Working'!G4=1,'Old MC Working'!H4="January"),'Old MC Working'!I4,'Old MC Working'!I4+1)</f>
        <v>2014</v>
      </c>
      <c r="V2" s="941" t="str">
        <f>IF('Old MC Working'!G4-1=0,V4,'Old MC Working'!H4)</f>
        <v>August</v>
      </c>
      <c r="W2" s="941">
        <f>IF('Old MC Working'!G4-1=0,W4,'Old MC Working'!G4-1)</f>
        <v>23</v>
      </c>
    </row>
    <row r="3" spans="1:24" ht="15.75" customHeight="1" thickBot="1" x14ac:dyDescent="0.3">
      <c r="A3" s="945"/>
      <c r="B3" s="946"/>
      <c r="C3" s="946"/>
      <c r="D3" s="946"/>
      <c r="E3" s="946"/>
      <c r="F3" s="946"/>
      <c r="G3" s="946"/>
      <c r="H3" s="948" t="s">
        <v>331</v>
      </c>
      <c r="I3" s="949">
        <f>W2</f>
        <v>23</v>
      </c>
      <c r="J3" s="949" t="str">
        <f>V2</f>
        <v>August</v>
      </c>
      <c r="K3" s="949">
        <f>U2</f>
        <v>2014</v>
      </c>
      <c r="L3" s="942"/>
      <c r="M3" s="947"/>
      <c r="O3" s="950">
        <f>DATE('Old MC Working'!I4,P3,'Old MC Working'!G4)</f>
        <v>41510</v>
      </c>
      <c r="P3" s="941">
        <f>IF('Old MC Working'!H4="January",1,IF('Old MC Working'!H4="February",2,IF('Old MC Working'!H4="March",3,IF('Old MC Working'!H4="April",4,IF('Old MC Working'!H4="May",5,IF('Old MC Working'!H4="June",6,IF('Old MC Working'!H4="July",7,IF('Old MC Working'!H4="August",8,Q3))))))))</f>
        <v>8</v>
      </c>
      <c r="Q3" s="941">
        <f>IF('Old MC Working'!H4="September",9,IF('Old MC Working'!H4="October",10,IF('Old MC Working'!H4="November",11,12)))</f>
        <v>12</v>
      </c>
      <c r="R3" s="941" t="s">
        <v>332</v>
      </c>
      <c r="S3" s="941">
        <f>IF(AND(P3=2,'Old MC Working'!G4&gt;S2),0,IF(AND(P3=4,'Old MC Working'!G4&gt;30),0,IF(AND(P3=6,'Old MC Working'!G4&gt;30),0,IF(AND(P3=9,'Old MC Working'!G4&gt;30),0,IF(AND(P3=11,'Old MC Working'!G4&gt;30),0,1)))))</f>
        <v>1</v>
      </c>
    </row>
    <row r="4" spans="1:24" ht="15.75" customHeight="1" x14ac:dyDescent="0.25">
      <c r="A4" s="945"/>
      <c r="B4" s="946"/>
      <c r="C4" s="946"/>
      <c r="D4" s="946"/>
      <c r="E4" s="946"/>
      <c r="F4" s="946"/>
      <c r="G4" s="946"/>
      <c r="H4" s="942"/>
      <c r="I4" s="951"/>
      <c r="J4" s="951"/>
      <c r="K4" s="951"/>
      <c r="L4" s="951"/>
      <c r="M4" s="952"/>
      <c r="N4" s="953"/>
      <c r="O4" s="950">
        <f>DATE(K3,P4,I3)</f>
        <v>41874</v>
      </c>
      <c r="P4" s="941">
        <f>IF(J3="January",1,IF(J3="February",2,IF(J3="March",3,IF(J3="April",4,IF(J3="May",5,IF(J3="June",6,IF(J3="July",7,IF(J3="August",8,Q4))))))))</f>
        <v>8</v>
      </c>
      <c r="Q4" s="941">
        <f>IF(J3="September",9,IF(J3="October",10,IF(J3="November",11,12)))</f>
        <v>12</v>
      </c>
      <c r="R4" s="941" t="s">
        <v>332</v>
      </c>
      <c r="S4" s="941">
        <f>IF(AND(P4=2,I3&gt;S2),0,IF(AND(P4=4,I3&gt;30),0,IF(AND(P4=6,I3&gt;30),0,IF(AND(P4=9,I3&gt;30),0,IF(AND(P4=11,I3&gt;30),0,1)))))</f>
        <v>1</v>
      </c>
      <c r="T4" s="954" t="s">
        <v>333</v>
      </c>
      <c r="U4" s="941">
        <f>IF('Old MC Working'!$H$4="January",31,IF('Old MC Working'!$H$4="February",S2,IF('Old MC Working'!$H$4="March",31,IF('Old MC Working'!$H$4="April",30,IF('Old MC Working'!$H$4="May",31,IF('Old MC Working'!$H$4="June",30,IF('Old MC Working'!$H$4="July",31,IF('Old MC Working'!$H$4="August",31,U5))))))))</f>
        <v>31</v>
      </c>
      <c r="V4" s="941" t="str">
        <f>IF('Old MC Working'!$H$4="January","December",IF('Old MC Working'!$H$4="February","January",IF('Old MC Working'!$H$4="March","February",IF('Old MC Working'!$H$4="April","March",IF('Old MC Working'!$H$4="May","April",IF('Old MC Working'!$H$4="June","May",IF('Old MC Working'!$H$4="July","June",IF('Old MC Working'!$H$4="August","July",V5))))))))</f>
        <v>July</v>
      </c>
      <c r="W4" s="941">
        <f>IF(V4="January",31,IF(V4="February",T2,IF(V4="March",31,IF(V4="April",30,IF(V4="May",31,IF(V4="June",30,IF(V4="July",31,IF(V4="August",31,W5))))))))</f>
        <v>31</v>
      </c>
    </row>
    <row r="5" spans="1:24" ht="12.75" customHeight="1" thickBot="1" x14ac:dyDescent="0.3">
      <c r="A5" s="945"/>
      <c r="B5" s="946"/>
      <c r="C5" s="946"/>
      <c r="D5" s="946"/>
      <c r="E5" s="946"/>
      <c r="F5" s="946"/>
      <c r="G5" s="946"/>
      <c r="H5" s="955"/>
      <c r="I5" s="1753" t="str">
        <f>IF('Old MC Working'!H3="Short period","Period Used (only for Short Period)","")</f>
        <v/>
      </c>
      <c r="J5" s="1753"/>
      <c r="K5" s="1753"/>
      <c r="L5" s="1753"/>
      <c r="M5" s="952"/>
      <c r="N5" s="956"/>
      <c r="O5" s="950"/>
      <c r="U5" s="941">
        <f>IF('Old MC Working'!$H$4="September",30,IF('Old MC Working'!$H$4="October",31,IF('Old MC Working'!$H$4="November",30,31)))</f>
        <v>31</v>
      </c>
      <c r="V5" s="941" t="str">
        <f>IF('Old MC Working'!$H$4="September","August",IF('Old MC Working'!$H$4="October","September",IF('Old MC Working'!$H$4="November","October","November")))</f>
        <v>November</v>
      </c>
      <c r="W5" s="941">
        <f>IF(V4="September",30,IF(V4="October",31,IF(V4="November",30,31)))</f>
        <v>31</v>
      </c>
    </row>
    <row r="6" spans="1:24" ht="13.5" customHeight="1" thickBot="1" x14ac:dyDescent="0.3">
      <c r="A6" s="945"/>
      <c r="B6" s="946"/>
      <c r="C6" s="946"/>
      <c r="D6" s="946"/>
      <c r="E6" s="946"/>
      <c r="F6" s="946"/>
      <c r="G6" s="946"/>
      <c r="H6" s="957"/>
      <c r="I6" s="1754"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55"/>
      <c r="K6" s="1755"/>
      <c r="L6" s="1756"/>
      <c r="M6" s="947"/>
      <c r="O6" s="950">
        <f>DATE('Old MC Working'!I5,P6,'Old MC Working'!G5)</f>
        <v>41606</v>
      </c>
      <c r="P6" s="941">
        <f>IF('Old MC Working'!H5="January",1,IF('Old MC Working'!H5="February",2,IF('Old MC Working'!H5="March",3,IF('Old MC Working'!H5="April",4,IF('Old MC Working'!H5="May",5,IF('Old MC Working'!H5="June",6,IF('Old MC Working'!H5="July",7,IF('Old MC Working'!H5="August",8,Q6))))))))</f>
        <v>11</v>
      </c>
      <c r="Q6" s="941">
        <f>IF('Old MC Working'!H5="September",9,IF('Old MC Working'!H5="October",10,IF('Old MC Working'!H5="November",11,12)))</f>
        <v>11</v>
      </c>
      <c r="R6" s="941" t="s">
        <v>332</v>
      </c>
      <c r="S6" s="941">
        <f>IF(AND(P6=2,'Old MC Working'!G5&gt;S2),0,IF(AND(P6=4,'Old MC Working'!G5&gt;30),0,IF(AND(P6=6,'Old MC Working'!G5&gt;30),0,IF(AND(P6=9,'Old MC Working'!G5&gt;30),0,IF(AND(P6=11,'Old MC Working'!G5&gt;30),0,1)))))</f>
        <v>1</v>
      </c>
    </row>
    <row r="7" spans="1:24" ht="15" customHeight="1" thickBot="1" x14ac:dyDescent="0.3">
      <c r="A7" s="945"/>
      <c r="B7" s="946"/>
      <c r="C7" s="946"/>
      <c r="D7" s="946"/>
      <c r="E7" s="946"/>
      <c r="F7" s="946"/>
      <c r="G7" s="946"/>
      <c r="H7" s="957"/>
      <c r="I7" s="942"/>
      <c r="J7" s="957"/>
      <c r="K7" s="942"/>
      <c r="L7" s="942"/>
      <c r="M7" s="947"/>
      <c r="O7" s="944" t="s">
        <v>335</v>
      </c>
    </row>
    <row r="8" spans="1:24" ht="16.5" customHeight="1" thickBot="1" x14ac:dyDescent="0.3">
      <c r="A8" s="945"/>
      <c r="B8" s="946"/>
      <c r="C8" s="946"/>
      <c r="D8" s="958"/>
      <c r="E8" s="958" t="s">
        <v>336</v>
      </c>
      <c r="F8" s="942"/>
      <c r="G8" s="957"/>
      <c r="H8" s="959">
        <f>T1-P8</f>
        <v>268</v>
      </c>
      <c r="I8" s="958" t="s">
        <v>337</v>
      </c>
      <c r="J8" s="957"/>
      <c r="K8" s="942"/>
      <c r="L8" s="942"/>
      <c r="M8" s="947"/>
      <c r="O8" s="960">
        <f>((O4-O3))*S3*S4</f>
        <v>364</v>
      </c>
      <c r="P8" s="960">
        <f>(O6-O3)+1</f>
        <v>97</v>
      </c>
    </row>
    <row r="9" spans="1:24" ht="14.25" customHeight="1" thickBot="1" x14ac:dyDescent="0.3">
      <c r="A9" s="945"/>
      <c r="B9" s="946"/>
      <c r="C9" s="946"/>
      <c r="D9" s="942"/>
      <c r="E9" s="958" t="s">
        <v>356</v>
      </c>
      <c r="F9" s="957"/>
      <c r="G9" s="957"/>
      <c r="H9" s="961">
        <f>P8</f>
        <v>97</v>
      </c>
      <c r="I9" s="958"/>
      <c r="J9" s="962">
        <f>IF('Old MC Working'!H3="Short Period",'Calculation (2)'!O12,'Calculation (2)'!O14)*'Calculation (2)'!S3*'Calculation (2)'!S4*'Calculation (2)'!S6*'Calculation (2)'!N11</f>
        <v>0.26575342465753427</v>
      </c>
      <c r="K9" s="942"/>
      <c r="L9" s="942"/>
      <c r="M9" s="947"/>
      <c r="N9" s="963" t="s">
        <v>332</v>
      </c>
      <c r="O9" s="941">
        <f>IF(OR(O8&lt;1,O8&gt;90),0,1)</f>
        <v>0</v>
      </c>
      <c r="V9" s="944" t="s">
        <v>204</v>
      </c>
      <c r="W9" s="941" t="s">
        <v>205</v>
      </c>
      <c r="X9" s="941" t="s">
        <v>206</v>
      </c>
    </row>
    <row r="10" spans="1:24" ht="20.149999999999999" customHeight="1" x14ac:dyDescent="0.25">
      <c r="A10" s="945"/>
      <c r="B10" s="964"/>
      <c r="C10" s="964"/>
      <c r="D10" s="946"/>
      <c r="E10" s="946"/>
      <c r="F10" s="946"/>
      <c r="G10" s="946"/>
      <c r="H10" s="946"/>
      <c r="I10" s="946"/>
      <c r="J10" s="946"/>
      <c r="K10" s="942"/>
      <c r="L10" s="942"/>
      <c r="M10" s="947"/>
      <c r="T10" s="941" t="s">
        <v>338</v>
      </c>
      <c r="U10" s="950">
        <f>O3+6</f>
        <v>41516</v>
      </c>
    </row>
    <row r="11" spans="1:24" ht="15" customHeight="1" x14ac:dyDescent="0.25">
      <c r="A11" s="945"/>
      <c r="B11" s="946"/>
      <c r="C11" s="946"/>
      <c r="D11" s="946"/>
      <c r="E11" s="946"/>
      <c r="F11" s="946"/>
      <c r="G11" s="946"/>
      <c r="H11" s="946"/>
      <c r="I11" s="946"/>
      <c r="J11" s="946"/>
      <c r="K11" s="946"/>
      <c r="L11" s="946"/>
      <c r="M11" s="946"/>
      <c r="N11" s="941">
        <f>IF(OR(S6=0,OR(O6&lt;O3,O6&gt;=O4)),0,1)</f>
        <v>1</v>
      </c>
      <c r="O11" s="965"/>
      <c r="T11" s="941" t="s">
        <v>339</v>
      </c>
      <c r="U11" s="950">
        <f>DATE(YEAR($O$3),MONTH($O$3)+1,DAY($O$3))</f>
        <v>41541</v>
      </c>
      <c r="V11" s="941">
        <v>2008</v>
      </c>
      <c r="W11" s="944">
        <f>MONTH(O3)</f>
        <v>8</v>
      </c>
      <c r="X11" s="966">
        <f>IF('Old MC Working'!G4-1=0,W2,'Old MC Working'!G4-1)</f>
        <v>23</v>
      </c>
    </row>
    <row r="12" spans="1:24" ht="15" customHeight="1" x14ac:dyDescent="0.25">
      <c r="A12" s="945"/>
      <c r="B12" s="946"/>
      <c r="C12" s="946"/>
      <c r="D12" s="946"/>
      <c r="E12" s="946"/>
      <c r="F12" s="946"/>
      <c r="G12" s="946"/>
      <c r="H12" s="946"/>
      <c r="I12" s="946"/>
      <c r="J12" s="946"/>
      <c r="K12" s="946"/>
      <c r="L12" s="946"/>
      <c r="M12" s="946"/>
      <c r="N12" s="1757" t="s">
        <v>340</v>
      </c>
      <c r="O12" s="1758">
        <f>IF(I6="Not Exceeding 1 week",1/8,IF(I6="Not Exceeding 1 Month",1/4,IF(I6="Not Exceeding 2 Months",3/8,IF(I6="Not Exceeding 3 Months",1/2,IF(I6="Not Exceeding 4 Months",5/8,IF(I6="Not Exceeding 6 Months",3/4,IF(I6="Not Exceeding 8 Months",7/8,1)))))))</f>
        <v>0.625</v>
      </c>
      <c r="P12" s="941" t="s">
        <v>341</v>
      </c>
      <c r="Q12" s="966">
        <v>31</v>
      </c>
      <c r="T12" s="941" t="s">
        <v>342</v>
      </c>
      <c r="U12" s="950">
        <f>DATE(YEAR($O$3),MONTH($O$3)+2,DAY($O$3))</f>
        <v>41571</v>
      </c>
    </row>
    <row r="13" spans="1:24" ht="15" customHeight="1" x14ac:dyDescent="0.25">
      <c r="A13" s="945"/>
      <c r="B13" s="946"/>
      <c r="C13" s="946"/>
      <c r="D13" s="946"/>
      <c r="E13" s="946"/>
      <c r="F13" s="946"/>
      <c r="G13" s="946"/>
      <c r="H13" s="946"/>
      <c r="I13" s="946"/>
      <c r="J13" s="946"/>
      <c r="K13" s="946"/>
      <c r="L13" s="946"/>
      <c r="M13" s="946"/>
      <c r="N13" s="1757"/>
      <c r="O13" s="1758"/>
      <c r="P13" s="941" t="s">
        <v>330</v>
      </c>
      <c r="Q13" s="966">
        <f>S2</f>
        <v>28</v>
      </c>
      <c r="T13" s="941" t="s">
        <v>343</v>
      </c>
      <c r="U13" s="950">
        <f>DATE(YEAR($O$3),MONTH($O$3)+3,DAY($O$3))</f>
        <v>41602</v>
      </c>
    </row>
    <row r="14" spans="1:24" ht="15" customHeight="1" x14ac:dyDescent="0.25">
      <c r="A14" s="945"/>
      <c r="B14" s="946"/>
      <c r="C14" s="946"/>
      <c r="D14" s="946"/>
      <c r="E14" s="946"/>
      <c r="F14" s="946"/>
      <c r="G14" s="946"/>
      <c r="H14" s="946"/>
      <c r="I14" s="946"/>
      <c r="J14" s="946"/>
      <c r="K14" s="946"/>
      <c r="L14" s="946"/>
      <c r="M14" s="946"/>
      <c r="N14" s="1757" t="s">
        <v>344</v>
      </c>
      <c r="O14" s="1759">
        <f>P8/365</f>
        <v>0.26575342465753427</v>
      </c>
      <c r="P14" s="941" t="s">
        <v>322</v>
      </c>
      <c r="Q14" s="966">
        <v>31</v>
      </c>
      <c r="T14" s="941" t="s">
        <v>345</v>
      </c>
      <c r="U14" s="950">
        <f>DATE(YEAR($O$3),MONTH($O$3)+4,DAY($O$3))</f>
        <v>41632</v>
      </c>
    </row>
    <row r="15" spans="1:24" ht="15" customHeight="1" x14ac:dyDescent="0.25">
      <c r="A15" s="945"/>
      <c r="B15" s="946"/>
      <c r="C15" s="946"/>
      <c r="D15" s="946"/>
      <c r="E15" s="946"/>
      <c r="F15" s="946"/>
      <c r="G15" s="946"/>
      <c r="H15" s="946"/>
      <c r="I15" s="946"/>
      <c r="J15" s="946"/>
      <c r="K15" s="946"/>
      <c r="L15" s="946"/>
      <c r="M15" s="946"/>
      <c r="N15" s="1757"/>
      <c r="O15" s="1759"/>
      <c r="P15" s="941" t="s">
        <v>346</v>
      </c>
      <c r="Q15" s="966">
        <v>30</v>
      </c>
      <c r="T15" s="941" t="s">
        <v>347</v>
      </c>
      <c r="U15" s="950">
        <f>DATE(YEAR($O$3),MONTH($O$3)+6,DAY($O$3))</f>
        <v>41694</v>
      </c>
    </row>
    <row r="16" spans="1:24" ht="15" customHeight="1" x14ac:dyDescent="0.25">
      <c r="A16" s="945"/>
      <c r="B16" s="946"/>
      <c r="C16" s="946"/>
      <c r="D16" s="946"/>
      <c r="E16" s="946"/>
      <c r="F16" s="946"/>
      <c r="G16" s="946"/>
      <c r="H16" s="946"/>
      <c r="I16" s="946"/>
      <c r="J16" s="946"/>
      <c r="K16" s="946"/>
      <c r="L16" s="946"/>
      <c r="M16" s="946"/>
      <c r="O16" s="965"/>
      <c r="P16" s="941" t="s">
        <v>348</v>
      </c>
      <c r="Q16" s="966">
        <v>31</v>
      </c>
      <c r="T16" s="941" t="s">
        <v>349</v>
      </c>
      <c r="U16" s="950">
        <f>DATE(YEAR($O$3),MONTH($O$3)+8,DAY($O$3))</f>
        <v>41753</v>
      </c>
    </row>
    <row r="17" spans="1:21" ht="15" customHeight="1" x14ac:dyDescent="0.25">
      <c r="A17" s="945"/>
      <c r="B17" s="946"/>
      <c r="C17" s="946"/>
      <c r="D17" s="946"/>
      <c r="E17" s="946"/>
      <c r="F17" s="946"/>
      <c r="G17" s="946"/>
      <c r="H17" s="946"/>
      <c r="I17" s="946"/>
      <c r="J17" s="946"/>
      <c r="K17" s="946"/>
      <c r="L17" s="946"/>
      <c r="M17" s="946"/>
      <c r="O17" s="965"/>
      <c r="P17" s="941" t="s">
        <v>350</v>
      </c>
      <c r="Q17" s="966">
        <v>30</v>
      </c>
    </row>
    <row r="18" spans="1:21" ht="15" customHeight="1" x14ac:dyDescent="0.25">
      <c r="A18" s="945"/>
      <c r="B18" s="946"/>
      <c r="C18" s="946"/>
      <c r="D18" s="946"/>
      <c r="E18" s="946"/>
      <c r="F18" s="946"/>
      <c r="G18" s="946"/>
      <c r="H18" s="946"/>
      <c r="I18" s="946"/>
      <c r="J18" s="946"/>
      <c r="K18" s="946"/>
      <c r="L18" s="946"/>
      <c r="M18" s="946"/>
      <c r="N18" s="963"/>
      <c r="O18" s="965"/>
      <c r="P18" s="941" t="s">
        <v>334</v>
      </c>
      <c r="Q18" s="966">
        <v>31</v>
      </c>
      <c r="U18" s="941" t="str">
        <f>IF(AND(O6&gt;U16,O6&lt;=O4),"Exceeding 8 Months","Out of Period")</f>
        <v>Out of Period</v>
      </c>
    </row>
    <row r="19" spans="1:21" ht="15" customHeight="1" x14ac:dyDescent="0.25">
      <c r="A19" s="945"/>
      <c r="B19" s="946"/>
      <c r="C19" s="946"/>
      <c r="D19" s="946"/>
      <c r="E19" s="946"/>
      <c r="F19" s="946"/>
      <c r="G19" s="946"/>
      <c r="H19" s="946"/>
      <c r="I19" s="946"/>
      <c r="J19" s="946"/>
      <c r="K19" s="942"/>
      <c r="L19" s="942">
        <f>100-L18</f>
        <v>100</v>
      </c>
      <c r="M19" s="947"/>
      <c r="N19" s="963"/>
      <c r="O19" s="965"/>
      <c r="P19" s="941" t="s">
        <v>351</v>
      </c>
      <c r="Q19" s="966">
        <v>31</v>
      </c>
    </row>
    <row r="20" spans="1:21" ht="15" customHeight="1" x14ac:dyDescent="0.25">
      <c r="A20" s="945"/>
      <c r="B20" s="946"/>
      <c r="C20" s="946"/>
      <c r="D20" s="946"/>
      <c r="E20" s="946"/>
      <c r="F20" s="946"/>
      <c r="G20" s="946"/>
      <c r="H20" s="946"/>
      <c r="I20" s="946"/>
      <c r="J20" s="946"/>
      <c r="K20" s="942"/>
      <c r="L20" s="942"/>
      <c r="M20" s="947"/>
      <c r="O20" s="965"/>
      <c r="P20" s="941" t="s">
        <v>352</v>
      </c>
      <c r="Q20" s="966">
        <v>30</v>
      </c>
    </row>
    <row r="21" spans="1:21" ht="15" customHeight="1" x14ac:dyDescent="0.25">
      <c r="A21" s="945"/>
      <c r="B21" s="946"/>
      <c r="C21" s="946"/>
      <c r="D21" s="946"/>
      <c r="E21" s="946"/>
      <c r="F21" s="946"/>
      <c r="G21" s="946"/>
      <c r="H21" s="946"/>
      <c r="I21" s="946"/>
      <c r="J21" s="946"/>
      <c r="K21" s="942"/>
      <c r="L21" s="942"/>
      <c r="M21" s="947"/>
      <c r="O21" s="965"/>
      <c r="P21" s="941" t="s">
        <v>353</v>
      </c>
      <c r="Q21" s="966">
        <v>31</v>
      </c>
    </row>
    <row r="22" spans="1:21" ht="15" customHeight="1" x14ac:dyDescent="0.25">
      <c r="A22" s="945"/>
      <c r="B22" s="946"/>
      <c r="C22" s="946"/>
      <c r="D22" s="946"/>
      <c r="E22" s="946"/>
      <c r="F22" s="946"/>
      <c r="G22" s="946"/>
      <c r="H22" s="946"/>
      <c r="I22" s="946"/>
      <c r="J22" s="946"/>
      <c r="K22" s="942"/>
      <c r="L22" s="942"/>
      <c r="M22" s="947"/>
      <c r="P22" s="941" t="s">
        <v>354</v>
      </c>
      <c r="Q22" s="966">
        <v>30</v>
      </c>
    </row>
    <row r="23" spans="1:21" ht="15" customHeight="1" x14ac:dyDescent="0.25">
      <c r="A23" s="945"/>
      <c r="B23" s="946"/>
      <c r="C23" s="946"/>
      <c r="D23" s="946"/>
      <c r="E23" s="946"/>
      <c r="F23" s="946"/>
      <c r="G23" s="946"/>
      <c r="H23" s="946"/>
      <c r="I23" s="946"/>
      <c r="J23" s="946"/>
      <c r="K23" s="942"/>
      <c r="L23" s="942"/>
      <c r="M23" s="947"/>
      <c r="P23" s="941" t="s">
        <v>355</v>
      </c>
      <c r="Q23" s="966">
        <v>31</v>
      </c>
    </row>
    <row r="24" spans="1:21" ht="15" customHeight="1" x14ac:dyDescent="0.25">
      <c r="A24" s="945"/>
      <c r="B24" s="946"/>
      <c r="C24" s="946"/>
      <c r="D24" s="946"/>
      <c r="E24" s="946"/>
      <c r="F24" s="946"/>
      <c r="G24" s="946"/>
      <c r="H24" s="946"/>
      <c r="I24" s="946"/>
      <c r="J24" s="946"/>
      <c r="K24" s="955"/>
      <c r="L24" s="942"/>
      <c r="M24" s="947"/>
    </row>
    <row r="25" spans="1:21" ht="15" customHeight="1" x14ac:dyDescent="0.25">
      <c r="A25" s="945"/>
      <c r="B25" s="946"/>
      <c r="C25" s="946"/>
      <c r="D25" s="946"/>
      <c r="E25" s="946"/>
      <c r="F25" s="946"/>
      <c r="G25" s="946"/>
      <c r="H25" s="946"/>
      <c r="I25" s="946"/>
      <c r="J25" s="946"/>
      <c r="K25" s="955"/>
      <c r="L25" s="942"/>
      <c r="M25" s="947"/>
    </row>
    <row r="26" spans="1:21" ht="15" customHeight="1" x14ac:dyDescent="0.25">
      <c r="A26" s="945"/>
      <c r="B26" s="946"/>
      <c r="C26" s="946"/>
      <c r="D26" s="946"/>
      <c r="E26" s="946"/>
      <c r="F26" s="946"/>
      <c r="G26" s="946"/>
      <c r="H26" s="946"/>
      <c r="I26" s="946"/>
      <c r="J26" s="946"/>
      <c r="K26" s="942"/>
      <c r="L26" s="942"/>
      <c r="M26" s="947"/>
    </row>
    <row r="27" spans="1:21" ht="15" customHeight="1" x14ac:dyDescent="0.25">
      <c r="A27" s="945"/>
      <c r="B27" s="946"/>
      <c r="C27" s="946"/>
      <c r="D27" s="946"/>
      <c r="E27" s="946"/>
      <c r="F27" s="946"/>
      <c r="G27" s="946"/>
      <c r="H27" s="946"/>
      <c r="I27" s="946"/>
      <c r="J27" s="946"/>
      <c r="K27" s="942"/>
      <c r="L27" s="942"/>
      <c r="M27" s="947"/>
    </row>
    <row r="28" spans="1:21" ht="15" customHeight="1" x14ac:dyDescent="0.25">
      <c r="A28" s="945"/>
      <c r="B28" s="946"/>
      <c r="C28" s="946"/>
      <c r="D28" s="946"/>
      <c r="E28" s="946"/>
      <c r="F28" s="946"/>
      <c r="G28" s="946"/>
      <c r="H28" s="946"/>
      <c r="I28" s="946"/>
      <c r="J28" s="946"/>
      <c r="K28" s="942"/>
      <c r="L28" s="942"/>
      <c r="M28" s="947"/>
    </row>
    <row r="29" spans="1:21" ht="15" customHeight="1" x14ac:dyDescent="0.25">
      <c r="A29" s="945"/>
      <c r="B29" s="946"/>
      <c r="C29" s="946"/>
      <c r="D29" s="946"/>
      <c r="E29" s="946"/>
      <c r="F29" s="946"/>
      <c r="G29" s="946"/>
      <c r="H29" s="946"/>
      <c r="I29" s="946"/>
      <c r="J29" s="946"/>
      <c r="K29" s="942"/>
      <c r="L29" s="942"/>
      <c r="M29" s="947"/>
    </row>
    <row r="30" spans="1:21" ht="15" customHeight="1" x14ac:dyDescent="0.25">
      <c r="A30" s="945"/>
      <c r="B30" s="946"/>
      <c r="C30" s="946"/>
      <c r="D30" s="946"/>
      <c r="E30" s="946"/>
      <c r="F30" s="946"/>
      <c r="G30" s="946"/>
      <c r="H30" s="946"/>
      <c r="I30" s="946"/>
      <c r="J30" s="946"/>
      <c r="K30" s="942"/>
      <c r="L30" s="942"/>
      <c r="M30" s="947"/>
    </row>
    <row r="31" spans="1:21" ht="15" customHeight="1" x14ac:dyDescent="0.25">
      <c r="A31" s="945"/>
      <c r="B31" s="946"/>
      <c r="C31" s="946"/>
      <c r="D31" s="946"/>
      <c r="E31" s="946"/>
      <c r="F31" s="946"/>
      <c r="G31" s="946"/>
      <c r="H31" s="946"/>
      <c r="I31" s="946"/>
      <c r="J31" s="946"/>
      <c r="K31" s="942"/>
      <c r="L31" s="942"/>
      <c r="M31" s="947"/>
    </row>
    <row r="32" spans="1:21" ht="15" customHeight="1" x14ac:dyDescent="0.25">
      <c r="A32" s="945"/>
      <c r="B32" s="946"/>
      <c r="C32" s="946"/>
      <c r="D32" s="946"/>
      <c r="E32" s="946"/>
      <c r="F32" s="946"/>
      <c r="G32" s="946"/>
      <c r="H32" s="946"/>
      <c r="I32" s="946"/>
      <c r="J32" s="946"/>
      <c r="K32" s="942"/>
      <c r="L32" s="942"/>
      <c r="M32" s="947"/>
    </row>
    <row r="33" spans="1:13" ht="15" customHeight="1" x14ac:dyDescent="0.25">
      <c r="A33" s="945"/>
      <c r="B33" s="946"/>
      <c r="C33" s="946"/>
      <c r="D33" s="946"/>
      <c r="E33" s="946"/>
      <c r="F33" s="946"/>
      <c r="G33" s="946"/>
      <c r="H33" s="946"/>
      <c r="I33" s="946"/>
      <c r="J33" s="946"/>
      <c r="K33" s="942"/>
      <c r="L33" s="942"/>
      <c r="M33" s="947"/>
    </row>
    <row r="34" spans="1:13" ht="15" customHeight="1" x14ac:dyDescent="0.25">
      <c r="A34" s="945"/>
      <c r="B34" s="946"/>
      <c r="C34" s="946"/>
      <c r="D34" s="946"/>
      <c r="E34" s="946"/>
      <c r="F34" s="946"/>
      <c r="G34" s="946"/>
      <c r="H34" s="946"/>
      <c r="I34" s="946"/>
      <c r="J34" s="946"/>
      <c r="K34" s="942"/>
      <c r="L34" s="942"/>
      <c r="M34" s="947"/>
    </row>
    <row r="35" spans="1:13" ht="15" customHeight="1" x14ac:dyDescent="0.25">
      <c r="A35" s="945"/>
      <c r="B35" s="946"/>
      <c r="C35" s="946"/>
      <c r="D35" s="946"/>
      <c r="E35" s="946"/>
      <c r="F35" s="946"/>
      <c r="G35" s="946"/>
      <c r="H35" s="946"/>
      <c r="I35" s="946"/>
      <c r="J35" s="946"/>
      <c r="K35" s="942"/>
      <c r="L35" s="942"/>
      <c r="M35" s="947"/>
    </row>
    <row r="36" spans="1:13" ht="15" customHeight="1" x14ac:dyDescent="0.25">
      <c r="A36" s="945"/>
      <c r="B36" s="946"/>
      <c r="C36" s="946"/>
      <c r="D36" s="946"/>
      <c r="E36" s="946"/>
      <c r="F36" s="946"/>
      <c r="G36" s="946"/>
      <c r="H36" s="946"/>
      <c r="I36" s="946"/>
      <c r="J36" s="946"/>
      <c r="K36" s="942"/>
      <c r="L36" s="942"/>
      <c r="M36" s="947"/>
    </row>
    <row r="37" spans="1:13" ht="15" customHeight="1" x14ac:dyDescent="0.25">
      <c r="A37" s="945"/>
      <c r="B37" s="946"/>
      <c r="C37" s="946"/>
      <c r="D37" s="946"/>
      <c r="E37" s="946"/>
      <c r="F37" s="946"/>
      <c r="G37" s="946"/>
      <c r="H37" s="946"/>
      <c r="I37" s="946"/>
      <c r="J37" s="946"/>
      <c r="K37" s="942"/>
      <c r="L37" s="942"/>
      <c r="M37" s="947"/>
    </row>
    <row r="38" spans="1:13" ht="15" customHeight="1" x14ac:dyDescent="0.25">
      <c r="A38" s="945"/>
      <c r="B38" s="946"/>
      <c r="C38" s="946"/>
      <c r="D38" s="946"/>
      <c r="E38" s="946"/>
      <c r="F38" s="946"/>
      <c r="G38" s="946"/>
      <c r="H38" s="946"/>
      <c r="I38" s="946"/>
      <c r="J38" s="946"/>
      <c r="K38" s="942"/>
      <c r="L38" s="942"/>
      <c r="M38" s="947"/>
    </row>
    <row r="39" spans="1:13" ht="15" customHeight="1" x14ac:dyDescent="0.25">
      <c r="A39" s="945"/>
      <c r="B39" s="946"/>
      <c r="C39" s="946"/>
      <c r="D39" s="946"/>
      <c r="E39" s="946"/>
      <c r="F39" s="946"/>
      <c r="G39" s="946"/>
      <c r="H39" s="946"/>
      <c r="I39" s="946"/>
      <c r="J39" s="946"/>
      <c r="K39" s="958"/>
      <c r="L39" s="1760"/>
      <c r="M39" s="1761"/>
    </row>
    <row r="40" spans="1:13" ht="20.25" customHeight="1" x14ac:dyDescent="0.25">
      <c r="A40" s="945"/>
      <c r="B40" s="946"/>
      <c r="C40" s="946"/>
      <c r="D40" s="946"/>
      <c r="E40" s="946"/>
      <c r="F40" s="946"/>
      <c r="G40" s="946"/>
      <c r="H40" s="946"/>
      <c r="I40" s="946"/>
      <c r="J40" s="946"/>
      <c r="K40" s="1742"/>
      <c r="L40" s="1742"/>
      <c r="M40" s="1743"/>
    </row>
    <row r="41" spans="1:13" ht="15" customHeight="1" x14ac:dyDescent="0.25">
      <c r="A41" s="945"/>
      <c r="B41" s="946"/>
      <c r="C41" s="946"/>
      <c r="D41" s="946"/>
      <c r="E41" s="946"/>
      <c r="F41" s="946"/>
      <c r="G41" s="946"/>
      <c r="H41" s="946"/>
      <c r="I41" s="946"/>
      <c r="J41" s="946"/>
      <c r="K41" s="1744"/>
      <c r="L41" s="1744"/>
      <c r="M41" s="1745"/>
    </row>
    <row r="42" spans="1:13" ht="15" customHeight="1" x14ac:dyDescent="0.25">
      <c r="A42" s="945"/>
      <c r="B42" s="946"/>
      <c r="C42" s="946"/>
      <c r="D42" s="946"/>
      <c r="E42" s="946"/>
      <c r="F42" s="946"/>
      <c r="G42" s="946"/>
      <c r="H42" s="946"/>
      <c r="I42" s="946"/>
      <c r="J42" s="946"/>
      <c r="K42" s="1746"/>
      <c r="L42" s="1746"/>
      <c r="M42" s="1747"/>
    </row>
    <row r="43" spans="1:13" ht="20.149999999999999" customHeight="1" x14ac:dyDescent="0.25">
      <c r="A43" s="967"/>
      <c r="B43" s="968"/>
      <c r="C43" s="968"/>
      <c r="D43" s="968"/>
      <c r="E43" s="968"/>
      <c r="F43" s="968"/>
      <c r="G43" s="968"/>
      <c r="H43" s="968"/>
      <c r="I43" s="968"/>
      <c r="J43" s="968"/>
      <c r="K43" s="1748"/>
      <c r="L43" s="1749"/>
      <c r="M43" s="1750"/>
    </row>
  </sheetData>
  <sheetProtection password="9298" sheet="1" objects="1" scenarios="1"/>
  <mergeCells count="12">
    <mergeCell ref="N12:N13"/>
    <mergeCell ref="O12:O13"/>
    <mergeCell ref="N14:N15"/>
    <mergeCell ref="O14:O15"/>
    <mergeCell ref="L39:M39"/>
    <mergeCell ref="K40:M40"/>
    <mergeCell ref="K41:M41"/>
    <mergeCell ref="K42:M42"/>
    <mergeCell ref="K43:M43"/>
    <mergeCell ref="A1:I1"/>
    <mergeCell ref="I5:L5"/>
    <mergeCell ref="I6:L6"/>
  </mergeCells>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23</vt:i4>
      </vt:variant>
    </vt:vector>
  </HeadingPairs>
  <TitlesOfParts>
    <vt:vector size="35"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'MC Working'!OLE_LINK1</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2022-03-08T09:12:03Z</cp:lastPrinted>
  <dcterms:created xsi:type="dcterms:W3CDTF">2002-11-28T09:30:00Z</dcterms:created>
  <dcterms:modified xsi:type="dcterms:W3CDTF">2024-02-29T03:07:29Z</dcterms:modified>
</cp:coreProperties>
</file>