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hidePivotFieldList="1"/>
  <mc:AlternateContent xmlns:mc="http://schemas.openxmlformats.org/markup-compatibility/2006">
    <mc:Choice Requires="x15">
      <x15ac:absPath xmlns:x15ac="http://schemas.microsoft.com/office/spreadsheetml/2010/11/ac" url="D:\2023 - JOBS\1 Quotations Formats\2024 - Quotattion Formats\Leasing Companies\Orient Finance (Islamic)\"/>
    </mc:Choice>
  </mc:AlternateContent>
  <xr:revisionPtr revIDLastSave="0" documentId="13_ncr:1_{7BDCC35C-2E0E-4E32-A489-A623D6322042}" xr6:coauthVersionLast="47" xr6:coauthVersionMax="47" xr10:uidLastSave="{00000000-0000-0000-0000-000000000000}"/>
  <workbookProtection workbookAlgorithmName="SHA-512" workbookHashValue="ndIepYBneQPn17tGRFSDYTgAUas4aat3Feix0HiNF+wHLy4Tivz6L2YQN8sTt7HA9ZynNbnE7+VpKX4SyRN8OQ==" workbookSaltValue="SZl/npGwu1DANqS5sW4Y2Q==" workbookSpinCount="100000" lockStructure="1"/>
  <bookViews>
    <workbookView xWindow="-108" yWindow="-108" windowWidth="23256" windowHeight="12576" firstSheet="3" activeTab="3" xr2:uid="{00000000-000D-0000-FFFF-FFFF00000000}"/>
  </bookViews>
  <sheets>
    <sheet name="Administration" sheetId="14" state="hidden" r:id="rId1"/>
    <sheet name="Rates" sheetId="10" state="hidden" r:id="rId2"/>
    <sheet name="Calculation" sheetId="16" state="hidden" r:id="rId3"/>
    <sheet name="Quote" sheetId="13" r:id="rId4"/>
    <sheet name="Working" sheetId="4" state="hidden" r:id="rId5"/>
    <sheet name="Pre-Working" sheetId="17" r:id="rId6"/>
  </sheets>
  <externalReferences>
    <externalReference r:id="rId7"/>
  </externalReferences>
  <definedNames>
    <definedName name="_xlnm._FilterDatabase" localSheetId="0" hidden="1">Administration!$I$7:$I$18</definedName>
    <definedName name="_xlnm._FilterDatabase" localSheetId="3" hidden="1">Quote!$C$12:$Y$58</definedName>
    <definedName name="_xlnm._FilterDatabase" localSheetId="4" hidden="1">Working!$M$69:$M$69</definedName>
    <definedName name="Birthyear">'[1]Data Entry'!$AI$5:$AI$84</definedName>
    <definedName name="Branch">Administration!$O$4:$O$31</definedName>
    <definedName name="BRANCHES">Working!$AK$42:$AK$43</definedName>
    <definedName name="Date">Administration!$Q$4:$Q$34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2">Calculation!$A$1:$M$43</definedName>
    <definedName name="_xlnm.Print_Area" localSheetId="3">Quote!$A$1:$S$60</definedName>
    <definedName name="_xlnm.Print_Area" localSheetId="1">Rates!$A$1:$P$55</definedName>
    <definedName name="_xlnm.Print_Area" localSheetId="4">Working!$D$1:$M$71</definedName>
    <definedName name="usage">Administration!$G$20:$G$24</definedName>
    <definedName name="usages">Working!$AP$6:$AP$10</definedName>
    <definedName name="VEHICLE">Working!$AM$6:$AM$13</definedName>
    <definedName name="vehicles">Administration!$G$7:$G$19</definedName>
    <definedName name="YOM">Working!$AU$8:$AU$84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7" l="1"/>
  <c r="I46" i="13"/>
  <c r="I45" i="13"/>
  <c r="H12" i="17"/>
  <c r="R12" i="17"/>
  <c r="IR8" i="14"/>
  <c r="C4" i="17"/>
  <c r="F10" i="17" s="1"/>
  <c r="T21" i="13"/>
  <c r="T22" i="13"/>
  <c r="H15" i="17"/>
  <c r="L45" i="13"/>
  <c r="H25" i="4"/>
  <c r="F26" i="4" s="1"/>
  <c r="H29" i="4"/>
  <c r="K29" i="4" s="1"/>
  <c r="P29" i="4" s="1"/>
  <c r="H48" i="4"/>
  <c r="O48" i="4"/>
  <c r="M12" i="4"/>
  <c r="D4" i="10" s="1"/>
  <c r="I36" i="13"/>
  <c r="I37" i="13"/>
  <c r="T13" i="13"/>
  <c r="B13" i="13"/>
  <c r="I100" i="13"/>
  <c r="H49" i="4"/>
  <c r="L6" i="4"/>
  <c r="H7" i="4"/>
  <c r="L10" i="4"/>
  <c r="H10" i="4"/>
  <c r="H13" i="4"/>
  <c r="V2" i="4" s="1"/>
  <c r="H11" i="4"/>
  <c r="K14" i="4"/>
  <c r="H14" i="4"/>
  <c r="I14" i="4" s="1"/>
  <c r="H36" i="4"/>
  <c r="C42" i="4"/>
  <c r="H43" i="4" s="1"/>
  <c r="H15" i="4"/>
  <c r="E15" i="4" s="1"/>
  <c r="J12" i="4"/>
  <c r="E34" i="4"/>
  <c r="W43" i="13"/>
  <c r="O45" i="4"/>
  <c r="Y42" i="13"/>
  <c r="B45" i="4"/>
  <c r="B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A4" i="13"/>
  <c r="V12" i="13"/>
  <c r="I16" i="13"/>
  <c r="C17" i="13"/>
  <c r="L22" i="13"/>
  <c r="L23" i="13"/>
  <c r="B45" i="13"/>
  <c r="V55" i="13"/>
  <c r="N2" i="4"/>
  <c r="R2" i="4"/>
  <c r="X2" i="4"/>
  <c r="AA2" i="4"/>
  <c r="D3" i="4"/>
  <c r="O3" i="4"/>
  <c r="N4" i="4"/>
  <c r="T7" i="4"/>
  <c r="U7" i="4"/>
  <c r="W7" i="4"/>
  <c r="L8" i="4"/>
  <c r="O8" i="4"/>
  <c r="AU9" i="4"/>
  <c r="AU10" i="4"/>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O22" i="4" s="1"/>
  <c r="W39" i="13" s="1"/>
  <c r="C24" i="4"/>
  <c r="Y25" i="4"/>
  <c r="E26" i="4"/>
  <c r="G26" i="4"/>
  <c r="L26" i="4"/>
  <c r="O30" i="4"/>
  <c r="T30" i="4"/>
  <c r="O31" i="4"/>
  <c r="U30" i="4" s="1"/>
  <c r="Q31" i="4"/>
  <c r="E32" i="4"/>
  <c r="W32" i="4"/>
  <c r="E33" i="4"/>
  <c r="C36" i="4"/>
  <c r="B39" i="4"/>
  <c r="U33" i="13"/>
  <c r="B40" i="4"/>
  <c r="Q38" i="4" s="1"/>
  <c r="O39" i="4"/>
  <c r="K41" i="4"/>
  <c r="Q42" i="4"/>
  <c r="T42" i="4"/>
  <c r="W42" i="4"/>
  <c r="Q43" i="4"/>
  <c r="T43" i="4"/>
  <c r="W43" i="4"/>
  <c r="R44" i="4"/>
  <c r="R45" i="4"/>
  <c r="O47" i="4"/>
  <c r="O50" i="4"/>
  <c r="Q50" i="4" s="1"/>
  <c r="U38" i="13"/>
  <c r="O51" i="4"/>
  <c r="U39" i="13"/>
  <c r="Q51" i="4"/>
  <c r="B52" i="4"/>
  <c r="P52" i="4"/>
  <c r="Q52" i="4"/>
  <c r="O53" i="4"/>
  <c r="P53" i="4"/>
  <c r="O54" i="4"/>
  <c r="U41" i="13"/>
  <c r="B55" i="4"/>
  <c r="Q55" i="4"/>
  <c r="B56" i="4"/>
  <c r="R61" i="4"/>
  <c r="H58" i="4"/>
  <c r="M58" i="4"/>
  <c r="O58" i="4"/>
  <c r="T40" i="13"/>
  <c r="D40" i="13"/>
  <c r="H59" i="4"/>
  <c r="M59" i="4"/>
  <c r="O59" i="4"/>
  <c r="U40" i="13"/>
  <c r="M40" i="13"/>
  <c r="Q61" i="4"/>
  <c r="K62" i="4"/>
  <c r="K65" i="4"/>
  <c r="F69" i="4"/>
  <c r="AW46" i="4" s="1"/>
  <c r="R78" i="4"/>
  <c r="R79" i="4"/>
  <c r="S2" i="16"/>
  <c r="Q13" i="16"/>
  <c r="U2" i="16"/>
  <c r="K3" i="16"/>
  <c r="T2" i="16" s="1"/>
  <c r="V2" i="16"/>
  <c r="J3" i="16"/>
  <c r="W2" i="16"/>
  <c r="I3" i="16"/>
  <c r="P3" i="16"/>
  <c r="S3" i="16" s="1"/>
  <c r="Q3" i="16"/>
  <c r="U4" i="16"/>
  <c r="V4" i="16"/>
  <c r="I5" i="16"/>
  <c r="U5" i="16"/>
  <c r="V5" i="16"/>
  <c r="Q6" i="16"/>
  <c r="P6" i="16"/>
  <c r="S6" i="16" s="1"/>
  <c r="X11" i="16"/>
  <c r="L19" i="16"/>
  <c r="B1" i="10"/>
  <c r="A1" i="10" s="1"/>
  <c r="A4" i="10"/>
  <c r="A5" i="10"/>
  <c r="A6" i="10" s="1"/>
  <c r="A7" i="10" s="1"/>
  <c r="A8" i="10" s="1"/>
  <c r="A9" i="10" s="1"/>
  <c r="A10" i="10" s="1"/>
  <c r="A11" i="10" s="1"/>
  <c r="A12" i="10" s="1"/>
  <c r="A13" i="10" s="1"/>
  <c r="A14" i="10" s="1"/>
  <c r="A15" i="10" s="1"/>
  <c r="A16" i="10" s="1"/>
  <c r="I5" i="10"/>
  <c r="I7" i="10" s="1"/>
  <c r="D10" i="10"/>
  <c r="I12" i="10"/>
  <c r="I13" i="10"/>
  <c r="I14" i="10" s="1"/>
  <c r="I15" i="10" s="1"/>
  <c r="I16" i="10" s="1"/>
  <c r="G20" i="10"/>
  <c r="I21" i="10"/>
  <c r="I22" i="10"/>
  <c r="Q23" i="4"/>
  <c r="E29" i="10"/>
  <c r="B52" i="10"/>
  <c r="H3" i="14"/>
  <c r="G3" i="14"/>
  <c r="I3" i="14" s="1"/>
  <c r="IR7" i="14" s="1"/>
  <c r="K5" i="14"/>
  <c r="J5" i="14" s="1"/>
  <c r="I5" i="14"/>
  <c r="H5" i="14"/>
  <c r="C5" i="14" s="1"/>
  <c r="Q5" i="14"/>
  <c r="Q6" i="14"/>
  <c r="Q7" i="14"/>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c r="G8" i="14"/>
  <c r="AM7" i="4" s="1"/>
  <c r="H8" i="14"/>
  <c r="G9" i="14"/>
  <c r="AM8" i="4"/>
  <c r="H9" i="14"/>
  <c r="G10" i="14"/>
  <c r="AM9" i="4"/>
  <c r="H10" i="14"/>
  <c r="G11" i="14"/>
  <c r="AM10" i="4"/>
  <c r="H11" i="14"/>
  <c r="G12" i="14"/>
  <c r="AM11" i="4" s="1"/>
  <c r="H12" i="14"/>
  <c r="G13" i="14"/>
  <c r="AM14" i="4"/>
  <c r="H13" i="14"/>
  <c r="G14" i="14"/>
  <c r="AM12" i="4"/>
  <c r="H14" i="14"/>
  <c r="G15" i="14"/>
  <c r="AM13" i="4"/>
  <c r="H15" i="14"/>
  <c r="G16" i="14"/>
  <c r="AM15" i="4" s="1"/>
  <c r="H16" i="14"/>
  <c r="G17" i="14"/>
  <c r="AM16" i="4"/>
  <c r="H17" i="14"/>
  <c r="G20" i="14"/>
  <c r="I20" i="14" s="1"/>
  <c r="G21" i="14"/>
  <c r="G22" i="14"/>
  <c r="G23" i="14"/>
  <c r="G24" i="14"/>
  <c r="A32" i="14"/>
  <c r="F16" i="13"/>
  <c r="N3" i="4"/>
  <c r="H41" i="4"/>
  <c r="D30" i="13"/>
  <c r="O44" i="4"/>
  <c r="P39" i="4" s="1"/>
  <c r="M2" i="13"/>
  <c r="R95" i="4"/>
  <c r="M22" i="4"/>
  <c r="I56" i="4"/>
  <c r="F34" i="4"/>
  <c r="H32" i="4"/>
  <c r="U42" i="13"/>
  <c r="M39" i="13" s="1"/>
  <c r="M25" i="4"/>
  <c r="H6" i="17" s="1"/>
  <c r="Q56" i="4"/>
  <c r="H26" i="4"/>
  <c r="P25" i="4"/>
  <c r="U34" i="13"/>
  <c r="U32" i="4"/>
  <c r="T32" i="4" s="1"/>
  <c r="O49" i="4"/>
  <c r="G37" i="4"/>
  <c r="I37" i="4"/>
  <c r="F30" i="4"/>
  <c r="D88" i="10"/>
  <c r="I18" i="4"/>
  <c r="M15" i="4"/>
  <c r="AP6" i="4"/>
  <c r="K26" i="4"/>
  <c r="O3" i="16"/>
  <c r="K4" i="4"/>
  <c r="E31" i="4"/>
  <c r="D3" i="10"/>
  <c r="U10" i="16"/>
  <c r="U14" i="16"/>
  <c r="U12" i="16"/>
  <c r="U11" i="16"/>
  <c r="W11" i="16"/>
  <c r="W5" i="16"/>
  <c r="W4" i="16"/>
  <c r="C46" i="13"/>
  <c r="H46" i="13"/>
  <c r="O6" i="16"/>
  <c r="O46" i="4"/>
  <c r="Y43" i="13"/>
  <c r="G36" i="4"/>
  <c r="U1" i="4" s="1"/>
  <c r="H35" i="4"/>
  <c r="L3" i="4"/>
  <c r="F4" i="4"/>
  <c r="F5" i="4"/>
  <c r="D87" i="10"/>
  <c r="P8" i="16"/>
  <c r="H9" i="16" s="1"/>
  <c r="K5" i="4"/>
  <c r="T56" i="4"/>
  <c r="R56" i="4"/>
  <c r="AC56" i="4"/>
  <c r="AB56" i="4" s="1"/>
  <c r="AA56" i="4" s="1"/>
  <c r="Z56" i="4" s="1"/>
  <c r="Y56" i="4" s="1"/>
  <c r="X56" i="4" s="1"/>
  <c r="W56" i="4" s="1"/>
  <c r="U56" i="4" s="1"/>
  <c r="O14" i="16"/>
  <c r="Q33" i="14" l="1"/>
  <c r="Q34" i="14"/>
  <c r="K43" i="4"/>
  <c r="B41" i="4"/>
  <c r="F11" i="17"/>
  <c r="H16" i="17" s="1"/>
  <c r="C21" i="4"/>
  <c r="B21" i="4" s="1"/>
  <c r="C9" i="13"/>
  <c r="M60" i="4"/>
  <c r="Y4" i="13"/>
  <c r="U32" i="13"/>
  <c r="P4" i="16"/>
  <c r="Q4" i="16"/>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I22" i="14"/>
  <c r="AP8" i="4" s="1"/>
  <c r="Q33" i="4"/>
  <c r="Q32" i="4" s="1"/>
  <c r="I33" i="4"/>
  <c r="S2" i="4"/>
  <c r="M8" i="4"/>
  <c r="O16" i="4"/>
  <c r="J14" i="17"/>
  <c r="H2" i="17"/>
  <c r="H13" i="17" s="1"/>
  <c r="H32" i="13"/>
  <c r="H34" i="4"/>
  <c r="U15" i="16"/>
  <c r="U16" i="16"/>
  <c r="U13" i="16"/>
  <c r="I6" i="16" s="1"/>
  <c r="O12" i="16" s="1"/>
  <c r="S1" i="16"/>
  <c r="T1" i="16" s="1"/>
  <c r="H8" i="16" s="1"/>
  <c r="P38" i="4"/>
  <c r="H31" i="4"/>
  <c r="H33" i="4"/>
  <c r="I21" i="14"/>
  <c r="I34" i="4"/>
  <c r="U43" i="13"/>
  <c r="O5" i="4"/>
  <c r="L7" i="4"/>
  <c r="D76" i="10"/>
  <c r="N8" i="4"/>
  <c r="I13" i="4"/>
  <c r="T31" i="4"/>
  <c r="L27" i="4"/>
  <c r="F87" i="10"/>
  <c r="V13" i="13"/>
  <c r="F88" i="10"/>
  <c r="E16" i="17"/>
  <c r="X15" i="4"/>
  <c r="Y15" i="4" s="1"/>
  <c r="R77" i="4" s="1"/>
  <c r="R80" i="4" s="1"/>
  <c r="IR9" i="14"/>
  <c r="K3" i="14"/>
  <c r="L3" i="14" s="1"/>
  <c r="M3" i="14" s="1"/>
  <c r="Q32" i="14" s="1"/>
  <c r="C66" i="4"/>
  <c r="C69" i="4" s="1"/>
  <c r="Y43" i="4" l="1"/>
  <c r="U37" i="13" s="1"/>
  <c r="U36" i="13"/>
  <c r="Q39" i="4"/>
  <c r="Q21" i="4"/>
  <c r="H21" i="4"/>
  <c r="I32" i="4"/>
  <c r="R31" i="4"/>
  <c r="S4" i="16"/>
  <c r="O4" i="16"/>
  <c r="U31" i="4"/>
  <c r="I31" i="4"/>
  <c r="R87" i="4"/>
  <c r="V29" i="4"/>
  <c r="S52" i="4"/>
  <c r="R52" i="4" s="1"/>
  <c r="Q12" i="4"/>
  <c r="W2" i="4"/>
  <c r="Y6" i="4"/>
  <c r="X6" i="4" s="1"/>
  <c r="W6" i="4" s="1"/>
  <c r="U6" i="4" s="1"/>
  <c r="T6" i="4" s="1"/>
  <c r="R6" i="4" s="1"/>
  <c r="Q6" i="4" s="1"/>
  <c r="W57" i="4"/>
  <c r="Y2" i="4"/>
  <c r="R84"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Z2" i="4"/>
  <c r="R83" i="4"/>
  <c r="X7" i="4"/>
  <c r="Q2" i="4"/>
  <c r="Q57" i="4"/>
  <c r="R82" i="4"/>
  <c r="R12" i="4"/>
  <c r="AB43" i="13"/>
  <c r="T47" i="4"/>
  <c r="O2" i="4"/>
  <c r="U49" i="13"/>
  <c r="R90" i="4"/>
  <c r="R89" i="4"/>
  <c r="T57" i="4"/>
  <c r="Q65" i="4"/>
  <c r="Q44" i="4"/>
  <c r="O70" i="4" s="1"/>
  <c r="F70" i="4" s="1"/>
  <c r="R85" i="4"/>
  <c r="R86" i="4"/>
  <c r="O57" i="4"/>
  <c r="AI6" i="4"/>
  <c r="AH6" i="4" s="1"/>
  <c r="AG6" i="4" s="1"/>
  <c r="AF6" i="4" s="1"/>
  <c r="AE6" i="4" s="1"/>
  <c r="AD6" i="4" s="1"/>
  <c r="AC6" i="4" s="1"/>
  <c r="AB6" i="4" s="1"/>
  <c r="AA6" i="4" s="1"/>
  <c r="Z6" i="4" s="1"/>
  <c r="R88" i="4"/>
  <c r="AD42" i="4"/>
  <c r="AA48" i="4"/>
  <c r="Q25" i="4"/>
  <c r="R25" i="4" s="1"/>
  <c r="AP7" i="4"/>
  <c r="I23" i="14"/>
  <c r="AP9" i="4" s="1"/>
  <c r="J3" i="14"/>
  <c r="R20" i="13"/>
  <c r="R19" i="13"/>
  <c r="L24" i="13"/>
  <c r="E16" i="4"/>
  <c r="T2" i="4" l="1"/>
  <c r="K9" i="4" s="1"/>
  <c r="R91" i="4"/>
  <c r="R92" i="4" s="1"/>
  <c r="I24" i="14"/>
  <c r="AP10" i="4" s="1"/>
  <c r="T12" i="4"/>
  <c r="R13" i="13" s="1"/>
  <c r="M13" i="4"/>
  <c r="I29" i="4"/>
  <c r="R57" i="4"/>
  <c r="O56" i="4" s="1"/>
  <c r="W49" i="13" s="1"/>
  <c r="J9" i="16"/>
  <c r="AE25" i="4"/>
  <c r="X48" i="4"/>
  <c r="AC25" i="4"/>
  <c r="Q54" i="4"/>
  <c r="U62" i="4"/>
  <c r="R50" i="4"/>
  <c r="O6" i="4"/>
  <c r="U57" i="4"/>
  <c r="U25" i="4" s="1"/>
  <c r="Q48" i="4"/>
  <c r="I52" i="4"/>
  <c r="O15" i="4"/>
  <c r="Q15" i="4" s="1"/>
  <c r="K15" i="4" s="1"/>
  <c r="I53" i="4"/>
  <c r="R23" i="4"/>
  <c r="T23" i="4" s="1"/>
  <c r="U23" i="4" s="1"/>
  <c r="G24" i="4" s="1"/>
  <c r="Z48" i="4"/>
  <c r="AB37" i="13"/>
  <c r="Q49" i="4"/>
  <c r="AA35" i="13"/>
  <c r="K47" i="4"/>
  <c r="O8" i="16"/>
  <c r="O9" i="16" s="1"/>
  <c r="I3" i="4"/>
  <c r="N11" i="16"/>
  <c r="U18" i="16"/>
  <c r="U2" i="4" l="1"/>
  <c r="P12" i="13" s="1"/>
  <c r="Y48" i="4"/>
  <c r="N33" i="4" s="1"/>
  <c r="R49" i="4"/>
  <c r="AA37" i="13"/>
  <c r="I49" i="4"/>
  <c r="N66" i="4"/>
  <c r="AB42" i="4"/>
  <c r="P7" i="13"/>
  <c r="M42" i="4"/>
  <c r="R48" i="4"/>
  <c r="K48" i="4"/>
  <c r="U46" i="4"/>
  <c r="Q46" i="4" s="1"/>
  <c r="R46" i="4" s="1"/>
  <c r="T46" i="4" s="1"/>
  <c r="AA43" i="13" s="1"/>
  <c r="T48" i="4"/>
  <c r="W34" i="13" s="1"/>
  <c r="W25" i="4"/>
  <c r="AA25" i="4"/>
  <c r="T29" i="4"/>
  <c r="Q29" i="4"/>
  <c r="R29" i="4" s="1"/>
  <c r="W33" i="13" s="1"/>
  <c r="H46" i="4"/>
  <c r="R36" i="4"/>
  <c r="N16" i="4"/>
  <c r="I16" i="4" s="1"/>
  <c r="O11" i="4"/>
  <c r="Q7" i="4"/>
  <c r="M40" i="4" l="1"/>
  <c r="AC42" i="4"/>
  <c r="Y49" i="4"/>
  <c r="N17" i="4"/>
  <c r="Z49" i="4"/>
  <c r="X43" i="4" s="1"/>
  <c r="R15" i="4"/>
  <c r="M29" i="4" s="1"/>
  <c r="H5" i="17" s="1"/>
  <c r="H17" i="17" s="1"/>
  <c r="W8" i="4"/>
  <c r="Z25" i="4"/>
  <c r="I26" i="4" s="1"/>
  <c r="Z32" i="13"/>
  <c r="AB25" i="4"/>
  <c r="AD25" i="4"/>
  <c r="L25" i="4" s="1"/>
  <c r="W32" i="13"/>
  <c r="D41" i="4"/>
  <c r="F27" i="4"/>
  <c r="I36" i="4"/>
  <c r="R37" i="4"/>
  <c r="P5" i="4"/>
  <c r="M49" i="4" l="1"/>
  <c r="X42" i="4"/>
  <c r="H42" i="4" s="1"/>
  <c r="H8" i="17"/>
  <c r="C6" i="17"/>
  <c r="F41" i="4"/>
  <c r="F43" i="4"/>
  <c r="Z28" i="4"/>
  <c r="I28" i="4"/>
  <c r="O26" i="4"/>
  <c r="AH43" i="4"/>
  <c r="AH42" i="4"/>
  <c r="X25" i="4"/>
  <c r="Y37" i="13"/>
  <c r="H44" i="4"/>
  <c r="R94" i="4"/>
  <c r="C1" i="4"/>
  <c r="M19" i="4"/>
  <c r="F57" i="4"/>
  <c r="M48" i="4"/>
  <c r="M54" i="4"/>
  <c r="R97" i="4" s="1"/>
  <c r="M50" i="4"/>
  <c r="M53" i="4"/>
  <c r="M51" i="4"/>
  <c r="M57" i="4"/>
  <c r="Y35" i="13" l="1"/>
  <c r="O52" i="4"/>
  <c r="W36" i="13" s="1"/>
  <c r="Q53" i="4"/>
  <c r="R53" i="4" s="1"/>
  <c r="Z42" i="4"/>
  <c r="Z43" i="4"/>
  <c r="C7" i="17"/>
  <c r="C9" i="17" s="1"/>
  <c r="C10" i="17" s="1"/>
  <c r="R22" i="13" s="1"/>
  <c r="R18" i="13"/>
  <c r="A8" i="17"/>
  <c r="D6" i="17"/>
  <c r="M20" i="4"/>
  <c r="M21" i="4"/>
  <c r="M23" i="4" s="1"/>
  <c r="M39" i="4"/>
  <c r="R96" i="4" s="1"/>
  <c r="M44" i="4"/>
  <c r="M46" i="4"/>
  <c r="R98" i="4" s="1"/>
  <c r="M56" i="4"/>
  <c r="AG43" i="4"/>
  <c r="AF43" i="4" s="1"/>
  <c r="AE43" i="4" s="1"/>
  <c r="AG42" i="4"/>
  <c r="AF42" i="4" s="1"/>
  <c r="AE42" i="4" s="1"/>
  <c r="Y42" i="4" s="1"/>
  <c r="U35" i="13" s="1"/>
  <c r="H7" i="17"/>
  <c r="H4" i="17" s="1"/>
  <c r="H3" i="17" s="1"/>
  <c r="F3" i="17" s="1"/>
  <c r="C11" i="17" l="1"/>
  <c r="H18" i="17" s="1"/>
  <c r="M24" i="4"/>
  <c r="O24" i="4" s="1"/>
  <c r="K44" i="4"/>
  <c r="W37" i="13"/>
  <c r="M43" i="4"/>
  <c r="P23" i="4"/>
  <c r="W38" i="13" s="1"/>
  <c r="I23" i="4"/>
  <c r="Z4" i="13"/>
  <c r="K42" i="4"/>
  <c r="W35" i="13"/>
  <c r="F7" i="17"/>
  <c r="C60" i="13" s="1"/>
  <c r="R21" i="13"/>
  <c r="R23" i="13" s="1"/>
  <c r="M35" i="4" l="1"/>
  <c r="M36" i="4" s="1"/>
  <c r="M37" i="4" l="1"/>
  <c r="O36" i="4" s="1"/>
  <c r="W41" i="13" s="1"/>
  <c r="X4" i="13"/>
  <c r="X49" i="13"/>
  <c r="O38" i="4"/>
  <c r="M38" i="4"/>
  <c r="M61" i="4" s="1"/>
  <c r="Z22" i="4"/>
  <c r="Z23" i="4" s="1"/>
  <c r="K38" i="13" l="1"/>
  <c r="D36" i="13" s="1"/>
  <c r="W4" i="13"/>
  <c r="M1" i="13" s="1"/>
  <c r="K61" i="4"/>
  <c r="K56" i="4" s="1"/>
  <c r="M62" i="4"/>
  <c r="O61" i="4"/>
  <c r="M64" i="4"/>
  <c r="M65" i="4" l="1"/>
  <c r="M6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4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<sst xmlns="http://schemas.openxmlformats.org/spreadsheetml/2006/main" count="903" uniqueCount="557">
  <si>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</si>
  <si>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</si>
  <si>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</si>
  <si>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</si>
  <si>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</si>
  <si>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</si>
  <si>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</si>
  <si>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</si>
  <si>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</si>
  <si>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</si>
  <si>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</si>
  <si>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</si>
  <si>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</si>
  <si>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</si>
  <si>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</si>
  <si>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</si>
  <si>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</si>
  <si>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</si>
  <si>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</si>
  <si>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</si>
  <si>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</si>
  <si>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</si>
  <si>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</si>
  <si>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</si>
  <si>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</si>
  <si>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</si>
  <si>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</si>
  <si>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</si>
  <si>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</si>
  <si>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</si>
  <si>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</si>
  <si>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</si>
  <si>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</si>
  <si>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</si>
  <si>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</si>
  <si>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</si>
  <si>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</si>
  <si>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</si>
  <si>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</si>
  <si>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</si>
  <si>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</si>
  <si>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</si>
  <si>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</si>
  <si>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</si>
  <si>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</si>
  <si>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</si>
  <si>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</si>
  <si>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</si>
  <si>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</si>
  <si>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</si>
  <si>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</si>
  <si>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</si>
  <si>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</si>
  <si>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</si>
  <si>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</si>
  <si>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</si>
  <si>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</si>
  <si>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</si>
  <si>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</si>
  <si>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</si>
  <si>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</si>
  <si>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</si>
  <si>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</si>
  <si>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</si>
  <si>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</si>
  <si>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</si>
  <si>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</si>
  <si>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</si>
  <si>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</si>
  <si>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</si>
  <si>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</si>
  <si>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</si>
  <si>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</si>
  <si>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</si>
  <si>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</si>
  <si>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</si>
  <si>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</si>
  <si>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</si>
  <si>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</si>
  <si>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</si>
  <si>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</si>
  <si>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</si>
  <si>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</si>
  <si>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</si>
  <si>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</si>
  <si>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</si>
  <si>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</si>
  <si>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</si>
  <si>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</si>
  <si>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</si>
  <si>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</si>
  <si>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</si>
  <si>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</si>
  <si>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</si>
  <si>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</si>
  <si>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</si>
  <si>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</si>
  <si>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</si>
  <si>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</si>
  <si>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</si>
  <si>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</si>
  <si>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</si>
  <si>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</si>
  <si>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</si>
  <si>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</si>
  <si>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</si>
  <si>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</si>
  <si>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</si>
  <si>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</si>
  <si>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</si>
  <si>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</si>
  <si>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</si>
  <si>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</si>
  <si>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</si>
  <si>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</si>
  <si>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</si>
  <si>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</si>
  <si>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</si>
  <si>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</si>
  <si>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</si>
  <si>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</si>
  <si>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</si>
  <si>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</si>
  <si>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</si>
  <si>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</si>
  <si>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</si>
  <si>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</si>
  <si>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</si>
  <si>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</si>
  <si>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</si>
  <si>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</si>
  <si>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</si>
  <si>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</si>
  <si>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</si>
  <si>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</si>
  <si>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</si>
  <si>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</si>
  <si>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</si>
  <si>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</si>
  <si>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</si>
  <si>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</si>
  <si>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</si>
  <si>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</si>
  <si>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</si>
  <si>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</si>
  <si>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</si>
  <si>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</si>
  <si>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</si>
  <si>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</si>
  <si>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</si>
  <si>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</si>
  <si>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</si>
  <si>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</si>
  <si>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</si>
  <si>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</si>
  <si>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</si>
  <si>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</si>
  <si>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</si>
  <si>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</si>
  <si>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</si>
  <si>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</si>
  <si>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</si>
  <si>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</si>
  <si>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</si>
  <si>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</si>
  <si>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</si>
  <si>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</si>
  <si>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</si>
  <si>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</si>
  <si>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</si>
  <si>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</si>
  <si>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</si>
  <si>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</si>
  <si>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</si>
  <si>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</si>
  <si>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</si>
  <si>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</si>
  <si>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</si>
  <si>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</si>
  <si>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</si>
  <si>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</si>
  <si>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</si>
  <si>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</si>
  <si>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</si>
  <si>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</si>
  <si>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</si>
  <si>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</si>
  <si>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</si>
  <si>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</si>
  <si>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</si>
  <si>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</si>
  <si>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</si>
  <si>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</si>
  <si>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</si>
  <si>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</si>
  <si>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</si>
  <si>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</si>
  <si>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</si>
  <si>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</si>
  <si>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</si>
  <si>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</si>
  <si>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</si>
  <si>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</si>
  <si>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</si>
  <si>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</si>
  <si>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</si>
  <si>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</si>
  <si>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</si>
  <si>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</si>
  <si>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</si>
  <si>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</si>
  <si>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</si>
  <si>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</si>
  <si>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</si>
  <si>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</si>
  <si>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</si>
  <si>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</si>
  <si>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</si>
  <si>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</si>
  <si>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</si>
  <si>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</si>
  <si>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</si>
  <si>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</si>
  <si>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</si>
  <si>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</si>
  <si>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</si>
  <si>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</si>
  <si>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</si>
  <si>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</si>
  <si>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</si>
  <si>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</si>
  <si>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</si>
  <si>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</si>
  <si>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</si>
  <si>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</si>
  <si>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</si>
  <si>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</si>
  <si>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</si>
  <si>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</si>
  <si>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</si>
  <si>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</si>
  <si>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</si>
  <si>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</si>
  <si>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</si>
  <si>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</si>
  <si>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</si>
  <si>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</si>
  <si>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</si>
  <si>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</si>
  <si>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</si>
  <si>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</si>
  <si>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</si>
  <si>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</si>
  <si>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</si>
  <si>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</si>
  <si>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</si>
  <si>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</si>
  <si>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</si>
  <si>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</si>
  <si>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</si>
  <si>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</si>
  <si>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</si>
  <si>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</si>
  <si>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</si>
  <si>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</si>
  <si>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</si>
  <si>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</si>
  <si>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</si>
  <si>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</si>
  <si>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</si>
  <si>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</si>
  <si>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</si>
  <si>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</si>
  <si>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</si>
  <si>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</si>
  <si>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</si>
  <si>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</si>
  <si>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</si>
  <si>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</si>
  <si>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</si>
  <si>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</si>
  <si>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</si>
  <si>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</si>
  <si>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</si>
  <si>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</si>
  <si>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</si>
  <si>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</si>
  <si>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</si>
  <si>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</si>
  <si>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</si>
  <si>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</si>
  <si>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</si>
  <si>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</si>
  <si>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</si>
  <si>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</si>
  <si>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</si>
  <si>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</si>
  <si>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</si>
  <si>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</si>
  <si>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</si>
  <si>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</si>
  <si>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</si>
  <si>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</si>
  <si>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</si>
  <si>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</si>
  <si>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</si>
  <si>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</si>
  <si>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</si>
  <si>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</si>
  <si>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</si>
  <si>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</si>
  <si>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</si>
  <si>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</si>
  <si>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</si>
  <si>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</si>
  <si>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</si>
  <si>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</si>
  <si>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</si>
  <si>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</si>
  <si>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</si>
  <si>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</si>
  <si>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</si>
  <si>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</si>
  <si>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</si>
  <si>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</si>
  <si>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</si>
  <si>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</si>
  <si>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</si>
  <si>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</si>
  <si>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</si>
  <si>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</si>
  <si>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</si>
  <si>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</si>
  <si>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</si>
  <si>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</si>
  <si>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</si>
  <si>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</si>
  <si>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</si>
  <si>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</si>
  <si>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</si>
  <si>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</si>
  <si>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</si>
  <si>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</si>
  <si>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</si>
  <si>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</si>
  <si>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</si>
  <si>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</si>
  <si>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</si>
  <si>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</si>
  <si>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</si>
  <si>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</si>
  <si>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</si>
  <si>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</si>
  <si>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</si>
  <si>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</si>
  <si>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</si>
  <si>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</si>
  <si>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</si>
  <si>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</si>
  <si>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</si>
  <si>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</si>
  <si>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</si>
  <si>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</si>
  <si>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</si>
  <si>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</si>
  <si>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</si>
  <si>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</si>
  <si>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</si>
  <si>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</si>
  <si>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</si>
  <si>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</si>
  <si>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</si>
  <si>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</si>
  <si>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</si>
  <si>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</si>
  <si>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</si>
  <si>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</si>
  <si>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</si>
  <si>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</si>
  <si>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</si>
  <si>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</si>
  <si>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</si>
  <si>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</si>
  <si>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</si>
  <si>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</si>
  <si>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</si>
  <si>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</si>
  <si>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</si>
  <si>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</si>
  <si>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</si>
  <si>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</si>
  <si>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</si>
  <si>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</si>
  <si>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</si>
  <si>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</si>
  <si>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</si>
  <si>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</si>
  <si>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</si>
  <si>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</si>
  <si>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</si>
  <si>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</si>
  <si>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</si>
  <si>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</si>
  <si>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</si>
  <si>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</si>
  <si>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</si>
  <si>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</si>
  <si>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</si>
  <si>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</si>
  <si>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</si>
  <si>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</si>
  <si>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</si>
  <si>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</si>
  <si>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</si>
  <si>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</si>
  <si>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</si>
  <si>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</si>
  <si>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</si>
  <si>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</si>
  <si>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</si>
  <si>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</si>
  <si>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</si>
  <si>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</si>
  <si>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</si>
  <si>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</si>
  <si>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</si>
  <si>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</si>
  <si>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</si>
  <si>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</si>
  <si>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</si>
  <si>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</si>
  <si>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</si>
  <si>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</si>
  <si>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</si>
  <si>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</si>
  <si>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</si>
  <si>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</si>
  <si>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</si>
  <si>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</si>
  <si>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</si>
  <si>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</si>
  <si>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</si>
  <si>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</si>
  <si>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</si>
  <si>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</si>
  <si>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</si>
  <si>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</si>
  <si>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</si>
  <si>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</si>
  <si>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</si>
  <si>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</si>
  <si>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</si>
  <si>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</si>
  <si>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</si>
  <si>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</si>
  <si>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</si>
  <si>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</si>
  <si>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</si>
  <si>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</si>
  <si>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</si>
  <si>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</si>
  <si>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</si>
  <si>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</si>
  <si>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</si>
  <si>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</si>
  <si>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</si>
  <si>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</si>
  <si>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</si>
  <si>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</si>
  <si>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</si>
  <si>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</si>
  <si>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</si>
  <si>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</si>
  <si>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</si>
  <si>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</si>
  <si>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</si>
  <si>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</si>
  <si>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</si>
  <si>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</si>
  <si>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</si>
  <si>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</si>
  <si>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</si>
  <si>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</si>
  <si>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</si>
  <si>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</si>
  <si>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</si>
  <si>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</si>
  <si>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</si>
  <si>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</si>
  <si>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</si>
  <si>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</si>
  <si>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</si>
  <si>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</si>
  <si>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</si>
  <si>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</si>
  <si>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</si>
  <si>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</si>
  <si>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</si>
  <si>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</si>
  <si>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</si>
  <si>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</si>
  <si>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</si>
  <si>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</si>
  <si>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</si>
  <si>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</si>
  <si>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</si>
  <si>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</si>
  <si>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</si>
  <si>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</si>
  <si>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</si>
  <si>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</si>
  <si>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</si>
  <si>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</si>
  <si>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</si>
  <si>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</si>
  <si>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</si>
  <si>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</si>
  <si>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</si>
  <si>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</si>
  <si>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</si>
  <si>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</si>
  <si>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</si>
  <si>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</si>
  <si>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</si>
  <si>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</si>
  <si>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</si>
  <si>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</si>
  <si>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</si>
  <si>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</si>
  <si>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</si>
  <si>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</si>
  <si>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Rs.1,000/-</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</si>
  <si>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</si>
  <si>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</si>
  <si>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</si>
  <si>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</si>
  <si>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</si>
  <si>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</si>
  <si>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</si>
  <si>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</si>
  <si>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</si>
  <si>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</si>
  <si>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</si>
  <si>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</si>
  <si>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</si>
  <si>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</si>
  <si>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</si>
  <si>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</si>
  <si>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</si>
  <si>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</si>
  <si>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</si>
  <si>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t>ORIENT FINANCE</t>
  </si>
  <si>
    <t>SSCL</t>
  </si>
  <si>
    <t>MD Cover</t>
  </si>
  <si>
    <t>Personal Accident Cover (Driver)</t>
  </si>
  <si>
    <t>Malicious Damage Extension</t>
  </si>
  <si>
    <t>Comprehensive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</si>
</sst>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000%"/>
  </numFmts>
  <fonts count="239"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b/>
      <sz val="12"/>
      <color rgb="FFFF000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u/>
      <sz val="10"/>
      <color rgb="FFC00000"/>
      <name val="Arial"/>
      <family val="2"/>
    </font>
    <font>
      <b/>
      <sz val="14"/>
      <color rgb="FFFF0000"/>
      <name val="Tahoma"/>
      <family val="2"/>
    </font>
    <font>
      <b/>
      <sz val="14"/>
      <color theme="1"/>
      <name val="Tahoma"/>
      <family val="2"/>
    </font>
    <font>
      <b/>
      <sz val="14"/>
      <color rgb="FF0070C0"/>
      <name val="Tahoma"/>
      <family val="2"/>
    </font>
    <font>
      <b/>
      <sz val="11"/>
      <color theme="1"/>
      <name val="Tahoma"/>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FFCC66"/>
        <bgColor indexed="64"/>
      </patternFill>
    </fill>
  </fills>
  <borders count="169">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style="double">
        <color indexed="18"/>
      </left>
      <right style="thin">
        <color indexed="18"/>
      </right>
      <top style="thin">
        <color indexed="18"/>
      </top>
      <bottom style="thin">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rgb="FF003300"/>
      </right>
      <top/>
      <bottom/>
      <diagonal/>
    </border>
    <border>
      <left style="medium">
        <color rgb="FFFF0000"/>
      </left>
      <right style="medium">
        <color rgb="FFFF0000"/>
      </right>
      <top style="medium">
        <color rgb="FFFF0000"/>
      </top>
      <bottom style="medium">
        <color rgb="FFFF0000"/>
      </bottom>
      <diagonal/>
    </border>
  </borders>
  <cellStyleXfs count="5">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cellStyleXfs>
  <cellXfs count="958">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2" applyFont="1" applyFill="1" applyBorder="1" applyAlignment="1" applyProtection="1">
      <alignment horizontal="center" vertical="center"/>
      <protection hidden="1"/>
    </xf>
    <xf numFmtId="0" fontId="73" fillId="12" borderId="52" xfId="2"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2"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4"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5" fillId="2" borderId="0" xfId="0" applyNumberFormat="1" applyFont="1" applyFill="1" applyBorder="1" applyAlignment="1" applyProtection="1">
      <alignment horizontal="center"/>
      <protection hidden="1"/>
    </xf>
    <xf numFmtId="2" fontId="196" fillId="11" borderId="0" xfId="0" applyNumberFormat="1" applyFont="1" applyFill="1" applyBorder="1" applyAlignment="1" applyProtection="1">
      <alignment horizontal="center"/>
      <protection hidden="1"/>
    </xf>
    <xf numFmtId="0" fontId="196" fillId="11" borderId="0" xfId="0" applyFont="1" applyFill="1" applyProtection="1">
      <protection hidden="1"/>
    </xf>
    <xf numFmtId="0" fontId="197" fillId="11" borderId="0" xfId="0" applyFont="1" applyFill="1" applyProtection="1">
      <protection hidden="1"/>
    </xf>
    <xf numFmtId="1" fontId="198" fillId="11" borderId="0" xfId="0" applyNumberFormat="1" applyFont="1" applyFill="1" applyBorder="1" applyProtection="1">
      <protection hidden="1"/>
    </xf>
    <xf numFmtId="43" fontId="196"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199"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6" fillId="17" borderId="75" xfId="0" applyFont="1" applyFill="1" applyBorder="1" applyAlignment="1" applyProtection="1">
      <alignment horizontal="center"/>
      <protection hidden="1"/>
    </xf>
    <xf numFmtId="4" fontId="197" fillId="17" borderId="92" xfId="0" applyNumberFormat="1" applyFont="1" applyFill="1" applyBorder="1" applyProtection="1">
      <protection hidden="1"/>
    </xf>
    <xf numFmtId="0" fontId="6" fillId="2" borderId="0" xfId="0" applyFont="1" applyFill="1" applyProtection="1">
      <protection hidden="1"/>
    </xf>
    <xf numFmtId="0" fontId="196"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0" fillId="11" borderId="0" xfId="0" applyFont="1" applyFill="1" applyProtection="1">
      <protection hidden="1"/>
    </xf>
    <xf numFmtId="0" fontId="201" fillId="11" borderId="0" xfId="0" applyFont="1" applyFill="1" applyProtection="1">
      <protection hidden="1"/>
    </xf>
    <xf numFmtId="0" fontId="202" fillId="11" borderId="0" xfId="0" applyFont="1" applyFill="1" applyProtection="1">
      <protection hidden="1"/>
    </xf>
    <xf numFmtId="1" fontId="196" fillId="11" borderId="0" xfId="0" applyNumberFormat="1" applyFont="1" applyFill="1" applyProtection="1">
      <protection hidden="1"/>
    </xf>
    <xf numFmtId="3" fontId="196" fillId="11" borderId="0" xfId="0" applyNumberFormat="1" applyFont="1" applyFill="1" applyProtection="1">
      <protection hidden="1"/>
    </xf>
    <xf numFmtId="1" fontId="197"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3" fillId="11" borderId="0" xfId="0" applyFont="1" applyFill="1" applyProtection="1">
      <protection hidden="1"/>
    </xf>
    <xf numFmtId="0" fontId="204" fillId="11" borderId="0" xfId="0" applyFont="1" applyFill="1" applyAlignment="1" applyProtection="1">
      <alignment horizontal="left"/>
      <protection hidden="1"/>
    </xf>
    <xf numFmtId="164" fontId="197" fillId="11" borderId="0" xfId="1" applyFont="1" applyFill="1" applyProtection="1">
      <protection hidden="1"/>
    </xf>
    <xf numFmtId="0" fontId="205"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6" fillId="11" borderId="0" xfId="0" applyNumberFormat="1" applyFont="1" applyFill="1" applyBorder="1" applyAlignment="1" applyProtection="1">
      <alignment horizontal="left"/>
      <protection hidden="1"/>
    </xf>
    <xf numFmtId="175" fontId="196" fillId="11" borderId="0" xfId="0" applyNumberFormat="1" applyFont="1" applyFill="1" applyBorder="1" applyAlignment="1" applyProtection="1">
      <alignment horizontal="left"/>
      <protection hidden="1"/>
    </xf>
    <xf numFmtId="2" fontId="206" fillId="16" borderId="93" xfId="0" applyNumberFormat="1" applyFont="1" applyFill="1" applyBorder="1" applyAlignment="1" applyProtection="1">
      <alignment horizontal="right"/>
      <protection hidden="1"/>
    </xf>
    <xf numFmtId="2" fontId="207"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8"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09"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3" applyBorder="1" applyProtection="1">
      <protection hidden="1"/>
    </xf>
    <xf numFmtId="0" fontId="11" fillId="0" borderId="48" xfId="3" applyFont="1" applyBorder="1" applyProtection="1">
      <protection hidden="1"/>
    </xf>
    <xf numFmtId="0" fontId="51" fillId="0" borderId="48" xfId="3" applyFont="1" applyBorder="1" applyProtection="1">
      <protection hidden="1"/>
    </xf>
    <xf numFmtId="172" fontId="11" fillId="0" borderId="48" xfId="3" applyNumberFormat="1" applyFont="1" applyBorder="1" applyAlignment="1" applyProtection="1">
      <alignment horizontal="right"/>
      <protection hidden="1"/>
    </xf>
    <xf numFmtId="0" fontId="11" fillId="0" borderId="48" xfId="3" applyFont="1" applyBorder="1" applyAlignment="1" applyProtection="1">
      <alignment horizontal="left"/>
      <protection hidden="1"/>
    </xf>
    <xf numFmtId="172" fontId="11" fillId="0" borderId="48" xfId="3" applyNumberFormat="1" applyFont="1" applyBorder="1" applyAlignment="1" applyProtection="1">
      <alignment horizontal="center"/>
      <protection hidden="1"/>
    </xf>
    <xf numFmtId="0" fontId="81" fillId="0" borderId="48" xfId="3" applyFont="1" applyBorder="1" applyAlignment="1" applyProtection="1">
      <alignment horizontal="right"/>
      <protection hidden="1"/>
    </xf>
    <xf numFmtId="0" fontId="189" fillId="0" borderId="49" xfId="3"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0"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7"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1" fillId="0" borderId="62" xfId="0" applyFont="1" applyFill="1" applyBorder="1" applyProtection="1">
      <protection hidden="1"/>
    </xf>
    <xf numFmtId="0" fontId="211"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2" fillId="0" borderId="45" xfId="0" applyNumberFormat="1" applyFont="1" applyFill="1" applyBorder="1" applyAlignment="1" applyProtection="1">
      <alignment horizontal="center"/>
      <protection hidden="1"/>
    </xf>
    <xf numFmtId="4" fontId="213" fillId="0" borderId="0" xfId="0" applyNumberFormat="1" applyFont="1" applyFill="1" applyBorder="1" applyProtection="1">
      <protection hidden="1"/>
    </xf>
    <xf numFmtId="164" fontId="214"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6" fillId="17" borderId="0" xfId="0" applyFont="1" applyFill="1" applyProtection="1">
      <protection hidden="1"/>
    </xf>
    <xf numFmtId="0" fontId="196"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5" fillId="11" borderId="0" xfId="0" applyFont="1" applyFill="1" applyAlignment="1" applyProtection="1">
      <alignment horizontal="center" vertical="center"/>
      <protection hidden="1"/>
    </xf>
    <xf numFmtId="0" fontId="216" fillId="18" borderId="95" xfId="0" applyFont="1" applyFill="1" applyBorder="1" applyAlignment="1" applyProtection="1">
      <alignment horizontal="left" vertical="center"/>
      <protection locked="0"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6"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7" xfId="0" applyFont="1" applyFill="1" applyBorder="1" applyAlignment="1" applyProtection="1">
      <alignment horizontal="center"/>
      <protection hidden="1"/>
    </xf>
    <xf numFmtId="0" fontId="45" fillId="3" borderId="98"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9"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100"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1"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1"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2"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2"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3"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4"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0"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3" fillId="17" borderId="0" xfId="0" applyFont="1" applyFill="1" applyAlignment="1" applyProtection="1">
      <alignment horizontal="left"/>
      <protection hidden="1"/>
    </xf>
    <xf numFmtId="0" fontId="203"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95" xfId="0" applyFont="1" applyFill="1" applyBorder="1" applyAlignment="1" applyProtection="1">
      <alignment horizontal="center" vertical="center"/>
      <protection hidden="1"/>
    </xf>
    <xf numFmtId="4" fontId="211"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56" fillId="2" borderId="0" xfId="0" applyFont="1" applyFill="1" applyBorder="1" applyAlignment="1" applyProtection="1">
      <alignment vertical="top" wrapText="1"/>
      <protection hidden="1"/>
    </xf>
    <xf numFmtId="0" fontId="115" fillId="2" borderId="0" xfId="3" applyFont="1" applyFill="1" applyBorder="1" applyAlignment="1" applyProtection="1">
      <alignment vertical="center"/>
      <protection hidden="1"/>
    </xf>
    <xf numFmtId="0" fontId="56" fillId="2" borderId="0" xfId="3" applyFont="1" applyFill="1" applyBorder="1" applyAlignment="1" applyProtection="1">
      <alignment vertical="top"/>
      <protection hidden="1"/>
    </xf>
    <xf numFmtId="0" fontId="56" fillId="2" borderId="0" xfId="3" applyFont="1" applyFill="1" applyBorder="1" applyAlignment="1" applyProtection="1">
      <protection hidden="1"/>
    </xf>
    <xf numFmtId="0" fontId="46" fillId="2" borderId="0" xfId="3" applyFont="1" applyFill="1" applyBorder="1" applyAlignment="1" applyProtection="1">
      <alignment vertical="center"/>
      <protection hidden="1"/>
    </xf>
    <xf numFmtId="0" fontId="46" fillId="2" borderId="0" xfId="3" applyFont="1" applyFill="1" applyBorder="1" applyAlignment="1" applyProtection="1">
      <alignment vertical="top"/>
      <protection hidden="1"/>
    </xf>
    <xf numFmtId="0" fontId="46" fillId="2" borderId="0" xfId="3"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3" fillId="21" borderId="0" xfId="0" applyFont="1" applyFill="1" applyAlignment="1">
      <alignment vertical="center"/>
    </xf>
    <xf numFmtId="43" fontId="0" fillId="22" borderId="0" xfId="0" applyNumberFormat="1" applyFill="1" applyAlignment="1">
      <alignment vertical="center"/>
    </xf>
    <xf numFmtId="10" fontId="1" fillId="0" borderId="0" xfId="4"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178" fontId="8" fillId="24" borderId="106" xfId="1" applyNumberFormat="1" applyFont="1" applyFill="1" applyBorder="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5"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3" fillId="26" borderId="0" xfId="0" applyNumberFormat="1" applyFont="1" applyFill="1" applyAlignment="1">
      <alignment vertical="center"/>
    </xf>
    <xf numFmtId="43" fontId="203" fillId="27" borderId="0" xfId="0" applyNumberFormat="1" applyFont="1" applyFill="1" applyAlignment="1">
      <alignment vertical="center"/>
    </xf>
    <xf numFmtId="0" fontId="233" fillId="18" borderId="0" xfId="0" applyFont="1" applyFill="1" applyAlignment="1">
      <alignment horizontal="center" vertical="center"/>
    </xf>
    <xf numFmtId="0" fontId="216" fillId="18" borderId="95" xfId="0" applyFont="1" applyFill="1" applyBorder="1" applyAlignment="1" applyProtection="1">
      <alignment horizontal="left" vertical="center"/>
      <protection hidden="1"/>
    </xf>
    <xf numFmtId="164" fontId="194" fillId="22" borderId="0" xfId="1" applyFont="1" applyFill="1"/>
    <xf numFmtId="166" fontId="6" fillId="16" borderId="106" xfId="4" applyNumberFormat="1" applyFont="1" applyFill="1" applyBorder="1" applyAlignment="1">
      <alignment vertical="center"/>
    </xf>
    <xf numFmtId="179" fontId="1" fillId="0" borderId="0" xfId="4" applyNumberFormat="1" applyAlignment="1">
      <alignment vertical="center"/>
    </xf>
    <xf numFmtId="0" fontId="234" fillId="0" borderId="0" xfId="0" applyFont="1" applyAlignment="1">
      <alignment horizontal="left" vertical="center"/>
    </xf>
    <xf numFmtId="14" fontId="56" fillId="0" borderId="0" xfId="0" applyNumberFormat="1" applyFont="1" applyProtection="1">
      <protection hidden="1"/>
    </xf>
    <xf numFmtId="0" fontId="48" fillId="28" borderId="7" xfId="0" applyFont="1" applyFill="1" applyBorder="1" applyAlignment="1" applyProtection="1">
      <alignment horizontal="center" wrapText="1"/>
      <protection locked="0" hidden="1"/>
    </xf>
    <xf numFmtId="165" fontId="8" fillId="18" borderId="106" xfId="1" applyNumberFormat="1" applyFont="1" applyFill="1" applyBorder="1" applyAlignment="1" applyProtection="1">
      <alignment vertical="center"/>
      <protection hidden="1"/>
    </xf>
    <xf numFmtId="0" fontId="7" fillId="0" borderId="106" xfId="0" applyFont="1" applyBorder="1" applyAlignment="1">
      <alignment vertical="center"/>
    </xf>
    <xf numFmtId="167" fontId="0" fillId="0" borderId="0" xfId="4" applyNumberFormat="1" applyFont="1" applyAlignment="1">
      <alignment vertical="center"/>
    </xf>
    <xf numFmtId="0" fontId="55" fillId="2" borderId="0" xfId="0" applyNumberFormat="1" applyFont="1" applyFill="1" applyBorder="1" applyProtection="1">
      <protection hidden="1"/>
    </xf>
    <xf numFmtId="43" fontId="12" fillId="2" borderId="0" xfId="0" applyNumberFormat="1" applyFont="1" applyFill="1" applyBorder="1" applyProtection="1">
      <protection hidden="1"/>
    </xf>
    <xf numFmtId="43" fontId="7" fillId="2" borderId="0" xfId="0" applyNumberFormat="1" applyFont="1" applyFill="1" applyBorder="1" applyProtection="1">
      <protection hidden="1"/>
    </xf>
    <xf numFmtId="14" fontId="0" fillId="0" borderId="0" xfId="0" applyNumberFormat="1" applyAlignment="1">
      <alignment vertical="center"/>
    </xf>
    <xf numFmtId="0" fontId="203" fillId="21" borderId="168" xfId="0" applyFont="1" applyFill="1" applyBorder="1" applyAlignment="1">
      <alignment vertical="center"/>
    </xf>
    <xf numFmtId="164" fontId="228" fillId="27" borderId="0" xfId="0" applyNumberFormat="1" applyFont="1" applyFill="1" applyBorder="1" applyProtection="1">
      <protection hidden="1"/>
    </xf>
    <xf numFmtId="10" fontId="0" fillId="0" borderId="0" xfId="4" applyNumberFormat="1" applyFont="1" applyAlignment="1">
      <alignment vertical="center"/>
    </xf>
    <xf numFmtId="0" fontId="7" fillId="0" borderId="0" xfId="0" applyFont="1" applyAlignment="1">
      <alignment horizontal="right" vertical="center"/>
    </xf>
    <xf numFmtId="9" fontId="0" fillId="0" borderId="0" xfId="0" applyNumberFormat="1" applyAlignment="1">
      <alignment vertical="center"/>
    </xf>
    <xf numFmtId="43" fontId="11" fillId="0" borderId="0" xfId="0" applyNumberFormat="1" applyFont="1" applyAlignment="1">
      <alignment vertical="center"/>
    </xf>
    <xf numFmtId="43" fontId="0" fillId="0" borderId="0" xfId="0" applyNumberFormat="1"/>
    <xf numFmtId="0" fontId="71" fillId="2" borderId="0" xfId="0" applyFont="1" applyFill="1" applyAlignment="1" applyProtection="1">
      <protection hidden="1"/>
    </xf>
    <xf numFmtId="0" fontId="100" fillId="4" borderId="107" xfId="0" applyFont="1" applyFill="1" applyBorder="1" applyAlignment="1" applyProtection="1">
      <alignment horizontal="left"/>
      <protection hidden="1"/>
    </xf>
    <xf numFmtId="0" fontId="100" fillId="4" borderId="108" xfId="0" applyFont="1" applyFill="1" applyBorder="1" applyAlignment="1" applyProtection="1">
      <alignment horizontal="left"/>
      <protection hidden="1"/>
    </xf>
    <xf numFmtId="0" fontId="100" fillId="4" borderId="109" xfId="0" applyFont="1" applyFill="1" applyBorder="1" applyAlignment="1" applyProtection="1">
      <alignment horizontal="left"/>
      <protection hidden="1"/>
    </xf>
    <xf numFmtId="173" fontId="68" fillId="0" borderId="110" xfId="0" applyNumberFormat="1" applyFont="1" applyBorder="1" applyAlignment="1" applyProtection="1">
      <alignment horizontal="left" vertical="top"/>
      <protection hidden="1"/>
    </xf>
    <xf numFmtId="0" fontId="54" fillId="9" borderId="111" xfId="0" applyFont="1" applyFill="1" applyBorder="1" applyAlignment="1" applyProtection="1">
      <alignment horizontal="center"/>
      <protection hidden="1"/>
    </xf>
    <xf numFmtId="0" fontId="54" fillId="9" borderId="112" xfId="0" applyFont="1" applyFill="1" applyBorder="1" applyAlignment="1" applyProtection="1">
      <alignment horizontal="center"/>
      <protection hidden="1"/>
    </xf>
    <xf numFmtId="0" fontId="54" fillId="9" borderId="113"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4"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5"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6"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17" xfId="0" applyFont="1" applyFill="1" applyBorder="1" applyAlignment="1" applyProtection="1">
      <alignment horizontal="left"/>
      <protection hidden="1"/>
    </xf>
    <xf numFmtId="0" fontId="28" fillId="5" borderId="118"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2" fillId="5" borderId="121" xfId="0" applyFont="1" applyFill="1" applyBorder="1" applyAlignment="1" applyProtection="1">
      <alignment horizontal="center"/>
      <protection hidden="1"/>
    </xf>
    <xf numFmtId="0" fontId="2" fillId="5" borderId="122" xfId="0" applyFont="1" applyFill="1" applyBorder="1" applyAlignment="1" applyProtection="1">
      <alignment horizontal="center"/>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3" fontId="3" fillId="6" borderId="125" xfId="0" applyNumberFormat="1" applyFont="1" applyFill="1" applyBorder="1" applyAlignment="1" applyProtection="1">
      <alignment horizontal="center"/>
      <protection hidden="1"/>
    </xf>
    <xf numFmtId="3" fontId="3" fillId="6" borderId="126" xfId="0" applyNumberFormat="1"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0" fontId="3" fillId="6" borderId="125" xfId="0"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2" fontId="38" fillId="6" borderId="125" xfId="0" applyNumberFormat="1" applyFont="1" applyFill="1" applyBorder="1" applyAlignment="1" applyProtection="1">
      <alignment horizontal="center"/>
      <protection hidden="1"/>
    </xf>
    <xf numFmtId="172" fontId="38" fillId="6" borderId="127" xfId="0" applyNumberFormat="1" applyFont="1" applyFill="1" applyBorder="1" applyAlignment="1" applyProtection="1">
      <alignment horizontal="center"/>
      <protection hidden="1"/>
    </xf>
    <xf numFmtId="3" fontId="6" fillId="15" borderId="121" xfId="0" applyNumberFormat="1" applyFont="1" applyFill="1" applyBorder="1" applyAlignment="1" applyProtection="1">
      <alignment horizontal="right"/>
      <protection hidden="1"/>
    </xf>
    <xf numFmtId="3" fontId="6" fillId="15" borderId="123" xfId="0" applyNumberFormat="1" applyFont="1" applyFill="1" applyBorder="1" applyAlignment="1" applyProtection="1">
      <alignment horizontal="right"/>
      <protection hidden="1"/>
    </xf>
    <xf numFmtId="0" fontId="28" fillId="5" borderId="128" xfId="0" applyFont="1" applyFill="1" applyBorder="1" applyAlignment="1" applyProtection="1">
      <alignment horizontal="left"/>
      <protection hidden="1"/>
    </xf>
    <xf numFmtId="0" fontId="28" fillId="5" borderId="129" xfId="0" applyFont="1" applyFill="1" applyBorder="1" applyAlignment="1" applyProtection="1">
      <alignment horizontal="left"/>
      <protection hidden="1"/>
    </xf>
    <xf numFmtId="0" fontId="35" fillId="3"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50" fillId="5" borderId="132"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124" fillId="11" borderId="114"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1" xfId="0" applyFont="1" applyFill="1" applyBorder="1" applyAlignment="1" applyProtection="1">
      <alignment horizontal="center"/>
      <protection hidden="1"/>
    </xf>
    <xf numFmtId="0" fontId="155" fillId="11" borderId="112" xfId="0" applyFont="1" applyFill="1" applyBorder="1" applyAlignment="1" applyProtection="1">
      <alignment horizontal="center"/>
      <protection hidden="1"/>
    </xf>
    <xf numFmtId="0" fontId="155" fillId="11" borderId="113"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3"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200" fillId="2" borderId="0" xfId="0" applyFont="1" applyFill="1" applyAlignment="1" applyProtection="1">
      <alignment horizontal="justify" vertical="top" wrapText="1"/>
      <protection hidden="1"/>
    </xf>
    <xf numFmtId="0" fontId="193" fillId="2" borderId="0" xfId="0" applyFont="1" applyFill="1" applyBorder="1" applyAlignment="1" applyProtection="1">
      <alignment horizontal="left" vertical="top" wrapText="1"/>
      <protection hidden="1"/>
    </xf>
    <xf numFmtId="0" fontId="235"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6" fillId="18" borderId="134" xfId="0" applyFont="1" applyFill="1" applyBorder="1" applyAlignment="1" applyProtection="1">
      <alignment horizontal="left" vertical="center" shrinkToFit="1"/>
      <protection hidden="1"/>
    </xf>
    <xf numFmtId="0" fontId="236" fillId="18" borderId="118" xfId="0" applyFont="1" applyFill="1" applyBorder="1" applyAlignment="1" applyProtection="1">
      <alignment horizontal="left" vertical="center" shrinkToFit="1"/>
      <protection hidden="1"/>
    </xf>
    <xf numFmtId="0" fontId="236" fillId="18" borderId="135" xfId="0" applyFont="1" applyFill="1" applyBorder="1" applyAlignment="1" applyProtection="1">
      <alignment horizontal="left" vertical="center" shrinkToFit="1"/>
      <protection hidden="1"/>
    </xf>
    <xf numFmtId="0" fontId="46" fillId="2" borderId="0" xfId="3" applyFont="1" applyFill="1" applyBorder="1" applyAlignment="1" applyProtection="1">
      <alignment horizontal="left" vertical="top" wrapText="1"/>
      <protection hidden="1"/>
    </xf>
    <xf numFmtId="0" fontId="237" fillId="2" borderId="0" xfId="0" applyFont="1" applyFill="1" applyBorder="1" applyAlignment="1" applyProtection="1">
      <alignment horizontal="center" vertical="center" wrapText="1"/>
      <protection hidden="1"/>
    </xf>
    <xf numFmtId="0" fontId="71" fillId="19" borderId="136" xfId="0" applyFont="1" applyFill="1" applyBorder="1" applyAlignment="1" applyProtection="1">
      <alignment horizontal="left" vertical="center"/>
      <protection locked="0" hidden="1"/>
    </xf>
    <xf numFmtId="0" fontId="71" fillId="19" borderId="137" xfId="0" applyFont="1" applyFill="1" applyBorder="1" applyAlignment="1" applyProtection="1">
      <alignment horizontal="left" vertical="center"/>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66" fillId="19" borderId="138"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38" xfId="0" applyFont="1" applyFill="1" applyBorder="1" applyAlignment="1" applyProtection="1">
      <alignment horizontal="lef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3" fontId="191" fillId="18" borderId="142" xfId="0" applyNumberFormat="1" applyFont="1" applyFill="1" applyBorder="1" applyAlignment="1" applyProtection="1">
      <alignment horizontal="right" vertical="center"/>
      <protection locked="0"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3"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3" fontId="197"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77" fillId="2" borderId="50" xfId="2"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46" xfId="2" applyFont="1" applyFill="1" applyBorder="1" applyAlignment="1" applyProtection="1">
      <alignment horizontal="center" vertical="center"/>
      <protection hidden="1"/>
    </xf>
    <xf numFmtId="0" fontId="124" fillId="15" borderId="147" xfId="2" applyFont="1" applyFill="1" applyBorder="1" applyAlignment="1" applyProtection="1">
      <alignment horizontal="center" vertic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38" fillId="16" borderId="59" xfId="0" applyFont="1" applyFill="1" applyBorder="1" applyAlignment="1" applyProtection="1">
      <alignment horizontal="left"/>
      <protection hidden="1"/>
    </xf>
    <xf numFmtId="0" fontId="238"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51"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3" xfId="0" applyFont="1" applyFill="1" applyBorder="1" applyAlignment="1" applyProtection="1">
      <alignment horizontal="left"/>
      <protection hidden="1"/>
    </xf>
    <xf numFmtId="164" fontId="114" fillId="16" borderId="154" xfId="1" applyFont="1" applyFill="1" applyBorder="1" applyAlignment="1" applyProtection="1">
      <alignment horizontal="center"/>
      <protection hidden="1"/>
    </xf>
    <xf numFmtId="164" fontId="114" fillId="16" borderId="155"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1"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1" xfId="0" applyFont="1" applyFill="1" applyBorder="1" applyAlignment="1" applyProtection="1">
      <alignment horizontal="left" vertical="center"/>
      <protection hidden="1"/>
    </xf>
    <xf numFmtId="0" fontId="180" fillId="2" borderId="15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35" fillId="16" borderId="157" xfId="0" applyFont="1" applyFill="1" applyBorder="1" applyAlignment="1" applyProtection="1">
      <alignment horizontal="right"/>
      <protection hidden="1"/>
    </xf>
    <xf numFmtId="0" fontId="235" fillId="16" borderId="158" xfId="0" applyFont="1" applyFill="1" applyBorder="1" applyAlignment="1" applyProtection="1">
      <alignment horizontal="right"/>
      <protection hidden="1"/>
    </xf>
    <xf numFmtId="38" fontId="61" fillId="29" borderId="143" xfId="0" applyNumberFormat="1" applyFont="1" applyFill="1" applyBorder="1" applyAlignment="1" applyProtection="1">
      <alignment horizontal="center"/>
      <protection hidden="1"/>
    </xf>
    <xf numFmtId="38" fontId="61" fillId="29" borderId="144" xfId="0" applyNumberFormat="1" applyFont="1" applyFill="1" applyBorder="1" applyAlignment="1" applyProtection="1">
      <alignment horizontal="center"/>
      <protection hidden="1"/>
    </xf>
    <xf numFmtId="38" fontId="61" fillId="29" borderId="145"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9" xfId="0" applyFont="1" applyFill="1" applyBorder="1" applyAlignment="1" applyProtection="1">
      <alignment horizontal="center"/>
      <protection hidden="1"/>
    </xf>
    <xf numFmtId="0" fontId="146" fillId="3" borderId="160"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61"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2" xfId="0" applyFont="1" applyFill="1" applyBorder="1" applyAlignment="1" applyProtection="1">
      <alignment horizontal="left"/>
      <protection hidden="1"/>
    </xf>
    <xf numFmtId="0" fontId="169" fillId="9" borderId="163"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61"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64"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65" xfId="0" applyFont="1" applyFill="1" applyBorder="1" applyAlignment="1" applyProtection="1">
      <alignment horizontal="left"/>
      <protection hidden="1"/>
    </xf>
    <xf numFmtId="0" fontId="45" fillId="9" borderId="166" xfId="0" applyFont="1" applyFill="1" applyBorder="1" applyAlignment="1" applyProtection="1">
      <alignment horizontal="left"/>
      <protection hidden="1"/>
    </xf>
    <xf numFmtId="0" fontId="13" fillId="18" borderId="6" xfId="0" applyFont="1" applyFill="1" applyBorder="1" applyAlignment="1">
      <alignment horizontal="center" vertical="center"/>
    </xf>
  </cellXfs>
  <cellStyles count="5">
    <cellStyle name="Comma" xfId="1" builtinId="3"/>
    <cellStyle name="Hyperlink" xfId="2" builtinId="8"/>
    <cellStyle name="Normal" xfId="0" builtinId="0"/>
    <cellStyle name="Normal 2" xfId="3" xr:uid="{00000000-0005-0000-0000-000003000000}"/>
    <cellStyle name="Percent" xfId="4" builtinId="5"/>
  </cellStyles>
  <dxfs count="173">
    <dxf>
      <font>
        <b/>
        <i val="0"/>
        <condense val="0"/>
        <extend val="0"/>
        <color indexed="14"/>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19</xdr:col>
      <xdr:colOff>25400</xdr:colOff>
      <xdr:row>0</xdr:row>
      <xdr:rowOff>12700</xdr:rowOff>
    </xdr:from>
    <xdr:to>
      <xdr:col>38</xdr:col>
      <xdr:colOff>355600</xdr:colOff>
      <xdr:row>34</xdr:row>
      <xdr:rowOff>152400</xdr:rowOff>
    </xdr:to>
    <xdr:sp macro="" textlink="">
      <xdr:nvSpPr>
        <xdr:cNvPr id="92557" name="Rectangle 18">
          <a:extLst>
            <a:ext uri="{FF2B5EF4-FFF2-40B4-BE49-F238E27FC236}">
              <a16:creationId xmlns:a16="http://schemas.microsoft.com/office/drawing/2014/main" id="{0E119A91-7143-4549-B43C-631EF39C8F48}"/>
            </a:ext>
          </a:extLst>
        </xdr:cNvPr>
        <xdr:cNvSpPr>
          <a:spLocks noChangeArrowheads="1"/>
        </xdr:cNvSpPr>
      </xdr:nvSpPr>
      <xdr:spPr bwMode="auto">
        <a:xfrm>
          <a:off x="16014700" y="12700"/>
          <a:ext cx="123952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7979AAB7-AEAA-4363-8F65-02B85DAAE044}"/>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9022C122-457A-4F23-9AAD-DFDC50EB3571}"/>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26C7FE25-FA09-4C5C-A291-FBC3D64EBEB0}"/>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46029" name="AutoShape 4">
          <a:extLst>
            <a:ext uri="{FF2B5EF4-FFF2-40B4-BE49-F238E27FC236}">
              <a16:creationId xmlns:a16="http://schemas.microsoft.com/office/drawing/2014/main" id="{C3D05A5E-09BF-4E32-A4CC-F39242B17988}"/>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24330A3E-04EF-4DBA-8D16-5F20428D2176}"/>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054932B5-ADBC-43F6-9F41-C8FE1364D787}"/>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486E50D6-A8F3-483F-B9C1-BD37F8B6BB76}"/>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CF210B2A-20FD-4BA4-A963-2CE36F9F772D}"/>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2111985A-7C3D-4F5E-870F-40B034F29F9A}"/>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EED40848-36F5-4CCA-9966-BD8DA81A06EC}"/>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6354BD8B-FE71-48E9-8DA9-DD49A7F0831C}"/>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1DFE4B20-4662-4F78-AA9D-0DB7930905CA}"/>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3F86D13D-1B1B-469F-B772-38CE811396C1}"/>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D6991536-F8F6-403D-B145-953C7CE1A2EA}"/>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668CAA84-AF65-4ABD-83CA-BF4094DD9837}"/>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92DE2777-3D65-4483-A333-B0EC81772F0B}"/>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444FC772-59F1-4A74-AAFA-2B8FD07B10C8}"/>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4EDA50D1-232C-49E3-A34D-E4DB8A71D8F1}"/>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23C85DB6-527A-4289-9932-FE055A43A552}"/>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57A09284-378A-4407-A241-E2138578AE74}"/>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2B8AAFE1-E110-40F1-B725-E9029B16C2D5}"/>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F6C55A88-F097-4B08-A8D3-9000D8B63F3A}"/>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86A59A02-FF8E-47F0-AD0A-D2F13FA015C5}"/>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F4A85BED-21EA-42B9-AF92-4360C510028C}"/>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98AF8F36-13D2-4340-AFC3-6EFEC642EC49}"/>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7668DD78-C664-4DFB-B1BD-0F6F1C166C7E}"/>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ECCEF6AC-610B-4673-A373-9F3126F83DDE}"/>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818C88B1-3491-4C09-8711-AA49B7B8E704}"/>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69948D71-EBBD-43C9-A9A6-ACC84F3039F4}"/>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961E2A6C-BB12-408D-A77E-87F0C3D60293}"/>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8E4F8F24-1708-4F2F-ABB1-F78ADB5D8EA0}"/>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51B1CE0B-D2C7-4FC1-AECD-FF21038E0441}"/>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FFAE66B3-8FCC-418F-B7FA-7445ABF1498B}"/>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032CD9DE-2F92-4CB3-B571-EEDF293BBBCF}"/>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46060" name="AutoShape 66">
          <a:extLst>
            <a:ext uri="{FF2B5EF4-FFF2-40B4-BE49-F238E27FC236}">
              <a16:creationId xmlns:a16="http://schemas.microsoft.com/office/drawing/2014/main" id="{B8C608C2-D505-4775-ADA2-57592DE42685}"/>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46061" name="AutoShape 67">
          <a:extLst>
            <a:ext uri="{FF2B5EF4-FFF2-40B4-BE49-F238E27FC236}">
              <a16:creationId xmlns:a16="http://schemas.microsoft.com/office/drawing/2014/main" id="{FC6E47F7-1D6B-4E63-AA6D-ED1FC3160118}"/>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17453D04-5B59-4553-8F05-69455A53F354}"/>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2B251F20-C0CF-4908-97A6-5BB643ACBA7B}"/>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F78BEEA5-9420-4689-B7DD-7FC9431B362A}"/>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08253FC6-A089-4122-B24B-EA68AA2FD309}"/>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15AADBA5-15EA-4871-B948-D94F9508DE25}"/>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7541AFC9-BF70-4185-A193-7CE5CE2B1B2D}"/>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AB3B58F6-8B25-48ED-8888-994AD7BF5C10}"/>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5F4809FB-CC40-49E5-8534-7AA7E6F9469F}"/>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192639D7-045B-4303-BC40-2AE1098BDFC9}"/>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3D3A4863-EA20-477B-AB79-75D827E55B30}"/>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D6B1BE36-F6AE-46EA-8FF8-F733CB8A5631}"/>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AB926483-62DD-498C-93EB-D262D0B9A2B5}"/>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47BECD19-76C7-4B1E-9616-5343DF564CD8}"/>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1A507B4D-C9DC-4E15-87F4-EE8762D4A65E}"/>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0F5A31C6-E3FA-4342-95CA-484244499E40}"/>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1D301B2E-8F70-4334-9014-B672C0025BAD}"/>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0BEEFB3D-FD2E-4262-993B-D13D6B8AB4EC}"/>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E889A5FB-64A4-47C8-BFCC-B8490B11C904}"/>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35B14524-8CC0-493A-A879-05E1D408F280}"/>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CE3B571C-8CE5-4502-BCED-5C24FD646366}"/>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58612069-E993-4BF0-9C80-085D5CADA70B}"/>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1200150</xdr:colOff>
      <xdr:row>6</xdr:row>
      <xdr:rowOff>0</xdr:rowOff>
    </xdr:from>
    <xdr:to>
      <xdr:col>20</xdr:col>
      <xdr:colOff>0</xdr:colOff>
      <xdr:row>6</xdr:row>
      <xdr:rowOff>196850</xdr:rowOff>
    </xdr:to>
    <xdr:sp macro="" textlink="">
      <xdr:nvSpPr>
        <xdr:cNvPr id="146777" name="Text Box 35">
          <a:extLst>
            <a:ext uri="{FF2B5EF4-FFF2-40B4-BE49-F238E27FC236}">
              <a16:creationId xmlns:a16="http://schemas.microsoft.com/office/drawing/2014/main" id="{9629FDBB-B12F-4A3A-A14A-65A786AAB93A}"/>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D0E61CE2-0E71-4FB3-838C-4C891A4E56FB}"/>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A0CA086B-D91C-45ED-911C-95D4DF53772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C0DC37F4-AE7F-42A9-B3DD-DB8DA9C7297F}"/>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A1244DD6-C431-439D-B633-22E4A0BF323A}"/>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F7E6EC22-1CFB-43A1-ADC2-6A44C2852740}"/>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0E6173F8-1F5B-409C-AA20-0486C1A6FB9F}"/>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8136080E-2083-44E8-9FB5-37C773A775B9}"/>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40147</xdr:colOff>
      <xdr:row>55</xdr:row>
      <xdr:rowOff>219931</xdr:rowOff>
    </xdr:from>
    <xdr:to>
      <xdr:col>19</xdr:col>
      <xdr:colOff>62808</xdr:colOff>
      <xdr:row>58</xdr:row>
      <xdr:rowOff>196109</xdr:rowOff>
    </xdr:to>
    <xdr:sp macro="" textlink="">
      <xdr:nvSpPr>
        <xdr:cNvPr id="35" name="Text Box 86">
          <a:extLst>
            <a:ext uri="{FF2B5EF4-FFF2-40B4-BE49-F238E27FC236}">
              <a16:creationId xmlns:a16="http://schemas.microsoft.com/office/drawing/2014/main" id="{0AD3C566-6093-4D4C-9A4B-4722B4BE0A37}"/>
            </a:ext>
          </a:extLst>
        </xdr:cNvPr>
        <xdr:cNvSpPr txBox="1">
          <a:spLocks noChangeArrowheads="1"/>
        </xdr:cNvSpPr>
      </xdr:nvSpPr>
      <xdr:spPr bwMode="auto">
        <a:xfrm>
          <a:off x="290178" y="1164993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E762753F-9BC0-4F88-BFEB-82A0ED66FBCF}"/>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451E2C6A-3729-4E99-AFA9-E9C62A6309DC}"/>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3E283A0E-C233-4464-9907-33B4F901BCFF}"/>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372E0660-10B9-4493-8643-4CDC6FE66753}"/>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CDF47727-E819-4E87-9525-02FF53E3157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91D1885A-6946-4F28-B1C7-5DB44A9FEBFB}"/>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48202EB9-C441-4B31-9F7F-C809F0557E56}"/>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C5CB20E5-2DCC-453B-93A1-F355A746974B}"/>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8D2A515D-4DC7-48B2-952F-8A389A93243F}"/>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4CD179F2-7D02-4E2C-BDB7-09C700A6BC1D}"/>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6DEA668F-1A1D-46FE-99A6-982F7466B79C}"/>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7C95BE34-5F5B-45C1-9671-ED723A80092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48089F1D-2349-4944-BD27-0C2D1B5EAA03}"/>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D173E0D5-0A0B-4A30-8F18-3187AD978CAF}"/>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BF2841D1-797C-4285-9797-DB86C3F931D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9826FC26-1160-4B53-A3E1-E6C0BCD251AE}"/>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BBF7EE8D-D27D-466A-B4D6-25CE8DD6EAA4}"/>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DDB56BA4-00A5-429B-A96D-7F4BC4CAC873}"/>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DF966528-875D-469B-8405-3EF828ED45FE}"/>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EC40F9D7-4BCF-4294-B8A7-58FA55AA865E}"/>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51EF47FF-2A78-41CB-A85F-43C607F425A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3EC2FF07-67DD-4784-AAED-9CA32ABA27C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4B6C6F7B-91BD-4C63-870E-6A019F2FE26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274E0EEF-1431-4EC3-842E-6D374110ACD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A2A69781-CB72-4C7B-85E7-CC038545686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12699</xdr:rowOff>
    </xdr:to>
    <xdr:pic>
      <xdr:nvPicPr>
        <xdr:cNvPr id="146811" name="Picture 86" descr="C:\Users\mumtaz\Downloads\95282942-flat-vector-exotic-cartoon-three-wheeler-tuk-tuk-rickshaw-side-view-of-transport-vehicle-.jpg">
          <a:extLst>
            <a:ext uri="{FF2B5EF4-FFF2-40B4-BE49-F238E27FC236}">
              <a16:creationId xmlns:a16="http://schemas.microsoft.com/office/drawing/2014/main" id="{AD9F16E0-ABF7-4505-BC1E-B721DA4D071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7C6E36D1-8777-452B-A2A0-815523D80DEC}"/>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46813" name="Picture 94" descr="C:\Users\mumtaz\Desktop\ATI Logo\Amana-Logos-04.png">
          <a:extLst>
            <a:ext uri="{FF2B5EF4-FFF2-40B4-BE49-F238E27FC236}">
              <a16:creationId xmlns:a16="http://schemas.microsoft.com/office/drawing/2014/main" id="{FA01E9A6-864A-49E1-AECD-8D929B01E56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577DD3BD-CB71-48E2-979B-8CF2E35E9331}"/>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85E6EDD2-2EE2-4A90-8BA0-26832BE65024}"/>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99DA7ADC-96EC-4C1F-BCD4-2D1283EE2B9E}"/>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21C93AA1-F210-421F-A98B-4DB929A709C9}"/>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D676A867-6A6B-4E4F-824D-0A4B271E226A}"/>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53562C55-0182-44B7-B6C2-22F1B0FBFEEC}"/>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2D03A030-8559-432E-BAE2-377F0FF68C6B}"/>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1BB39264-C2DA-43AF-BF8A-19490F5145FE}"/>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A77F8E49-BC1C-423D-A1B5-3ED8D6502C22}"/>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221C7DEB-36D5-4D4E-84DC-EB5F9C4A4EA8}"/>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24C0965C-1F2D-49B0-8767-11D2EE2A21D5}"/>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I1" workbookViewId="0">
      <selection activeCell="IS5" sqref="IS5"/>
    </sheetView>
  </sheetViews>
  <sheetFormatPr defaultColWidth="9.109375" defaultRowHeight="24.9" customHeight="1" x14ac:dyDescent="0.25"/>
  <cols>
    <col min="1" max="1" width="13.44140625" style="247" customWidth="1"/>
    <col min="2" max="2" width="9.109375" style="247"/>
    <col min="3" max="3" width="6.109375" style="247" customWidth="1"/>
    <col min="4" max="4" width="11.33203125" style="247" customWidth="1"/>
    <col min="5" max="5" width="5" style="247" customWidth="1"/>
    <col min="6" max="6" width="5.6640625" style="247" customWidth="1"/>
    <col min="7" max="7" width="23.109375" style="247" customWidth="1"/>
    <col min="8" max="8" width="9.109375" style="247"/>
    <col min="9" max="9" width="10.44140625" style="247" customWidth="1"/>
    <col min="10" max="10" width="41.109375" style="247" customWidth="1"/>
    <col min="11" max="12" width="9.109375" style="247"/>
    <col min="13" max="13" width="1.88671875" style="247" customWidth="1"/>
    <col min="14" max="14" width="17.44140625" style="247" customWidth="1"/>
    <col min="15" max="15" width="20.6640625" style="247" customWidth="1"/>
    <col min="16" max="251" width="9.109375" style="247"/>
    <col min="252" max="252" width="10.44140625" style="247" bestFit="1" customWidth="1"/>
    <col min="253" max="16384" width="9.109375" style="247"/>
  </cols>
  <sheetData>
    <row r="1" spans="1:254" ht="24.9" customHeight="1" thickBot="1" x14ac:dyDescent="0.3">
      <c r="A1" s="779" t="s">
        <v>217</v>
      </c>
      <c r="B1" s="780"/>
      <c r="C1" s="780"/>
      <c r="D1" s="781"/>
      <c r="E1" s="215"/>
    </row>
    <row r="2" spans="1:254" ht="14.25" customHeight="1" x14ac:dyDescent="0.25"/>
    <row r="3" spans="1:254" ht="20.25" customHeight="1" x14ac:dyDescent="0.25">
      <c r="A3" s="217"/>
      <c r="G3" s="253">
        <f>IF(IS5="January",1,IF(IS5="February",2,IF(IS5="March",3,IF(IS5="April",4,IF(IS5="May",5,IF(IS5="June",6,IF(IS5="July",7,IF(IS5="August",8,H3))))))))</f>
        <v>5</v>
      </c>
      <c r="H3" s="253">
        <f>IF(IS5="September",9,IF(IS5="October",10,IF(IS5="November",11,12)))</f>
        <v>12</v>
      </c>
      <c r="I3" s="254">
        <f>DATE(IR5,G3,IT5)</f>
        <v>45413</v>
      </c>
      <c r="J3" s="253">
        <f>IF(M3=0,29,28)</f>
        <v>29</v>
      </c>
      <c r="K3" s="255">
        <f>YEAR(I3)/4</f>
        <v>506</v>
      </c>
      <c r="L3" s="255">
        <f>ROUND(K3,0)</f>
        <v>506</v>
      </c>
      <c r="M3" s="253">
        <f>K3-L3</f>
        <v>0</v>
      </c>
      <c r="N3" s="259" t="s">
        <v>234</v>
      </c>
      <c r="Q3" s="248" t="s">
        <v>205</v>
      </c>
    </row>
    <row r="4" spans="1:254" ht="24.9" customHeight="1" thickBot="1" x14ac:dyDescent="0.3">
      <c r="A4" s="249"/>
      <c r="G4" s="357"/>
      <c r="H4" s="357"/>
      <c r="I4" s="358"/>
      <c r="J4" s="358"/>
      <c r="K4" s="358"/>
      <c r="L4" s="215"/>
      <c r="M4" s="215"/>
      <c r="N4" s="258" t="s">
        <v>235</v>
      </c>
      <c r="O4" s="216" t="s">
        <v>176</v>
      </c>
      <c r="Q4" s="247">
        <v>1</v>
      </c>
      <c r="IR4" s="295" t="s">
        <v>203</v>
      </c>
      <c r="IS4" s="295" t="s">
        <v>204</v>
      </c>
      <c r="IT4" s="295" t="s">
        <v>205</v>
      </c>
    </row>
    <row r="5" spans="1:254" ht="24.9" customHeight="1" thickBot="1" x14ac:dyDescent="0.3">
      <c r="A5" s="217" t="s">
        <v>206</v>
      </c>
      <c r="C5" s="783" t="str">
        <f>H5</f>
        <v/>
      </c>
      <c r="D5" s="784"/>
      <c r="E5" s="785"/>
      <c r="G5" s="357"/>
      <c r="H5" s="357" t="str">
        <f>IF(Working!$H$65529=N4,O4,IF(Working!$H$65529=N5,O5,IF(Working!$H$65529=N6,O6,IF(Working!$H$65529=N7,O7,IF(Working!$H$65529=N8,O8,IF(Working!$H$65529=N9,O9,IF(Working!$H$65529=N10,O10,IF(Working!$H$65529=N11,O11,I5))))))))</f>
        <v/>
      </c>
      <c r="I5" s="357" t="str">
        <f>IF(Working!$H$65529=N12,O12,IF(Working!$H$65529=N13,O13,IF(Working!$H$65529=N14,O14,IF(Working!$H$65529=N15,O15,IF(Working!$H$65529=N16,O16,IF(Working!$H$65529=N17,O17,IF(Working!$H$65529=N18,O18,IF(Working!$H$65529=N19,O19,J5))))))))</f>
        <v/>
      </c>
      <c r="J5" s="357" t="str">
        <f>IF(Working!$H$65529=N20,O20,IF(Working!$H$65529=N21,O21,IF(Working!$H$65529=N22,O22,IF(Working!$H$65529=N23,O23,IF(Working!$H$65529=N24,O24,IF(Working!$H$65529=N25,O25,IF(Working!$H$65529=N26,O26,IF(Working!$H$65529=N27,O27,K5))))))))</f>
        <v/>
      </c>
      <c r="K5" s="357" t="str">
        <f>IF(Working!$H$65529=N28,O28,IF(Working!$H$65529=N29,O29,IF(Working!$H$65529=N30,O30,IF(Working!$H$65529=N31,O31,""))))</f>
        <v/>
      </c>
      <c r="N5" s="258" t="s">
        <v>236</v>
      </c>
      <c r="O5" s="216" t="s">
        <v>177</v>
      </c>
      <c r="Q5" s="247">
        <f>Q4+1</f>
        <v>2</v>
      </c>
      <c r="IR5" s="214">
        <v>2024</v>
      </c>
      <c r="IS5" s="214" t="s">
        <v>346</v>
      </c>
      <c r="IT5" s="214">
        <v>1</v>
      </c>
    </row>
    <row r="6" spans="1:254" ht="24.9" customHeight="1" thickBot="1" x14ac:dyDescent="0.3">
      <c r="G6" s="357"/>
      <c r="H6" s="357"/>
      <c r="I6" s="357"/>
      <c r="J6" s="571" t="s">
        <v>415</v>
      </c>
      <c r="K6" s="357"/>
      <c r="N6" s="258" t="s">
        <v>240</v>
      </c>
      <c r="O6" s="216" t="s">
        <v>178</v>
      </c>
      <c r="Q6" s="247">
        <f t="shared" ref="Q6:Q18" si="0">Q5+1</f>
        <v>3</v>
      </c>
    </row>
    <row r="7" spans="1:254" ht="24.9" customHeight="1" thickBot="1" x14ac:dyDescent="0.3">
      <c r="A7" s="217" t="s">
        <v>207</v>
      </c>
      <c r="C7" s="247" t="s">
        <v>174</v>
      </c>
      <c r="F7" s="250" t="s">
        <v>77</v>
      </c>
      <c r="G7" s="357" t="str">
        <f t="shared" ref="G7:G17" si="1">IF(F7="Yes",C7,"")</f>
        <v>Motor Car</v>
      </c>
      <c r="H7" s="357">
        <f>IF(F7="Yes",1,0)</f>
        <v>1</v>
      </c>
      <c r="I7" s="357" t="str">
        <f>IF(H7=1,C7,IF(H8=1,C8,IF(H9=1,C9,IF(H10=1,C10,IF(H11=1,C16,IF(H12=1,C11,IF(I5=1,C12,IF(H14=1,C13,J15))))))))</f>
        <v>Motor Car</v>
      </c>
      <c r="J7" s="571" t="s">
        <v>380</v>
      </c>
      <c r="K7" s="357"/>
      <c r="N7" s="258" t="s">
        <v>238</v>
      </c>
      <c r="O7" s="216" t="s">
        <v>179</v>
      </c>
      <c r="Q7" s="247">
        <f t="shared" si="0"/>
        <v>4</v>
      </c>
      <c r="IR7" s="782">
        <f>I3</f>
        <v>45413</v>
      </c>
      <c r="IS7" s="782"/>
      <c r="IT7" s="782"/>
    </row>
    <row r="8" spans="1:254" ht="17.100000000000001" customHeight="1" thickBot="1" x14ac:dyDescent="0.3">
      <c r="C8" s="247" t="s">
        <v>208</v>
      </c>
      <c r="F8" s="250" t="s">
        <v>77</v>
      </c>
      <c r="G8" s="357" t="str">
        <f t="shared" si="1"/>
        <v>Jeep</v>
      </c>
      <c r="H8" s="357">
        <f>IF(F8="Yes",1,0)</f>
        <v>1</v>
      </c>
      <c r="I8" s="357"/>
      <c r="J8" s="571" t="s">
        <v>381</v>
      </c>
      <c r="K8" s="357"/>
      <c r="N8" s="258" t="s">
        <v>239</v>
      </c>
      <c r="O8" s="216" t="s">
        <v>180</v>
      </c>
      <c r="Q8" s="247">
        <f t="shared" si="0"/>
        <v>5</v>
      </c>
      <c r="IR8" s="762">
        <f ca="1">TODAY()</f>
        <v>45348</v>
      </c>
    </row>
    <row r="9" spans="1:254" ht="17.100000000000001" customHeight="1" thickBot="1" x14ac:dyDescent="0.3">
      <c r="C9" s="247" t="s">
        <v>209</v>
      </c>
      <c r="F9" s="250" t="s">
        <v>77</v>
      </c>
      <c r="G9" s="357" t="str">
        <f t="shared" si="1"/>
        <v>Dual Purpose</v>
      </c>
      <c r="H9" s="357">
        <f>IF(F9="Yes",1,0)</f>
        <v>1</v>
      </c>
      <c r="I9" s="357"/>
      <c r="J9" s="571" t="s">
        <v>388</v>
      </c>
      <c r="K9" s="357"/>
      <c r="N9" s="258" t="s">
        <v>237</v>
      </c>
      <c r="O9" s="216" t="s">
        <v>181</v>
      </c>
      <c r="Q9" s="247">
        <f t="shared" si="0"/>
        <v>6</v>
      </c>
      <c r="IR9" s="247">
        <f ca="1">IF(IR7&gt;IR8,1,0)</f>
        <v>1</v>
      </c>
    </row>
    <row r="10" spans="1:254" ht="17.100000000000001" customHeight="1" thickBot="1" x14ac:dyDescent="0.3">
      <c r="C10" s="247" t="s">
        <v>210</v>
      </c>
      <c r="F10" s="250" t="s">
        <v>77</v>
      </c>
      <c r="G10" s="357" t="str">
        <f t="shared" si="1"/>
        <v>Motor Coach</v>
      </c>
      <c r="H10" s="357">
        <f>IF(F10="Yes",1,0)</f>
        <v>1</v>
      </c>
      <c r="I10" s="357"/>
      <c r="J10" s="571" t="s">
        <v>425</v>
      </c>
      <c r="K10" s="357"/>
      <c r="N10" s="258" t="s">
        <v>260</v>
      </c>
      <c r="O10" s="216" t="s">
        <v>182</v>
      </c>
      <c r="Q10" s="247">
        <f t="shared" si="0"/>
        <v>7</v>
      </c>
    </row>
    <row r="11" spans="1:254" ht="17.100000000000001" customHeight="1" thickBot="1" x14ac:dyDescent="0.3">
      <c r="C11" s="247" t="s">
        <v>357</v>
      </c>
      <c r="F11" s="250" t="s">
        <v>77</v>
      </c>
      <c r="G11" s="357" t="str">
        <f t="shared" si="1"/>
        <v>Motor Lorry</v>
      </c>
      <c r="H11" s="357">
        <f>IF(F16="Yes",1,0)</f>
        <v>1</v>
      </c>
      <c r="I11" s="357"/>
      <c r="J11" s="571" t="s">
        <v>429</v>
      </c>
      <c r="K11" s="357"/>
      <c r="N11" s="258" t="s">
        <v>241</v>
      </c>
      <c r="O11" s="216" t="s">
        <v>183</v>
      </c>
      <c r="Q11" s="247">
        <f t="shared" si="0"/>
        <v>8</v>
      </c>
    </row>
    <row r="12" spans="1:254" ht="17.100000000000001" customHeight="1" thickBot="1" x14ac:dyDescent="0.3">
      <c r="C12" s="247" t="s">
        <v>211</v>
      </c>
      <c r="F12" s="250" t="s">
        <v>77</v>
      </c>
      <c r="G12" s="357" t="str">
        <f t="shared" si="1"/>
        <v>Three Wheeler</v>
      </c>
      <c r="H12" s="357">
        <f>IF(F11="Yes",1,0)</f>
        <v>1</v>
      </c>
      <c r="I12" s="357"/>
      <c r="J12" s="571" t="s">
        <v>382</v>
      </c>
      <c r="K12" s="357"/>
      <c r="N12" s="258" t="s">
        <v>242</v>
      </c>
      <c r="O12" s="216" t="s">
        <v>184</v>
      </c>
      <c r="Q12" s="247">
        <f t="shared" si="0"/>
        <v>9</v>
      </c>
    </row>
    <row r="13" spans="1:254" ht="17.100000000000001" customHeight="1" thickBot="1" x14ac:dyDescent="0.3">
      <c r="C13" s="247" t="s">
        <v>213</v>
      </c>
      <c r="F13" s="250" t="s">
        <v>77</v>
      </c>
      <c r="G13" s="357" t="str">
        <f t="shared" si="1"/>
        <v>Motor Cycle (Chinese)</v>
      </c>
      <c r="H13" s="357">
        <f>IF(F12="Yes",1,0)</f>
        <v>1</v>
      </c>
      <c r="I13" s="357"/>
      <c r="J13" s="571" t="s">
        <v>414</v>
      </c>
      <c r="K13" s="357"/>
      <c r="N13" s="258" t="s">
        <v>261</v>
      </c>
      <c r="O13" s="216" t="s">
        <v>185</v>
      </c>
      <c r="Q13" s="247">
        <f t="shared" si="0"/>
        <v>10</v>
      </c>
    </row>
    <row r="14" spans="1:254" ht="17.100000000000001" customHeight="1" thickBot="1" x14ac:dyDescent="0.3">
      <c r="C14" s="247" t="s">
        <v>359</v>
      </c>
      <c r="F14" s="250" t="s">
        <v>77</v>
      </c>
      <c r="G14" s="357" t="str">
        <f t="shared" si="1"/>
        <v>Motor Cycle</v>
      </c>
      <c r="H14" s="357">
        <f>IF(F13="Yes",1,0)</f>
        <v>1</v>
      </c>
      <c r="I14" s="357"/>
      <c r="J14" s="571" t="s">
        <v>438</v>
      </c>
      <c r="K14" s="357"/>
      <c r="N14" s="258" t="s">
        <v>262</v>
      </c>
      <c r="O14" s="216" t="s">
        <v>186</v>
      </c>
      <c r="Q14" s="247">
        <f t="shared" si="0"/>
        <v>11</v>
      </c>
    </row>
    <row r="15" spans="1:254" ht="17.100000000000001" customHeight="1" thickBot="1" x14ac:dyDescent="0.3">
      <c r="C15" s="247" t="s">
        <v>214</v>
      </c>
      <c r="F15" s="250" t="s">
        <v>77</v>
      </c>
      <c r="G15" s="357" t="str">
        <f t="shared" si="1"/>
        <v>Tractor</v>
      </c>
      <c r="H15" s="357">
        <f>IF(F14="Yes",1,0)</f>
        <v>1</v>
      </c>
      <c r="I15" s="357"/>
      <c r="J15" s="571" t="s">
        <v>418</v>
      </c>
      <c r="K15" s="357"/>
      <c r="N15" s="258" t="s">
        <v>243</v>
      </c>
      <c r="O15" s="216" t="s">
        <v>187</v>
      </c>
      <c r="Q15" s="247">
        <f t="shared" si="0"/>
        <v>12</v>
      </c>
    </row>
    <row r="16" spans="1:254" ht="17.100000000000001" customHeight="1" thickBot="1" x14ac:dyDescent="0.3">
      <c r="C16" s="247" t="s">
        <v>212</v>
      </c>
      <c r="F16" s="250" t="s">
        <v>77</v>
      </c>
      <c r="G16" s="357" t="str">
        <f t="shared" si="1"/>
        <v>Motor Lorry (Chinese)</v>
      </c>
      <c r="H16" s="357">
        <f>IF(F15="Yes",1,0)</f>
        <v>1</v>
      </c>
      <c r="I16" s="357"/>
      <c r="J16" s="571" t="s">
        <v>422</v>
      </c>
      <c r="K16" s="357"/>
      <c r="N16" s="258" t="s">
        <v>244</v>
      </c>
      <c r="O16" s="216" t="s">
        <v>188</v>
      </c>
      <c r="Q16" s="247">
        <f t="shared" si="0"/>
        <v>13</v>
      </c>
    </row>
    <row r="17" spans="1:17" ht="17.100000000000001" customHeight="1" thickBot="1" x14ac:dyDescent="0.3">
      <c r="C17" s="247" t="s">
        <v>215</v>
      </c>
      <c r="F17" s="250" t="s">
        <v>77</v>
      </c>
      <c r="G17" s="357" t="str">
        <f t="shared" si="1"/>
        <v>Others</v>
      </c>
      <c r="H17" s="357">
        <f>IF(F17="Yes",1,0)</f>
        <v>1</v>
      </c>
      <c r="I17" s="359"/>
      <c r="J17" s="571" t="s">
        <v>389</v>
      </c>
      <c r="K17" s="357"/>
      <c r="N17" s="258" t="s">
        <v>245</v>
      </c>
      <c r="O17" s="216" t="s">
        <v>189</v>
      </c>
      <c r="Q17" s="247">
        <f t="shared" si="0"/>
        <v>14</v>
      </c>
    </row>
    <row r="18" spans="1:17" ht="17.100000000000001" customHeight="1" x14ac:dyDescent="0.25">
      <c r="H18" s="357"/>
      <c r="I18" s="359"/>
      <c r="J18" s="571" t="s">
        <v>384</v>
      </c>
      <c r="K18" s="357"/>
      <c r="N18" s="258" t="s">
        <v>246</v>
      </c>
      <c r="O18" s="216" t="s">
        <v>190</v>
      </c>
      <c r="Q18" s="247">
        <f t="shared" si="0"/>
        <v>15</v>
      </c>
    </row>
    <row r="19" spans="1:17" ht="17.100000000000001" customHeight="1" thickBot="1" x14ac:dyDescent="0.3">
      <c r="G19" s="357"/>
      <c r="H19" s="357"/>
      <c r="I19" s="357"/>
      <c r="J19" s="571" t="s">
        <v>385</v>
      </c>
      <c r="K19" s="357"/>
      <c r="N19" s="258" t="s">
        <v>247</v>
      </c>
      <c r="O19" s="216" t="s">
        <v>191</v>
      </c>
      <c r="Q19" s="247">
        <f t="shared" ref="Q19:Q31" si="2">Q18+1</f>
        <v>16</v>
      </c>
    </row>
    <row r="20" spans="1:17" ht="17.100000000000001" customHeight="1" thickBot="1" x14ac:dyDescent="0.3">
      <c r="A20" s="251" t="s">
        <v>34</v>
      </c>
      <c r="C20" s="247" t="s">
        <v>321</v>
      </c>
      <c r="F20" s="250" t="s">
        <v>77</v>
      </c>
      <c r="G20" s="357" t="str">
        <f>IF(F20="Yes",C20,"")</f>
        <v>Private Use Only</v>
      </c>
      <c r="H20" s="357"/>
      <c r="I20" s="357" t="str">
        <f>IF(G20&lt;&gt;"",G20,IF(G21&lt;&gt;"",G21,IF(G22&lt;&gt;"",G22,IF(G23&lt;&gt;"",G23,IF(G24&lt;&gt;"",G24,"")))))</f>
        <v>Private Use Only</v>
      </c>
      <c r="J20" s="571" t="s">
        <v>427</v>
      </c>
      <c r="K20" s="357"/>
      <c r="N20" s="258" t="s">
        <v>248</v>
      </c>
      <c r="O20" s="216" t="s">
        <v>175</v>
      </c>
      <c r="Q20" s="247">
        <f t="shared" si="2"/>
        <v>17</v>
      </c>
    </row>
    <row r="21" spans="1:17" ht="17.100000000000001" customHeight="1" thickBot="1" x14ac:dyDescent="0.3">
      <c r="C21" s="247" t="s">
        <v>40</v>
      </c>
      <c r="F21" s="250" t="s">
        <v>77</v>
      </c>
      <c r="G21" s="357" t="str">
        <f>IF(F21="Yes",C21,"")</f>
        <v>Hiring</v>
      </c>
      <c r="I21" s="357" t="str">
        <f>IF(AND(G21&lt;&gt;"",G21&lt;&gt;I20),G21,IF(AND(G22&lt;&gt;"",G22&lt;&gt;I20),G22,IF(AND(G23&lt;&gt;"",G23&lt;&gt;I20),G23,IF(AND(G24&lt;&gt;"",G24&lt;&gt;I20),G24,""))))</f>
        <v>Hiring</v>
      </c>
      <c r="J21" s="571" t="s">
        <v>386</v>
      </c>
      <c r="K21" s="357"/>
      <c r="N21" s="258" t="s">
        <v>249</v>
      </c>
      <c r="O21" s="216" t="s">
        <v>192</v>
      </c>
      <c r="Q21" s="247">
        <f t="shared" si="2"/>
        <v>18</v>
      </c>
    </row>
    <row r="22" spans="1:17" ht="18" customHeight="1" thickBot="1" x14ac:dyDescent="0.3">
      <c r="C22" s="247" t="s">
        <v>7</v>
      </c>
      <c r="F22" s="250" t="s">
        <v>77</v>
      </c>
      <c r="G22" s="357" t="str">
        <f>IF(F22="Yes",C22,"")</f>
        <v>Rent A Vehicle</v>
      </c>
      <c r="H22" s="357"/>
      <c r="I22" s="357" t="str">
        <f>IF(AND(G22&lt;&gt;"",G22&lt;&gt;I21,G22&lt;&gt;I20),G22,IF(AND(G23&lt;&gt;"",G23&lt;&gt;I21,G23&lt;&gt;I20),G23,IF(AND(G24&lt;&gt;"",G24&lt;&gt;I20,G24&lt;&gt;I21),G24,"")))</f>
        <v>Rent A Vehicle</v>
      </c>
      <c r="J22" s="571" t="s">
        <v>421</v>
      </c>
      <c r="K22" s="357"/>
      <c r="N22" s="258" t="s">
        <v>250</v>
      </c>
      <c r="O22" s="216" t="s">
        <v>193</v>
      </c>
      <c r="Q22" s="247">
        <f t="shared" si="2"/>
        <v>19</v>
      </c>
    </row>
    <row r="23" spans="1:17" ht="18" customHeight="1" thickBot="1" x14ac:dyDescent="0.3">
      <c r="C23" s="247" t="s">
        <v>218</v>
      </c>
      <c r="F23" s="250" t="s">
        <v>77</v>
      </c>
      <c r="G23" s="357" t="str">
        <f>IF(F23="Yes",C23,"")</f>
        <v xml:space="preserve">SLTB Route </v>
      </c>
      <c r="H23" s="357"/>
      <c r="I23" s="357" t="str">
        <f>IF(AND(G23&lt;&gt;"",I20&lt;&gt;G23,I21&lt;&gt;G23,I22&lt;&gt;G23),G23,IF(AND(G24&lt;&gt;"",G24&lt;&gt;I20,G24&lt;&gt;I21,G24&lt;&gt;I22),G24,""))</f>
        <v xml:space="preserve">SLTB Route </v>
      </c>
      <c r="J23" s="571" t="s">
        <v>420</v>
      </c>
      <c r="K23" s="357"/>
      <c r="N23" s="258" t="s">
        <v>251</v>
      </c>
      <c r="O23" s="216" t="s">
        <v>194</v>
      </c>
      <c r="Q23" s="247">
        <f t="shared" si="2"/>
        <v>20</v>
      </c>
    </row>
    <row r="24" spans="1:17" ht="18" customHeight="1" thickBot="1" x14ac:dyDescent="0.3">
      <c r="C24" s="247" t="s">
        <v>220</v>
      </c>
      <c r="F24" s="250" t="s">
        <v>113</v>
      </c>
      <c r="G24" s="357" t="str">
        <f>IF(F24="Yes",C24,"")</f>
        <v/>
      </c>
      <c r="H24" s="357"/>
      <c r="I24" s="357" t="str">
        <f>IF(AND(G24&lt;&gt;"",I21&lt;&gt;G24,I22&lt;&gt;G24,I23&lt;&gt;G24,G24&lt;&gt;I20),G24,"")</f>
        <v/>
      </c>
      <c r="J24" s="571" t="s">
        <v>430</v>
      </c>
      <c r="K24" s="357"/>
      <c r="N24" s="258" t="s">
        <v>252</v>
      </c>
      <c r="O24" s="216" t="s">
        <v>195</v>
      </c>
      <c r="Q24" s="247">
        <f t="shared" si="2"/>
        <v>21</v>
      </c>
    </row>
    <row r="25" spans="1:17" ht="18" customHeight="1" x14ac:dyDescent="0.25">
      <c r="G25" s="357"/>
      <c r="H25" s="357"/>
      <c r="I25" s="357"/>
      <c r="J25" s="571" t="s">
        <v>417</v>
      </c>
      <c r="K25" s="357"/>
      <c r="N25" s="258" t="s">
        <v>253</v>
      </c>
      <c r="O25" s="216" t="s">
        <v>196</v>
      </c>
      <c r="Q25" s="247">
        <f t="shared" si="2"/>
        <v>22</v>
      </c>
    </row>
    <row r="26" spans="1:17" ht="18" customHeight="1" thickBot="1" x14ac:dyDescent="0.3">
      <c r="G26" s="357"/>
      <c r="H26" s="357"/>
      <c r="I26" s="357"/>
      <c r="J26" s="571" t="s">
        <v>392</v>
      </c>
      <c r="K26" s="357"/>
      <c r="N26" s="258" t="s">
        <v>254</v>
      </c>
      <c r="O26" s="216" t="s">
        <v>197</v>
      </c>
      <c r="Q26" s="247">
        <f t="shared" si="2"/>
        <v>23</v>
      </c>
    </row>
    <row r="27" spans="1:17" ht="24.9" customHeight="1" thickBot="1" x14ac:dyDescent="0.3">
      <c r="A27" s="252" t="s">
        <v>216</v>
      </c>
      <c r="F27" s="250" t="s">
        <v>77</v>
      </c>
      <c r="G27" s="357"/>
      <c r="H27" s="357"/>
      <c r="I27" s="357"/>
      <c r="J27" s="571" t="s">
        <v>416</v>
      </c>
      <c r="K27" s="357"/>
      <c r="N27" s="258" t="s">
        <v>255</v>
      </c>
      <c r="O27" s="216" t="s">
        <v>198</v>
      </c>
      <c r="Q27" s="247">
        <f t="shared" si="2"/>
        <v>24</v>
      </c>
    </row>
    <row r="28" spans="1:17" ht="24.9" customHeight="1" thickBot="1" x14ac:dyDescent="0.3">
      <c r="G28" s="357"/>
      <c r="H28" s="357"/>
      <c r="I28" s="357"/>
      <c r="J28" s="571" t="s">
        <v>424</v>
      </c>
      <c r="K28" s="357"/>
      <c r="N28" s="258" t="s">
        <v>256</v>
      </c>
      <c r="O28" s="216" t="s">
        <v>199</v>
      </c>
      <c r="Q28" s="247">
        <f t="shared" si="2"/>
        <v>25</v>
      </c>
    </row>
    <row r="29" spans="1:17" ht="24.9" customHeight="1" thickBot="1" x14ac:dyDescent="0.3">
      <c r="A29" s="217" t="s">
        <v>276</v>
      </c>
      <c r="C29" s="1"/>
      <c r="F29" s="276">
        <v>19</v>
      </c>
      <c r="G29" s="357"/>
      <c r="I29" s="357"/>
      <c r="J29" s="571" t="s">
        <v>426</v>
      </c>
      <c r="K29" s="357"/>
      <c r="N29" s="258" t="s">
        <v>257</v>
      </c>
      <c r="O29" s="216" t="s">
        <v>200</v>
      </c>
      <c r="Q29" s="247">
        <f t="shared" si="2"/>
        <v>26</v>
      </c>
    </row>
    <row r="30" spans="1:17" ht="24.9" customHeight="1" thickBot="1" x14ac:dyDescent="0.3">
      <c r="G30" s="357"/>
      <c r="H30" s="357"/>
      <c r="I30" s="357"/>
      <c r="J30" s="571" t="s">
        <v>439</v>
      </c>
      <c r="K30" s="357"/>
      <c r="N30" s="258" t="s">
        <v>258</v>
      </c>
      <c r="O30" s="216" t="s">
        <v>201</v>
      </c>
      <c r="Q30" s="247">
        <f t="shared" si="2"/>
        <v>27</v>
      </c>
    </row>
    <row r="31" spans="1:17" ht="24.9" customHeight="1" thickBot="1" x14ac:dyDescent="0.3">
      <c r="A31" s="217" t="s">
        <v>287</v>
      </c>
      <c r="C31" s="1"/>
      <c r="F31" s="250" t="s">
        <v>77</v>
      </c>
      <c r="J31" s="571" t="s">
        <v>428</v>
      </c>
      <c r="N31" s="258" t="s">
        <v>259</v>
      </c>
      <c r="O31" s="216" t="s">
        <v>202</v>
      </c>
      <c r="Q31" s="247">
        <f t="shared" si="2"/>
        <v>28</v>
      </c>
    </row>
    <row r="32" spans="1:17" ht="8.25" customHeight="1" x14ac:dyDescent="0.25">
      <c r="A32" s="786"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786"/>
      <c r="C32" s="786"/>
      <c r="D32" s="786"/>
      <c r="E32" s="786"/>
      <c r="F32" s="786"/>
      <c r="G32" s="786"/>
      <c r="J32" s="571" t="s">
        <v>419</v>
      </c>
      <c r="N32" s="258"/>
      <c r="Q32" s="247">
        <f>IF(AND(M3&lt;&gt;0,G3=2),"",29)</f>
        <v>29</v>
      </c>
    </row>
    <row r="33" spans="1:17" ht="24.9" customHeight="1" x14ac:dyDescent="0.25">
      <c r="A33" s="786"/>
      <c r="B33" s="786"/>
      <c r="C33" s="786"/>
      <c r="D33" s="786"/>
      <c r="E33" s="786"/>
      <c r="F33" s="786"/>
      <c r="G33" s="786"/>
      <c r="J33" s="571" t="s">
        <v>387</v>
      </c>
      <c r="N33" s="258"/>
      <c r="Q33" s="247">
        <f>IF(G3=2,"",30)</f>
        <v>30</v>
      </c>
    </row>
    <row r="34" spans="1:17" ht="24.9" customHeight="1" x14ac:dyDescent="0.25">
      <c r="I34" s="572" t="s">
        <v>441</v>
      </c>
      <c r="J34" s="571"/>
      <c r="N34" s="258"/>
      <c r="Q34" s="247">
        <f>IF(OR(G3=2,G3=4,G3=6,G3=9,G3=11),"",31)</f>
        <v>31</v>
      </c>
    </row>
    <row r="35" spans="1:17" ht="24.9" customHeight="1" x14ac:dyDescent="0.25">
      <c r="J35" s="571"/>
      <c r="N35" s="258"/>
    </row>
    <row r="36" spans="1:17" ht="24.9" customHeight="1" x14ac:dyDescent="0.25">
      <c r="J36" s="571"/>
    </row>
    <row r="37" spans="1:17" ht="24.9" customHeight="1" x14ac:dyDescent="0.25">
      <c r="J37" s="571"/>
    </row>
    <row r="38" spans="1:17" ht="24.9" customHeight="1" x14ac:dyDescent="0.25">
      <c r="J38" s="571"/>
    </row>
    <row r="39" spans="1:17" ht="24.9" customHeight="1" x14ac:dyDescent="0.25">
      <c r="J39" s="571"/>
    </row>
    <row r="40" spans="1:17" ht="24.9" customHeight="1" x14ac:dyDescent="0.25">
      <c r="J40" s="571"/>
    </row>
  </sheetData>
  <dataConsolidate/>
  <mergeCells count="4">
    <mergeCell ref="A1:D1"/>
    <mergeCell ref="IR7:IT7"/>
    <mergeCell ref="C5:E5"/>
    <mergeCell ref="A32:G33"/>
  </mergeCells>
  <phoneticPr fontId="28" type="noConversion"/>
  <conditionalFormatting sqref="F27 F20:F24 F7:F17 F31">
    <cfRule type="cellIs" dxfId="172"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IS5" sqref="IS5"/>
    </sheetView>
  </sheetViews>
  <sheetFormatPr defaultColWidth="9.109375" defaultRowHeight="20.100000000000001" customHeight="1" x14ac:dyDescent="0.25"/>
  <cols>
    <col min="1" max="1" width="3.109375" style="1" customWidth="1"/>
    <col min="2" max="2" width="25.33203125" style="1" customWidth="1"/>
    <col min="3" max="3" width="1.6640625" style="1" customWidth="1"/>
    <col min="4" max="4" width="6.33203125" style="1" customWidth="1"/>
    <col min="5" max="5" width="2.44140625" style="1" customWidth="1"/>
    <col min="6" max="6" width="7.33203125" style="1" customWidth="1"/>
    <col min="7" max="8" width="7" style="549" customWidth="1"/>
    <col min="9" max="9" width="2.6640625" style="1" customWidth="1"/>
    <col min="10" max="10" width="25.109375" style="1" customWidth="1"/>
    <col min="11" max="11" width="7.6640625" style="1" customWidth="1"/>
    <col min="12" max="12" width="20.5546875" style="1" customWidth="1"/>
    <col min="13" max="13" width="8.88671875" style="1" customWidth="1"/>
    <col min="14" max="14" width="15.88671875" style="1" customWidth="1"/>
    <col min="15" max="15" width="10.33203125" style="1" customWidth="1"/>
    <col min="16" max="16" width="3.44140625" style="1" customWidth="1"/>
    <col min="17" max="17" width="9.109375" style="1"/>
    <col min="18" max="18" width="11.109375" style="1" customWidth="1"/>
    <col min="19" max="21" width="9.109375" style="1"/>
    <col min="22" max="22" width="7.33203125" style="1" customWidth="1"/>
    <col min="23" max="23" width="12.44140625" style="1" customWidth="1"/>
    <col min="24" max="24" width="6" style="1" customWidth="1"/>
    <col min="25" max="16384" width="9.109375" style="1"/>
  </cols>
  <sheetData>
    <row r="1" spans="1:19" ht="20.100000000000001" customHeight="1" thickBot="1" x14ac:dyDescent="0.3">
      <c r="A1" s="1">
        <f ca="1">YEAR(B1)</f>
        <v>2024</v>
      </c>
      <c r="B1" s="482">
        <f ca="1">TODAY()</f>
        <v>45348</v>
      </c>
      <c r="F1" s="793" t="s">
        <v>155</v>
      </c>
      <c r="L1" s="337"/>
    </row>
    <row r="2" spans="1:19" ht="20.100000000000001" customHeight="1" thickTop="1" thickBot="1" x14ac:dyDescent="0.4">
      <c r="A2" s="88" t="s">
        <v>54</v>
      </c>
      <c r="B2" s="89"/>
      <c r="F2" s="793"/>
      <c r="G2" s="612" t="s">
        <v>356</v>
      </c>
      <c r="H2" s="612" t="s">
        <v>360</v>
      </c>
      <c r="I2" s="817" t="s">
        <v>56</v>
      </c>
      <c r="J2" s="818"/>
      <c r="L2" s="337"/>
    </row>
    <row r="3" spans="1:19" ht="20.100000000000001" customHeight="1" thickTop="1" thickBot="1" x14ac:dyDescent="0.4">
      <c r="A3" s="90">
        <v>1</v>
      </c>
      <c r="B3" s="91" t="s">
        <v>49</v>
      </c>
      <c r="C3" s="92" t="s">
        <v>50</v>
      </c>
      <c r="D3" s="146">
        <f>IF(Working!M12="Above 250cc",10,IF(AND(Quote!B13=1,Quote!T13="Ijarah"),5,2.2))</f>
        <v>2.2000000000000002</v>
      </c>
      <c r="E3" s="93" t="s">
        <v>55</v>
      </c>
      <c r="F3" s="147">
        <v>2</v>
      </c>
      <c r="I3" s="25">
        <v>1</v>
      </c>
      <c r="J3" s="135" t="s">
        <v>170</v>
      </c>
      <c r="K3" s="148">
        <v>0.2</v>
      </c>
      <c r="L3" s="26" t="s">
        <v>71</v>
      </c>
      <c r="M3" s="27"/>
      <c r="N3" s="799" t="s">
        <v>141</v>
      </c>
      <c r="O3" s="800"/>
      <c r="P3" s="801"/>
      <c r="Q3" s="86" t="s">
        <v>138</v>
      </c>
      <c r="R3" s="87" t="s">
        <v>57</v>
      </c>
    </row>
    <row r="4" spans="1:19" ht="20.100000000000001" customHeight="1" thickTop="1" x14ac:dyDescent="0.35">
      <c r="A4" s="94">
        <f>A3+1</f>
        <v>2</v>
      </c>
      <c r="B4" s="95" t="s">
        <v>51</v>
      </c>
      <c r="C4" s="96" t="s">
        <v>50</v>
      </c>
      <c r="D4" s="149">
        <f>IF(Working!M12="Above 250cc",10,IF(AND(Quote!B13=1,Quote!T13="Ijarah"),5,2.2))</f>
        <v>2.2000000000000002</v>
      </c>
      <c r="E4" s="97" t="s">
        <v>55</v>
      </c>
      <c r="F4" s="150">
        <v>2</v>
      </c>
      <c r="I4" s="32"/>
      <c r="J4" s="134" t="s">
        <v>169</v>
      </c>
      <c r="K4" s="34">
        <v>0.25</v>
      </c>
      <c r="L4" s="35" t="s">
        <v>71</v>
      </c>
      <c r="M4" s="36"/>
      <c r="N4" s="815" t="s">
        <v>139</v>
      </c>
      <c r="O4" s="816"/>
      <c r="P4" s="816"/>
      <c r="Q4" s="151">
        <v>7.0000000000000007E-2</v>
      </c>
      <c r="R4" s="152">
        <v>2.5000000000000001E-2</v>
      </c>
    </row>
    <row r="5" spans="1:19" ht="20.100000000000001" customHeight="1" x14ac:dyDescent="0.35">
      <c r="A5" s="98">
        <f t="shared" ref="A5:A14" si="0">A4+1</f>
        <v>3</v>
      </c>
      <c r="B5" s="99" t="s">
        <v>154</v>
      </c>
      <c r="C5" s="100" t="s">
        <v>50</v>
      </c>
      <c r="D5" s="153">
        <v>2</v>
      </c>
      <c r="E5" s="101" t="s">
        <v>55</v>
      </c>
      <c r="F5" s="154">
        <v>20</v>
      </c>
      <c r="I5" s="28">
        <f>I3+1</f>
        <v>2</v>
      </c>
      <c r="J5" s="29" t="s">
        <v>171</v>
      </c>
      <c r="K5" s="155">
        <v>0.05</v>
      </c>
      <c r="L5" s="30" t="s">
        <v>71</v>
      </c>
      <c r="M5" s="31"/>
      <c r="N5" s="794" t="s">
        <v>148</v>
      </c>
      <c r="O5" s="795"/>
      <c r="P5" s="795"/>
      <c r="Q5" s="156">
        <v>0.04</v>
      </c>
      <c r="R5" s="157">
        <v>1.2500000000000001E-2</v>
      </c>
    </row>
    <row r="6" spans="1:19" ht="20.100000000000001" customHeight="1" x14ac:dyDescent="0.35">
      <c r="A6" s="94">
        <f t="shared" si="0"/>
        <v>4</v>
      </c>
      <c r="B6" s="95" t="s">
        <v>159</v>
      </c>
      <c r="C6" s="96" t="s">
        <v>50</v>
      </c>
      <c r="D6" s="158">
        <v>2.25</v>
      </c>
      <c r="E6" s="97" t="s">
        <v>55</v>
      </c>
      <c r="F6" s="150">
        <v>5</v>
      </c>
      <c r="I6" s="28"/>
      <c r="J6" s="133" t="s">
        <v>169</v>
      </c>
      <c r="K6" s="155">
        <v>6.25E-2</v>
      </c>
      <c r="L6" s="30" t="s">
        <v>71</v>
      </c>
      <c r="M6" s="31"/>
      <c r="N6" s="794" t="s">
        <v>147</v>
      </c>
      <c r="O6" s="795"/>
      <c r="P6" s="795"/>
      <c r="Q6" s="156">
        <v>3.7499999999999999E-2</v>
      </c>
      <c r="R6" s="157">
        <v>1.2500000000000001E-2</v>
      </c>
    </row>
    <row r="7" spans="1:19" ht="20.100000000000001" customHeight="1" thickBot="1" x14ac:dyDescent="0.4">
      <c r="A7" s="98">
        <f t="shared" si="0"/>
        <v>5</v>
      </c>
      <c r="B7" s="99" t="s">
        <v>160</v>
      </c>
      <c r="C7" s="100" t="s">
        <v>50</v>
      </c>
      <c r="D7" s="153">
        <v>2</v>
      </c>
      <c r="E7" s="101" t="s">
        <v>55</v>
      </c>
      <c r="F7" s="154">
        <v>5</v>
      </c>
      <c r="I7" s="32">
        <f>I5+1</f>
        <v>3</v>
      </c>
      <c r="J7" s="33" t="s">
        <v>58</v>
      </c>
      <c r="K7" s="34"/>
      <c r="L7" s="35"/>
      <c r="M7" s="36"/>
      <c r="N7" s="797" t="s">
        <v>140</v>
      </c>
      <c r="O7" s="798"/>
      <c r="P7" s="798"/>
      <c r="Q7" s="159">
        <v>0.05</v>
      </c>
      <c r="R7" s="160">
        <v>1250</v>
      </c>
    </row>
    <row r="8" spans="1:19" ht="20.100000000000001" customHeight="1" thickTop="1" thickBot="1" x14ac:dyDescent="0.4">
      <c r="A8" s="94">
        <f t="shared" si="0"/>
        <v>6</v>
      </c>
      <c r="B8" s="95" t="s">
        <v>162</v>
      </c>
      <c r="C8" s="96" t="s">
        <v>50</v>
      </c>
      <c r="D8" s="158">
        <v>2.25</v>
      </c>
      <c r="E8" s="97" t="s">
        <v>55</v>
      </c>
      <c r="F8" s="150">
        <v>7</v>
      </c>
      <c r="I8" s="32"/>
      <c r="J8" s="35" t="s">
        <v>67</v>
      </c>
      <c r="K8" s="34">
        <v>50</v>
      </c>
      <c r="L8" s="35" t="s">
        <v>60</v>
      </c>
      <c r="M8" s="36"/>
      <c r="N8" s="799" t="s">
        <v>39</v>
      </c>
      <c r="O8" s="800"/>
      <c r="P8" s="801"/>
      <c r="Q8" s="159">
        <v>0.15</v>
      </c>
      <c r="R8" s="160">
        <v>0.25</v>
      </c>
      <c r="S8" s="1" t="s">
        <v>144</v>
      </c>
    </row>
    <row r="9" spans="1:19" ht="20.100000000000001" customHeight="1" thickTop="1" thickBot="1" x14ac:dyDescent="0.4">
      <c r="A9" s="98">
        <f t="shared" si="0"/>
        <v>7</v>
      </c>
      <c r="B9" s="99" t="s">
        <v>161</v>
      </c>
      <c r="C9" s="100" t="s">
        <v>50</v>
      </c>
      <c r="D9" s="153">
        <v>2</v>
      </c>
      <c r="E9" s="101" t="s">
        <v>55</v>
      </c>
      <c r="F9" s="154">
        <v>7</v>
      </c>
      <c r="I9" s="32"/>
      <c r="J9" s="35" t="s">
        <v>66</v>
      </c>
      <c r="K9" s="34">
        <v>25</v>
      </c>
      <c r="L9" s="35" t="s">
        <v>60</v>
      </c>
      <c r="M9" s="36"/>
      <c r="N9" s="802" t="s">
        <v>142</v>
      </c>
      <c r="O9" s="802"/>
      <c r="P9" s="802"/>
      <c r="Q9" s="159">
        <v>15</v>
      </c>
      <c r="R9" s="160">
        <v>3.7499999999999999E-2</v>
      </c>
      <c r="S9" s="1" t="s">
        <v>143</v>
      </c>
    </row>
    <row r="10" spans="1:19" ht="20.100000000000001" customHeight="1" thickTop="1" x14ac:dyDescent="0.35">
      <c r="A10" s="94">
        <f t="shared" si="0"/>
        <v>8</v>
      </c>
      <c r="B10" s="95" t="s">
        <v>315</v>
      </c>
      <c r="C10" s="96" t="s">
        <v>50</v>
      </c>
      <c r="D10" s="158">
        <f>Working!K8*100</f>
        <v>1.25</v>
      </c>
      <c r="E10" s="97" t="s">
        <v>55</v>
      </c>
      <c r="F10" s="150">
        <v>5</v>
      </c>
      <c r="I10" s="32"/>
      <c r="J10" s="35" t="s">
        <v>65</v>
      </c>
      <c r="K10" s="34">
        <v>25</v>
      </c>
      <c r="L10" s="35" t="s">
        <v>60</v>
      </c>
      <c r="M10" s="36"/>
    </row>
    <row r="11" spans="1:19" ht="20.100000000000001" customHeight="1" x14ac:dyDescent="0.35">
      <c r="A11" s="98">
        <f t="shared" si="0"/>
        <v>9</v>
      </c>
      <c r="B11" s="99" t="s">
        <v>153</v>
      </c>
      <c r="C11" s="100" t="s">
        <v>50</v>
      </c>
      <c r="D11" s="153">
        <v>1</v>
      </c>
      <c r="E11" s="101" t="s">
        <v>55</v>
      </c>
      <c r="F11" s="154">
        <v>60</v>
      </c>
      <c r="I11" s="28">
        <v>4</v>
      </c>
      <c r="J11" s="29" t="s">
        <v>62</v>
      </c>
      <c r="K11" s="155">
        <v>10</v>
      </c>
      <c r="L11" s="30" t="s">
        <v>68</v>
      </c>
      <c r="M11" s="31"/>
    </row>
    <row r="12" spans="1:19" ht="20.100000000000001" customHeight="1" x14ac:dyDescent="0.35">
      <c r="A12" s="94">
        <f t="shared" si="0"/>
        <v>10</v>
      </c>
      <c r="B12" s="95" t="s">
        <v>52</v>
      </c>
      <c r="C12" s="96" t="s">
        <v>50</v>
      </c>
      <c r="D12" s="158">
        <v>1.75</v>
      </c>
      <c r="E12" s="97" t="s">
        <v>55</v>
      </c>
      <c r="F12" s="150">
        <v>4</v>
      </c>
      <c r="I12" s="32">
        <f>I11+1</f>
        <v>5</v>
      </c>
      <c r="J12" s="38" t="s">
        <v>63</v>
      </c>
      <c r="K12" s="34">
        <v>10</v>
      </c>
      <c r="L12" s="35" t="s">
        <v>69</v>
      </c>
      <c r="M12" s="36"/>
    </row>
    <row r="13" spans="1:19" ht="20.100000000000001" customHeight="1" thickBot="1" x14ac:dyDescent="0.4">
      <c r="A13" s="98">
        <f t="shared" si="0"/>
        <v>11</v>
      </c>
      <c r="B13" s="109" t="s">
        <v>53</v>
      </c>
      <c r="C13" s="110" t="s">
        <v>50</v>
      </c>
      <c r="D13" s="161">
        <v>0.8</v>
      </c>
      <c r="E13" s="111" t="s">
        <v>55</v>
      </c>
      <c r="F13" s="162">
        <v>4</v>
      </c>
      <c r="I13" s="28">
        <f>I12+1</f>
        <v>6</v>
      </c>
      <c r="J13" s="29" t="s">
        <v>11</v>
      </c>
      <c r="K13" s="155">
        <v>15</v>
      </c>
      <c r="L13" s="30" t="s">
        <v>68</v>
      </c>
      <c r="M13" s="31"/>
    </row>
    <row r="14" spans="1:19" ht="20.100000000000001" customHeight="1" thickTop="1" thickBot="1" x14ac:dyDescent="0.4">
      <c r="A14" s="94">
        <f t="shared" si="0"/>
        <v>12</v>
      </c>
      <c r="B14" s="112" t="s">
        <v>163</v>
      </c>
      <c r="C14" s="96" t="s">
        <v>50</v>
      </c>
      <c r="D14" s="163">
        <v>0.8</v>
      </c>
      <c r="E14" s="113" t="s">
        <v>55</v>
      </c>
      <c r="F14" s="164">
        <v>4</v>
      </c>
      <c r="I14" s="32">
        <f>I13+1</f>
        <v>7</v>
      </c>
      <c r="J14" s="38" t="s">
        <v>45</v>
      </c>
      <c r="K14" s="34">
        <v>30</v>
      </c>
      <c r="L14" s="35" t="s">
        <v>68</v>
      </c>
      <c r="M14" s="54" t="s">
        <v>125</v>
      </c>
    </row>
    <row r="15" spans="1:19" ht="20.100000000000001" customHeight="1" thickTop="1" thickBot="1" x14ac:dyDescent="0.4">
      <c r="A15" s="98">
        <f>A14+1</f>
        <v>13</v>
      </c>
      <c r="B15" s="109" t="s">
        <v>166</v>
      </c>
      <c r="C15" s="110" t="s">
        <v>50</v>
      </c>
      <c r="D15" s="161">
        <v>2</v>
      </c>
      <c r="E15" s="111" t="s">
        <v>55</v>
      </c>
      <c r="F15" s="162">
        <v>50</v>
      </c>
      <c r="I15" s="28">
        <f>I14+1</f>
        <v>8</v>
      </c>
      <c r="J15" s="29" t="s">
        <v>64</v>
      </c>
      <c r="K15" s="155">
        <v>33.33</v>
      </c>
      <c r="L15" s="30" t="s">
        <v>68</v>
      </c>
      <c r="M15" s="54" t="s">
        <v>125</v>
      </c>
    </row>
    <row r="16" spans="1:19" ht="20.100000000000001" customHeight="1" thickTop="1" x14ac:dyDescent="0.35">
      <c r="A16" s="94">
        <f>A15+1</f>
        <v>14</v>
      </c>
      <c r="B16" s="95" t="s">
        <v>316</v>
      </c>
      <c r="C16" s="96" t="s">
        <v>50</v>
      </c>
      <c r="D16" s="368">
        <v>2.25</v>
      </c>
      <c r="E16" s="369" t="s">
        <v>55</v>
      </c>
      <c r="F16" s="164">
        <v>4</v>
      </c>
      <c r="I16" s="32">
        <f>I15+1</f>
        <v>9</v>
      </c>
      <c r="J16" s="33" t="s">
        <v>35</v>
      </c>
      <c r="K16" s="35"/>
      <c r="L16" s="35"/>
      <c r="M16" s="36"/>
    </row>
    <row r="17" spans="1:15" ht="20.100000000000001" customHeight="1" thickBot="1" x14ac:dyDescent="0.4">
      <c r="A17" s="362">
        <v>15</v>
      </c>
      <c r="B17" s="363" t="s">
        <v>164</v>
      </c>
      <c r="C17" s="364" t="s">
        <v>50</v>
      </c>
      <c r="D17" s="370"/>
      <c r="E17" s="371" t="s">
        <v>55</v>
      </c>
      <c r="F17" s="365">
        <v>5</v>
      </c>
      <c r="I17" s="32"/>
      <c r="J17" s="134" t="s">
        <v>70</v>
      </c>
      <c r="K17" s="165">
        <v>100</v>
      </c>
      <c r="L17" s="48" t="s">
        <v>80</v>
      </c>
      <c r="M17" s="49">
        <v>1100</v>
      </c>
    </row>
    <row r="18" spans="1:15" ht="20.100000000000001" customHeight="1" thickTop="1" thickBot="1" x14ac:dyDescent="0.4">
      <c r="A18" s="51">
        <v>1</v>
      </c>
      <c r="B18" s="39"/>
      <c r="C18" s="39"/>
      <c r="D18" s="39"/>
      <c r="E18" s="39"/>
      <c r="F18" s="39"/>
      <c r="I18" s="32"/>
      <c r="J18" s="134" t="s">
        <v>519</v>
      </c>
      <c r="K18" s="165">
        <v>700</v>
      </c>
      <c r="L18" s="50" t="s">
        <v>81</v>
      </c>
      <c r="M18" s="49">
        <v>2200</v>
      </c>
      <c r="N18" s="71"/>
    </row>
    <row r="19" spans="1:15" ht="20.100000000000001" customHeight="1" thickTop="1" thickBot="1" x14ac:dyDescent="0.4">
      <c r="A19" s="40"/>
      <c r="B19" s="41" t="s">
        <v>78</v>
      </c>
      <c r="C19" s="42" t="s">
        <v>50</v>
      </c>
      <c r="D19" s="166">
        <v>2.5</v>
      </c>
      <c r="E19" s="43" t="s">
        <v>55</v>
      </c>
      <c r="F19" s="39"/>
      <c r="I19" s="28">
        <v>10</v>
      </c>
      <c r="J19" s="29" t="s">
        <v>126</v>
      </c>
      <c r="K19" s="155">
        <v>15</v>
      </c>
      <c r="L19" s="30" t="s">
        <v>68</v>
      </c>
      <c r="M19" s="819" t="s">
        <v>127</v>
      </c>
      <c r="N19" s="820"/>
      <c r="O19" s="54" t="s">
        <v>113</v>
      </c>
    </row>
    <row r="20" spans="1:15" ht="20.100000000000001" customHeight="1" thickTop="1" thickBot="1" x14ac:dyDescent="0.4">
      <c r="A20" s="143"/>
      <c r="B20" s="144" t="s">
        <v>172</v>
      </c>
      <c r="C20" s="145" t="s">
        <v>50</v>
      </c>
      <c r="D20" s="167">
        <v>0</v>
      </c>
      <c r="E20" s="345" t="s">
        <v>55</v>
      </c>
      <c r="F20" s="346" t="s">
        <v>113</v>
      </c>
      <c r="G20" s="613">
        <f>IF(F20="Yes",D20,0)</f>
        <v>0</v>
      </c>
      <c r="H20" s="613"/>
      <c r="I20" s="28"/>
      <c r="J20" s="29"/>
      <c r="K20" s="155"/>
      <c r="L20" s="30"/>
      <c r="M20" s="219"/>
      <c r="N20" s="72"/>
    </row>
    <row r="21" spans="1:15" ht="20.100000000000001" customHeight="1" thickTop="1" thickBot="1" x14ac:dyDescent="0.4">
      <c r="A21" s="44"/>
      <c r="B21" s="45" t="s">
        <v>79</v>
      </c>
      <c r="C21" s="46" t="s">
        <v>50</v>
      </c>
      <c r="D21" s="168">
        <v>15</v>
      </c>
      <c r="E21" s="47" t="s">
        <v>55</v>
      </c>
      <c r="F21" s="39"/>
      <c r="I21" s="32">
        <f>I19+1</f>
        <v>11</v>
      </c>
      <c r="J21" s="38" t="s">
        <v>72</v>
      </c>
      <c r="K21" s="34">
        <v>10</v>
      </c>
      <c r="L21" s="35" t="s">
        <v>74</v>
      </c>
      <c r="M21" s="54" t="s">
        <v>125</v>
      </c>
    </row>
    <row r="22" spans="1:15" ht="30.75" customHeight="1" thickTop="1" thickBot="1" x14ac:dyDescent="0.3">
      <c r="I22" s="28">
        <f>I21+1</f>
        <v>12</v>
      </c>
      <c r="J22" s="55" t="s">
        <v>73</v>
      </c>
      <c r="K22" s="30"/>
      <c r="L22" s="30"/>
      <c r="M22" s="31"/>
    </row>
    <row r="23" spans="1:15" ht="20.100000000000001" customHeight="1" thickTop="1" thickBot="1" x14ac:dyDescent="0.4">
      <c r="A23" s="51">
        <v>2</v>
      </c>
      <c r="B23" s="52" t="s">
        <v>119</v>
      </c>
      <c r="I23" s="28"/>
      <c r="J23" s="30" t="s">
        <v>61</v>
      </c>
      <c r="K23" s="155">
        <v>150</v>
      </c>
      <c r="L23" s="56" t="s">
        <v>76</v>
      </c>
      <c r="M23" s="31"/>
    </row>
    <row r="24" spans="1:15" ht="20.100000000000001" customHeight="1" thickTop="1" thickBot="1" x14ac:dyDescent="0.4">
      <c r="A24" s="53"/>
      <c r="B24" s="169">
        <v>28000000</v>
      </c>
      <c r="I24" s="28"/>
      <c r="J24" s="57" t="s">
        <v>123</v>
      </c>
      <c r="K24" s="170">
        <v>600</v>
      </c>
      <c r="L24" s="58" t="s">
        <v>76</v>
      </c>
      <c r="M24" s="31"/>
    </row>
    <row r="25" spans="1:15" ht="20.100000000000001" customHeight="1" thickBot="1" x14ac:dyDescent="0.4">
      <c r="B25" s="169">
        <v>1000000</v>
      </c>
      <c r="C25" s="85" t="s">
        <v>137</v>
      </c>
      <c r="I25" s="28"/>
      <c r="J25" s="30" t="s">
        <v>75</v>
      </c>
      <c r="K25" s="155">
        <v>150</v>
      </c>
      <c r="L25" s="56" t="s">
        <v>76</v>
      </c>
      <c r="M25" s="31"/>
    </row>
    <row r="26" spans="1:15" ht="20.100000000000001" customHeight="1" thickTop="1" thickBot="1" x14ac:dyDescent="0.4">
      <c r="A26" s="51">
        <v>3</v>
      </c>
      <c r="B26" s="52" t="s">
        <v>112</v>
      </c>
      <c r="F26" s="52" t="s">
        <v>394</v>
      </c>
      <c r="I26" s="32">
        <v>13</v>
      </c>
      <c r="J26" s="33" t="s">
        <v>82</v>
      </c>
      <c r="K26" s="35"/>
      <c r="L26" s="35"/>
      <c r="M26" s="49"/>
    </row>
    <row r="27" spans="1:15" ht="20.100000000000001" customHeight="1" thickTop="1" thickBot="1" x14ac:dyDescent="0.4">
      <c r="A27" s="53"/>
      <c r="B27" s="169">
        <v>28000000</v>
      </c>
      <c r="F27" s="811">
        <v>10</v>
      </c>
      <c r="G27" s="812"/>
      <c r="I27" s="60"/>
      <c r="J27" s="61" t="s">
        <v>83</v>
      </c>
      <c r="K27" s="165">
        <v>6</v>
      </c>
      <c r="L27" s="70" t="s">
        <v>87</v>
      </c>
      <c r="M27" s="49">
        <v>12</v>
      </c>
    </row>
    <row r="28" spans="1:15" ht="20.100000000000001" customHeight="1" thickTop="1" thickBot="1" x14ac:dyDescent="0.4">
      <c r="A28" s="51">
        <v>4</v>
      </c>
      <c r="B28" s="52" t="s">
        <v>114</v>
      </c>
      <c r="C28" s="806" t="s">
        <v>77</v>
      </c>
      <c r="D28" s="807"/>
      <c r="I28" s="60"/>
      <c r="J28" s="61" t="s">
        <v>86</v>
      </c>
      <c r="K28" s="165">
        <v>20</v>
      </c>
      <c r="L28" s="70" t="s">
        <v>88</v>
      </c>
      <c r="M28" s="49">
        <v>30</v>
      </c>
    </row>
    <row r="29" spans="1:15" ht="20.100000000000001" customHeight="1" thickTop="1" thickBot="1" x14ac:dyDescent="0.4">
      <c r="A29" s="51">
        <v>5</v>
      </c>
      <c r="B29" s="59" t="s">
        <v>115</v>
      </c>
      <c r="C29" s="811">
        <v>75</v>
      </c>
      <c r="D29" s="812"/>
      <c r="E29" s="808">
        <f>IF(OR(Working!H8=Administration!C7,Working!H8=Administration!C8),G29,0)</f>
        <v>0</v>
      </c>
      <c r="F29" s="809"/>
      <c r="G29" s="813">
        <v>1200000</v>
      </c>
      <c r="H29" s="814"/>
      <c r="I29" s="60"/>
      <c r="J29" s="61" t="s">
        <v>85</v>
      </c>
      <c r="K29" s="165">
        <v>55</v>
      </c>
      <c r="L29" s="70" t="s">
        <v>89</v>
      </c>
      <c r="M29" s="49">
        <v>105</v>
      </c>
    </row>
    <row r="30" spans="1:15" ht="20.100000000000001" customHeight="1" thickTop="1" thickBot="1" x14ac:dyDescent="0.4">
      <c r="A30" s="51">
        <v>6</v>
      </c>
      <c r="B30" s="52" t="s">
        <v>116</v>
      </c>
      <c r="I30" s="60"/>
      <c r="J30" s="61" t="s">
        <v>84</v>
      </c>
      <c r="K30" s="165">
        <v>290</v>
      </c>
      <c r="L30" s="61"/>
      <c r="M30" s="49"/>
    </row>
    <row r="31" spans="1:15" ht="20.100000000000001" customHeight="1" thickTop="1" thickBot="1" x14ac:dyDescent="0.4">
      <c r="A31" s="53"/>
      <c r="B31" s="169">
        <v>1000000</v>
      </c>
      <c r="I31" s="28">
        <v>14</v>
      </c>
      <c r="J31" s="29" t="s">
        <v>90</v>
      </c>
      <c r="K31" s="155">
        <v>2000</v>
      </c>
      <c r="L31" s="56" t="s">
        <v>76</v>
      </c>
      <c r="M31" s="31"/>
    </row>
    <row r="32" spans="1:15" ht="20.100000000000001" customHeight="1" thickTop="1" thickBot="1" x14ac:dyDescent="0.4">
      <c r="A32" s="51">
        <v>7</v>
      </c>
      <c r="B32" s="52" t="s">
        <v>128</v>
      </c>
      <c r="I32" s="32">
        <v>15</v>
      </c>
      <c r="J32" s="38" t="s">
        <v>91</v>
      </c>
      <c r="K32" s="34">
        <v>10</v>
      </c>
      <c r="L32" s="35" t="s">
        <v>92</v>
      </c>
      <c r="M32" s="36"/>
    </row>
    <row r="33" spans="1:13" ht="20.100000000000001" customHeight="1" thickTop="1" thickBot="1" x14ac:dyDescent="0.4">
      <c r="B33" s="169">
        <v>5000</v>
      </c>
      <c r="I33" s="28">
        <v>16</v>
      </c>
      <c r="J33" s="55" t="s">
        <v>8</v>
      </c>
      <c r="K33" s="30"/>
      <c r="L33" s="30"/>
      <c r="M33" s="31"/>
    </row>
    <row r="34" spans="1:13" ht="20.100000000000001" customHeight="1" thickBot="1" x14ac:dyDescent="0.3">
      <c r="I34" s="64"/>
      <c r="J34" s="30" t="s">
        <v>94</v>
      </c>
      <c r="K34" s="155">
        <v>150</v>
      </c>
      <c r="L34" s="56" t="s">
        <v>76</v>
      </c>
      <c r="M34" s="31"/>
    </row>
    <row r="35" spans="1:13" ht="20.100000000000001" customHeight="1" thickTop="1" thickBot="1" x14ac:dyDescent="0.4">
      <c r="A35" s="51">
        <v>8</v>
      </c>
      <c r="B35" s="82" t="s">
        <v>136</v>
      </c>
      <c r="I35" s="64"/>
      <c r="J35" s="30" t="s">
        <v>59</v>
      </c>
      <c r="K35" s="155">
        <v>200</v>
      </c>
      <c r="L35" s="56" t="s">
        <v>76</v>
      </c>
      <c r="M35" s="31"/>
    </row>
    <row r="36" spans="1:13" ht="20.100000000000001" customHeight="1" thickTop="1" thickBot="1" x14ac:dyDescent="0.4">
      <c r="A36" s="53"/>
      <c r="B36" s="169">
        <v>1000</v>
      </c>
      <c r="I36" s="64"/>
      <c r="J36" s="30" t="s">
        <v>93</v>
      </c>
      <c r="K36" s="155">
        <v>200</v>
      </c>
      <c r="L36" s="56" t="s">
        <v>76</v>
      </c>
      <c r="M36" s="31"/>
    </row>
    <row r="37" spans="1:13" ht="20.100000000000001" customHeight="1" thickTop="1" thickBot="1" x14ac:dyDescent="0.4">
      <c r="A37" s="51">
        <v>9</v>
      </c>
      <c r="B37" s="84" t="s">
        <v>134</v>
      </c>
      <c r="I37" s="32">
        <v>17</v>
      </c>
      <c r="J37" s="33" t="s">
        <v>2</v>
      </c>
      <c r="K37" s="34"/>
      <c r="L37" s="35"/>
      <c r="M37" s="36"/>
    </row>
    <row r="38" spans="1:13" ht="20.100000000000001" customHeight="1" thickTop="1" thickBot="1" x14ac:dyDescent="0.3">
      <c r="B38" s="83" t="s">
        <v>135</v>
      </c>
      <c r="C38" s="803">
        <v>0</v>
      </c>
      <c r="D38" s="804"/>
      <c r="E38" s="805"/>
      <c r="I38" s="65" t="s">
        <v>95</v>
      </c>
      <c r="J38" s="34">
        <v>1000</v>
      </c>
      <c r="K38" s="171">
        <v>10</v>
      </c>
      <c r="L38" s="66"/>
      <c r="M38" s="36"/>
    </row>
    <row r="39" spans="1:13" ht="20.100000000000001" customHeight="1" thickTop="1" thickBot="1" x14ac:dyDescent="0.4">
      <c r="A39" s="51">
        <v>10</v>
      </c>
      <c r="B39" s="62" t="s">
        <v>118</v>
      </c>
      <c r="D39" s="68" t="s">
        <v>77</v>
      </c>
      <c r="I39" s="65" t="s">
        <v>95</v>
      </c>
      <c r="J39" s="34">
        <v>2500</v>
      </c>
      <c r="K39" s="171">
        <v>15</v>
      </c>
      <c r="L39" s="66"/>
      <c r="M39" s="36"/>
    </row>
    <row r="40" spans="1:13" ht="17.100000000000001" customHeight="1" thickTop="1" thickBot="1" x14ac:dyDescent="0.4">
      <c r="A40" s="53"/>
      <c r="B40" s="63" t="s">
        <v>117</v>
      </c>
      <c r="C40" s="803">
        <v>50000</v>
      </c>
      <c r="D40" s="804"/>
      <c r="E40" s="805"/>
      <c r="I40" s="65" t="s">
        <v>95</v>
      </c>
      <c r="J40" s="34">
        <v>5000</v>
      </c>
      <c r="K40" s="171">
        <v>20</v>
      </c>
      <c r="L40" s="66"/>
      <c r="M40" s="36"/>
    </row>
    <row r="41" spans="1:13" ht="17.100000000000001" customHeight="1" thickTop="1" thickBot="1" x14ac:dyDescent="0.3">
      <c r="B41" s="63" t="s">
        <v>129</v>
      </c>
      <c r="D41" s="68" t="s">
        <v>113</v>
      </c>
      <c r="I41" s="28">
        <v>18</v>
      </c>
      <c r="J41" s="55" t="s">
        <v>96</v>
      </c>
      <c r="K41" s="30"/>
      <c r="L41" s="30"/>
      <c r="M41" s="31"/>
    </row>
    <row r="42" spans="1:13" ht="17.100000000000001" customHeight="1" thickTop="1" thickBot="1" x14ac:dyDescent="0.3">
      <c r="B42" s="63" t="s">
        <v>158</v>
      </c>
      <c r="D42" s="68">
        <v>10</v>
      </c>
      <c r="I42" s="64"/>
      <c r="J42" s="67" t="s">
        <v>97</v>
      </c>
      <c r="K42" s="155">
        <v>4.5</v>
      </c>
      <c r="L42" s="30" t="s">
        <v>68</v>
      </c>
      <c r="M42" s="31"/>
    </row>
    <row r="43" spans="1:13" ht="17.100000000000001" customHeight="1" thickTop="1" thickBot="1" x14ac:dyDescent="0.4">
      <c r="A43" s="51">
        <v>11</v>
      </c>
      <c r="B43" s="810" t="s">
        <v>130</v>
      </c>
      <c r="D43" s="68" t="s">
        <v>113</v>
      </c>
      <c r="I43" s="64"/>
      <c r="J43" s="67" t="s">
        <v>98</v>
      </c>
      <c r="K43" s="155">
        <v>5.25</v>
      </c>
      <c r="L43" s="30" t="s">
        <v>68</v>
      </c>
      <c r="M43" s="31"/>
    </row>
    <row r="44" spans="1:13" ht="17.100000000000001" customHeight="1" thickTop="1" thickBot="1" x14ac:dyDescent="0.3">
      <c r="B44" s="810"/>
      <c r="I44" s="64"/>
      <c r="J44" s="67" t="s">
        <v>99</v>
      </c>
      <c r="K44" s="155">
        <v>6</v>
      </c>
      <c r="L44" s="30" t="s">
        <v>68</v>
      </c>
      <c r="M44" s="31"/>
    </row>
    <row r="45" spans="1:13" ht="17.100000000000001" customHeight="1" thickTop="1" thickBot="1" x14ac:dyDescent="0.4">
      <c r="A45" s="51">
        <v>12</v>
      </c>
      <c r="B45" s="63" t="s">
        <v>293</v>
      </c>
      <c r="D45" s="68" t="s">
        <v>113</v>
      </c>
      <c r="I45" s="64"/>
      <c r="J45" s="67" t="s">
        <v>100</v>
      </c>
      <c r="K45" s="155">
        <v>6.25</v>
      </c>
      <c r="L45" s="30" t="s">
        <v>68</v>
      </c>
      <c r="M45" s="31"/>
    </row>
    <row r="46" spans="1:13" ht="17.100000000000001" customHeight="1" thickTop="1" thickBot="1" x14ac:dyDescent="0.3">
      <c r="I46" s="64"/>
      <c r="J46" s="67" t="s">
        <v>101</v>
      </c>
      <c r="K46" s="155">
        <v>6.5</v>
      </c>
      <c r="L46" s="30" t="s">
        <v>68</v>
      </c>
      <c r="M46" s="31"/>
    </row>
    <row r="47" spans="1:13" ht="17.100000000000001" customHeight="1" thickTop="1" thickBot="1" x14ac:dyDescent="0.4">
      <c r="A47" s="51">
        <v>13</v>
      </c>
      <c r="B47" s="796" t="s">
        <v>400</v>
      </c>
      <c r="D47" s="68" t="s">
        <v>113</v>
      </c>
      <c r="I47" s="64"/>
      <c r="J47" s="67" t="s">
        <v>102</v>
      </c>
      <c r="K47" s="155">
        <v>6.75</v>
      </c>
      <c r="L47" s="30" t="s">
        <v>68</v>
      </c>
      <c r="M47" s="31"/>
    </row>
    <row r="48" spans="1:13" ht="17.100000000000001" customHeight="1" thickTop="1" x14ac:dyDescent="0.25">
      <c r="B48" s="796"/>
      <c r="I48" s="64"/>
      <c r="J48" s="67" t="s">
        <v>103</v>
      </c>
      <c r="K48" s="155">
        <v>7</v>
      </c>
      <c r="L48" s="30" t="s">
        <v>68</v>
      </c>
      <c r="M48" s="31"/>
    </row>
    <row r="49" spans="1:13" ht="17.100000000000001" customHeight="1" thickBot="1" x14ac:dyDescent="0.3">
      <c r="I49" s="64"/>
      <c r="J49" s="67" t="s">
        <v>104</v>
      </c>
      <c r="K49" s="155">
        <v>7</v>
      </c>
      <c r="L49" s="30" t="s">
        <v>68</v>
      </c>
      <c r="M49" s="31"/>
    </row>
    <row r="50" spans="1:13" ht="20.100000000000001" customHeight="1" thickTop="1" thickBot="1" x14ac:dyDescent="0.4">
      <c r="A50" s="51">
        <v>14</v>
      </c>
      <c r="B50" s="63" t="s">
        <v>263</v>
      </c>
      <c r="D50" s="68" t="s">
        <v>113</v>
      </c>
      <c r="I50" s="64"/>
      <c r="J50" s="67" t="s">
        <v>105</v>
      </c>
      <c r="K50" s="155">
        <v>7</v>
      </c>
      <c r="L50" s="30" t="s">
        <v>68</v>
      </c>
      <c r="M50" s="31"/>
    </row>
    <row r="51" spans="1:13" ht="17.100000000000001" customHeight="1" thickTop="1" thickBot="1" x14ac:dyDescent="0.3">
      <c r="I51" s="64"/>
      <c r="J51" s="67" t="s">
        <v>106</v>
      </c>
      <c r="K51" s="155">
        <v>7</v>
      </c>
      <c r="L51" s="30" t="s">
        <v>68</v>
      </c>
      <c r="M51" s="31"/>
    </row>
    <row r="52" spans="1:13" ht="17.100000000000001" customHeight="1" thickTop="1" thickBot="1" x14ac:dyDescent="0.4">
      <c r="A52" s="51">
        <v>15</v>
      </c>
      <c r="B52" s="271" t="str">
        <f>CONCATENATE("Allow Vehicle Above ",Administration!F29," Years")</f>
        <v>Allow Vehicle Above 19 Years</v>
      </c>
      <c r="D52" s="68" t="s">
        <v>77</v>
      </c>
      <c r="I52" s="32">
        <v>19</v>
      </c>
      <c r="J52" s="33" t="s">
        <v>39</v>
      </c>
      <c r="K52" s="35"/>
      <c r="L52" s="35"/>
      <c r="M52" s="36"/>
    </row>
    <row r="53" spans="1:13" ht="17.100000000000001" customHeight="1" thickTop="1" thickBot="1" x14ac:dyDescent="0.3">
      <c r="I53" s="60"/>
      <c r="J53" s="35" t="s">
        <v>4</v>
      </c>
      <c r="K53" s="172">
        <v>0.7</v>
      </c>
      <c r="L53" s="35" t="s">
        <v>121</v>
      </c>
      <c r="M53" s="36"/>
    </row>
    <row r="54" spans="1:13" ht="17.100000000000001" customHeight="1" thickTop="1" thickBot="1" x14ac:dyDescent="0.4">
      <c r="A54" s="51">
        <v>16</v>
      </c>
      <c r="B54" s="271" t="s">
        <v>292</v>
      </c>
      <c r="I54" s="60"/>
      <c r="J54" s="37" t="s">
        <v>5</v>
      </c>
      <c r="K54" s="173">
        <v>1.5</v>
      </c>
      <c r="L54" s="37" t="s">
        <v>121</v>
      </c>
      <c r="M54" s="36"/>
    </row>
    <row r="55" spans="1:13" ht="20.100000000000001" customHeight="1" thickTop="1" thickBot="1" x14ac:dyDescent="0.3">
      <c r="B55" s="803">
        <v>15000</v>
      </c>
      <c r="C55" s="804"/>
      <c r="D55" s="805"/>
      <c r="I55" s="60"/>
      <c r="J55" s="37" t="s">
        <v>38</v>
      </c>
      <c r="K55" s="173">
        <v>3.5</v>
      </c>
      <c r="L55" s="37" t="s">
        <v>121</v>
      </c>
      <c r="M55" s="36"/>
    </row>
    <row r="56" spans="1:13" ht="20.100000000000001" customHeight="1" thickTop="1" thickBot="1" x14ac:dyDescent="0.3">
      <c r="I56" s="60"/>
      <c r="J56" s="37" t="s">
        <v>120</v>
      </c>
      <c r="K56" s="173">
        <v>1.5</v>
      </c>
      <c r="L56" s="37" t="s">
        <v>121</v>
      </c>
      <c r="M56" s="36"/>
    </row>
    <row r="57" spans="1:13" ht="20.100000000000001" customHeight="1" thickTop="1" thickBot="1" x14ac:dyDescent="0.4">
      <c r="A57" s="51">
        <v>17</v>
      </c>
      <c r="B57" s="427" t="s">
        <v>361</v>
      </c>
      <c r="I57" s="28">
        <v>20</v>
      </c>
      <c r="J57" s="55" t="s">
        <v>122</v>
      </c>
      <c r="K57" s="155">
        <v>33.33</v>
      </c>
      <c r="L57" s="30" t="s">
        <v>68</v>
      </c>
      <c r="M57" s="31"/>
    </row>
    <row r="58" spans="1:13" ht="20.100000000000001" customHeight="1" thickTop="1" thickBot="1" x14ac:dyDescent="0.3">
      <c r="B58" s="422" t="s">
        <v>365</v>
      </c>
      <c r="D58" s="68" t="s">
        <v>77</v>
      </c>
      <c r="I58" s="32">
        <v>21</v>
      </c>
      <c r="J58" s="33" t="s">
        <v>228</v>
      </c>
      <c r="K58" s="35"/>
      <c r="L58" s="35"/>
      <c r="M58" s="36"/>
    </row>
    <row r="59" spans="1:13" ht="20.100000000000001" customHeight="1" thickTop="1" thickBot="1" x14ac:dyDescent="0.3">
      <c r="B59" s="422" t="s">
        <v>362</v>
      </c>
      <c r="D59" s="250">
        <v>15</v>
      </c>
      <c r="E59" s="1" t="s">
        <v>366</v>
      </c>
      <c r="I59" s="60"/>
      <c r="J59" s="35" t="s">
        <v>229</v>
      </c>
      <c r="K59" s="172">
        <v>0</v>
      </c>
      <c r="L59" s="226" t="s">
        <v>76</v>
      </c>
      <c r="M59" s="36"/>
    </row>
    <row r="60" spans="1:13" ht="20.100000000000001" customHeight="1" thickBot="1" x14ac:dyDescent="0.3">
      <c r="B60" s="422" t="s">
        <v>363</v>
      </c>
      <c r="D60" s="250">
        <v>15</v>
      </c>
      <c r="E60" s="1" t="s">
        <v>366</v>
      </c>
      <c r="I60" s="60"/>
      <c r="J60" s="35" t="s">
        <v>230</v>
      </c>
      <c r="K60" s="173">
        <v>0</v>
      </c>
      <c r="L60" s="226" t="s">
        <v>76</v>
      </c>
      <c r="M60" s="36"/>
    </row>
    <row r="61" spans="1:13" ht="20.100000000000001" customHeight="1" thickTop="1" thickBot="1" x14ac:dyDescent="0.3">
      <c r="A61" s="453"/>
      <c r="B61" s="454" t="s">
        <v>367</v>
      </c>
      <c r="D61" s="68" t="s">
        <v>77</v>
      </c>
      <c r="I61" s="60"/>
      <c r="J61" s="37" t="s">
        <v>40</v>
      </c>
      <c r="K61" s="173">
        <v>0</v>
      </c>
      <c r="L61" s="226" t="s">
        <v>76</v>
      </c>
      <c r="M61" s="36"/>
    </row>
    <row r="62" spans="1:13" ht="20.100000000000001" customHeight="1" thickTop="1" thickBot="1" x14ac:dyDescent="0.3">
      <c r="I62" s="60"/>
      <c r="J62" s="37" t="s">
        <v>41</v>
      </c>
      <c r="K62" s="173">
        <v>6000</v>
      </c>
      <c r="L62" s="226" t="s">
        <v>76</v>
      </c>
      <c r="M62" s="36"/>
    </row>
    <row r="63" spans="1:13" ht="20.100000000000001" customHeight="1" thickTop="1" thickBot="1" x14ac:dyDescent="0.4">
      <c r="A63" s="51">
        <v>18</v>
      </c>
      <c r="B63" s="426" t="s">
        <v>364</v>
      </c>
      <c r="D63" s="68" t="s">
        <v>77</v>
      </c>
      <c r="I63" s="60"/>
      <c r="J63" s="37" t="s">
        <v>224</v>
      </c>
      <c r="K63" s="173">
        <v>0</v>
      </c>
      <c r="L63" s="226" t="s">
        <v>76</v>
      </c>
      <c r="M63" s="36"/>
    </row>
    <row r="64" spans="1:13" ht="20.100000000000001" customHeight="1" thickTop="1" thickBot="1" x14ac:dyDescent="0.3">
      <c r="B64" s="422" t="s">
        <v>365</v>
      </c>
      <c r="D64" s="68" t="s">
        <v>77</v>
      </c>
      <c r="I64" s="60"/>
      <c r="J64" s="37" t="s">
        <v>231</v>
      </c>
      <c r="K64" s="173">
        <v>2500</v>
      </c>
      <c r="L64" s="226" t="s">
        <v>76</v>
      </c>
      <c r="M64" s="36"/>
    </row>
    <row r="65" spans="1:13" ht="20.100000000000001" customHeight="1" thickTop="1" thickBot="1" x14ac:dyDescent="0.3">
      <c r="I65" s="60"/>
      <c r="J65" s="37" t="s">
        <v>227</v>
      </c>
      <c r="K65" s="173">
        <v>2000</v>
      </c>
      <c r="L65" s="226" t="s">
        <v>76</v>
      </c>
      <c r="M65" s="36"/>
    </row>
    <row r="66" spans="1:13" ht="20.100000000000001" customHeight="1" thickTop="1" thickBot="1" x14ac:dyDescent="0.4">
      <c r="A66" s="51">
        <v>19</v>
      </c>
      <c r="B66" s="427" t="s">
        <v>368</v>
      </c>
      <c r="I66" s="60"/>
      <c r="J66" s="37" t="s">
        <v>232</v>
      </c>
      <c r="K66" s="173">
        <v>5000</v>
      </c>
      <c r="L66" s="226" t="s">
        <v>76</v>
      </c>
      <c r="M66" s="36"/>
    </row>
    <row r="67" spans="1:13" ht="20.100000000000001" customHeight="1" thickTop="1" thickBot="1" x14ac:dyDescent="0.3">
      <c r="B67" s="425" t="s">
        <v>369</v>
      </c>
      <c r="D67" s="68" t="s">
        <v>77</v>
      </c>
      <c r="I67" s="60"/>
      <c r="J67" s="37" t="s">
        <v>219</v>
      </c>
      <c r="K67" s="173">
        <v>2500</v>
      </c>
      <c r="L67" s="226" t="s">
        <v>76</v>
      </c>
      <c r="M67" s="36"/>
    </row>
    <row r="68" spans="1:13" ht="20.100000000000001" customHeight="1" thickTop="1" x14ac:dyDescent="0.25">
      <c r="A68" s="787" t="s">
        <v>433</v>
      </c>
      <c r="B68" s="788"/>
      <c r="C68" s="788"/>
      <c r="D68" s="788"/>
      <c r="E68" s="788"/>
      <c r="F68" s="788"/>
      <c r="G68" s="789"/>
      <c r="I68" s="60"/>
      <c r="J68" s="37" t="s">
        <v>268</v>
      </c>
      <c r="K68" s="173">
        <v>10</v>
      </c>
      <c r="L68" s="318">
        <v>5000</v>
      </c>
      <c r="M68" s="319" t="s">
        <v>281</v>
      </c>
    </row>
    <row r="69" spans="1:13" ht="20.100000000000001" customHeight="1" x14ac:dyDescent="0.25">
      <c r="A69" s="790"/>
      <c r="B69" s="791"/>
      <c r="C69" s="791"/>
      <c r="D69" s="791"/>
      <c r="E69" s="791"/>
      <c r="F69" s="791"/>
      <c r="G69" s="792"/>
      <c r="I69" s="60"/>
      <c r="J69" s="37" t="s">
        <v>209</v>
      </c>
      <c r="K69" s="173">
        <v>0</v>
      </c>
      <c r="L69" s="226" t="s">
        <v>76</v>
      </c>
      <c r="M69" s="36"/>
    </row>
    <row r="70" spans="1:13" ht="20.100000000000001" customHeight="1" thickBot="1" x14ac:dyDescent="0.3">
      <c r="I70" s="60"/>
      <c r="J70" s="37" t="s">
        <v>269</v>
      </c>
      <c r="K70" s="173">
        <v>0</v>
      </c>
      <c r="L70" s="226" t="s">
        <v>76</v>
      </c>
      <c r="M70" s="36"/>
    </row>
    <row r="71" spans="1:13" ht="20.100000000000001" customHeight="1" thickTop="1" thickBot="1" x14ac:dyDescent="0.3">
      <c r="B71" s="425" t="s">
        <v>370</v>
      </c>
      <c r="D71" s="68" t="s">
        <v>113</v>
      </c>
      <c r="I71" s="60"/>
      <c r="J71" s="37" t="s">
        <v>208</v>
      </c>
      <c r="K71" s="173">
        <v>0</v>
      </c>
      <c r="L71" s="226" t="s">
        <v>76</v>
      </c>
      <c r="M71" s="36"/>
    </row>
    <row r="72" spans="1:13" ht="20.100000000000001" customHeight="1" thickTop="1" x14ac:dyDescent="0.25">
      <c r="A72" s="787"/>
      <c r="B72" s="788"/>
      <c r="C72" s="788"/>
      <c r="D72" s="788"/>
      <c r="E72" s="788"/>
      <c r="F72" s="788"/>
      <c r="G72" s="789"/>
      <c r="I72" s="60"/>
      <c r="J72" s="37" t="s">
        <v>273</v>
      </c>
      <c r="K72" s="173">
        <v>0</v>
      </c>
      <c r="L72" s="226" t="s">
        <v>76</v>
      </c>
      <c r="M72" s="36"/>
    </row>
    <row r="73" spans="1:13" ht="20.100000000000001" customHeight="1" x14ac:dyDescent="0.25">
      <c r="A73" s="790"/>
      <c r="B73" s="791"/>
      <c r="C73" s="791"/>
      <c r="D73" s="791"/>
      <c r="E73" s="791"/>
      <c r="F73" s="791"/>
      <c r="G73" s="792"/>
      <c r="I73" s="60"/>
      <c r="J73" s="37" t="s">
        <v>274</v>
      </c>
      <c r="K73" s="173">
        <v>0</v>
      </c>
      <c r="L73" s="226" t="s">
        <v>76</v>
      </c>
      <c r="M73" s="36"/>
    </row>
    <row r="74" spans="1:13" ht="20.100000000000001" customHeight="1" thickBot="1" x14ac:dyDescent="0.3">
      <c r="I74" s="60"/>
      <c r="J74" s="37" t="s">
        <v>210</v>
      </c>
      <c r="K74" s="173">
        <v>0</v>
      </c>
      <c r="L74" s="226" t="s">
        <v>76</v>
      </c>
      <c r="M74" s="36"/>
    </row>
    <row r="75" spans="1:13" ht="20.100000000000001" customHeight="1" thickTop="1" thickBot="1" x14ac:dyDescent="0.3">
      <c r="B75" s="425" t="s">
        <v>371</v>
      </c>
      <c r="D75" s="68" t="s">
        <v>113</v>
      </c>
      <c r="F75" s="424">
        <v>0.25</v>
      </c>
      <c r="I75" s="60"/>
      <c r="J75" s="37" t="s">
        <v>214</v>
      </c>
      <c r="K75" s="173">
        <v>0</v>
      </c>
      <c r="L75" s="226" t="s">
        <v>76</v>
      </c>
      <c r="M75" s="36"/>
    </row>
    <row r="76" spans="1:13" ht="20.100000000000001" customHeight="1" thickTop="1" thickBot="1" x14ac:dyDescent="0.3">
      <c r="B76" s="422" t="s">
        <v>365</v>
      </c>
      <c r="D76" s="68" t="str">
        <f>IF(OR(Working!H14="Yes",Working!M12="Corporate"),"Yes","No")</f>
        <v>Yes</v>
      </c>
      <c r="I76" s="60"/>
      <c r="J76" s="543" t="s">
        <v>211</v>
      </c>
      <c r="K76" s="173">
        <v>3000</v>
      </c>
      <c r="L76" s="226" t="s">
        <v>76</v>
      </c>
      <c r="M76" s="36"/>
    </row>
    <row r="77" spans="1:13" ht="20.100000000000001" customHeight="1" thickTop="1" x14ac:dyDescent="0.25">
      <c r="I77" s="28">
        <v>22</v>
      </c>
      <c r="J77" s="55" t="s">
        <v>304</v>
      </c>
      <c r="K77" s="30"/>
      <c r="L77" s="30"/>
      <c r="M77" s="31"/>
    </row>
    <row r="78" spans="1:13" ht="20.100000000000001" customHeight="1" thickBot="1" x14ac:dyDescent="0.3">
      <c r="I78" s="64"/>
      <c r="J78" s="67" t="s">
        <v>314</v>
      </c>
      <c r="K78" s="355">
        <v>0.125</v>
      </c>
      <c r="L78" s="30" t="s">
        <v>305</v>
      </c>
      <c r="M78" s="31"/>
    </row>
    <row r="79" spans="1:13" ht="20.100000000000001" customHeight="1" thickTop="1" thickBot="1" x14ac:dyDescent="0.4">
      <c r="A79" s="51">
        <v>20</v>
      </c>
      <c r="B79" s="427" t="s">
        <v>395</v>
      </c>
      <c r="D79" s="68" t="s">
        <v>77</v>
      </c>
      <c r="I79" s="64"/>
      <c r="J79" s="67" t="s">
        <v>306</v>
      </c>
      <c r="K79" s="355">
        <v>0.25</v>
      </c>
      <c r="L79" s="30" t="s">
        <v>305</v>
      </c>
      <c r="M79" s="31"/>
    </row>
    <row r="80" spans="1:13" ht="20.100000000000001" customHeight="1" thickTop="1" thickBot="1" x14ac:dyDescent="0.3">
      <c r="I80" s="64"/>
      <c r="J80" s="67" t="s">
        <v>307</v>
      </c>
      <c r="K80" s="355">
        <v>0.375</v>
      </c>
      <c r="L80" s="30" t="s">
        <v>305</v>
      </c>
      <c r="M80" s="31"/>
    </row>
    <row r="81" spans="1:13" ht="20.100000000000001" customHeight="1" thickTop="1" thickBot="1" x14ac:dyDescent="0.4">
      <c r="A81" s="51">
        <v>24</v>
      </c>
      <c r="B81" s="532" t="s">
        <v>405</v>
      </c>
      <c r="D81" s="68" t="s">
        <v>113</v>
      </c>
      <c r="F81" s="68">
        <v>1000</v>
      </c>
      <c r="I81" s="64"/>
      <c r="J81" s="67" t="s">
        <v>300</v>
      </c>
      <c r="K81" s="355">
        <v>0.5</v>
      </c>
      <c r="L81" s="30" t="s">
        <v>68</v>
      </c>
      <c r="M81" s="31"/>
    </row>
    <row r="82" spans="1:13" ht="20.100000000000001" customHeight="1" thickTop="1" thickBot="1" x14ac:dyDescent="0.3">
      <c r="B82" s="541" t="s">
        <v>407</v>
      </c>
      <c r="I82" s="64"/>
      <c r="J82" s="67" t="s">
        <v>308</v>
      </c>
      <c r="K82" s="355">
        <v>0.625</v>
      </c>
      <c r="L82" s="30" t="s">
        <v>68</v>
      </c>
      <c r="M82" s="31"/>
    </row>
    <row r="83" spans="1:13" ht="20.100000000000001" customHeight="1" thickTop="1" thickBot="1" x14ac:dyDescent="0.3">
      <c r="B83" s="542" t="s">
        <v>222</v>
      </c>
      <c r="D83" s="68">
        <v>2500</v>
      </c>
      <c r="I83" s="64"/>
      <c r="J83" s="67" t="s">
        <v>303</v>
      </c>
      <c r="K83" s="355">
        <v>0.75</v>
      </c>
      <c r="L83" s="30" t="s">
        <v>68</v>
      </c>
      <c r="M83" s="31"/>
    </row>
    <row r="84" spans="1:13" ht="20.100000000000001" customHeight="1" thickTop="1" x14ac:dyDescent="0.25">
      <c r="I84" s="64"/>
      <c r="J84" s="67" t="s">
        <v>309</v>
      </c>
      <c r="K84" s="355">
        <v>0.75</v>
      </c>
      <c r="L84" s="30" t="s">
        <v>68</v>
      </c>
      <c r="M84" s="31"/>
    </row>
    <row r="85" spans="1:13" ht="20.100000000000001" customHeight="1" thickBot="1" x14ac:dyDescent="0.3">
      <c r="I85" s="64"/>
      <c r="J85" s="67" t="s">
        <v>310</v>
      </c>
      <c r="K85" s="355">
        <v>0.875</v>
      </c>
      <c r="L85" s="30" t="s">
        <v>305</v>
      </c>
      <c r="M85" s="31"/>
    </row>
    <row r="86" spans="1:13" ht="20.100000000000001" customHeight="1" thickTop="1" thickBot="1" x14ac:dyDescent="0.4">
      <c r="A86" s="51">
        <v>25</v>
      </c>
      <c r="B86" s="532" t="s">
        <v>410</v>
      </c>
      <c r="D86" s="550" t="s">
        <v>412</v>
      </c>
      <c r="E86" s="550"/>
      <c r="F86" s="550" t="s">
        <v>0</v>
      </c>
      <c r="I86" s="64"/>
      <c r="J86" s="67" t="s">
        <v>302</v>
      </c>
      <c r="K86" s="355">
        <v>0.875</v>
      </c>
      <c r="L86" s="30" t="s">
        <v>305</v>
      </c>
      <c r="M86" s="31"/>
    </row>
    <row r="87" spans="1:13" ht="20.100000000000001" customHeight="1" thickTop="1" x14ac:dyDescent="0.25">
      <c r="B87" s="548" t="s">
        <v>59</v>
      </c>
      <c r="D87" s="551">
        <f>IF(OR(Working!K14=Working!F107,Working!K14=Working!F114),1,IF(Working!K14=Working!F99,0,IF(Working!K14=Working!F112,0,IF(Working!K14=Working!F97,Rates!D98,0))))</f>
        <v>0</v>
      </c>
      <c r="E87" s="552"/>
      <c r="F87" s="551">
        <f>IF(Working!K14=Working!F99,10,IF(Working!K14=Working!F112,10,IF(Working!K14=Working!F97,Rates!F98,15)))</f>
        <v>15</v>
      </c>
      <c r="I87" s="64"/>
      <c r="J87" s="67" t="s">
        <v>311</v>
      </c>
      <c r="K87" s="353">
        <v>1</v>
      </c>
      <c r="L87" s="30" t="s">
        <v>305</v>
      </c>
      <c r="M87" s="31"/>
    </row>
    <row r="88" spans="1:13" ht="20.100000000000001" customHeight="1" x14ac:dyDescent="0.25">
      <c r="B88" s="548" t="s">
        <v>411</v>
      </c>
      <c r="D88" s="551">
        <f>IF(OR(Working!K14=Working!F107,Working!K14=Working!F114),0,IF(Working!K14=Working!F112,D92,IF(OR(Working!K14=Working!F102,Working!K14=Working!F118),D104,0)))</f>
        <v>0</v>
      </c>
      <c r="E88" s="552"/>
      <c r="F88" s="551">
        <f>IF(OR(Working!K14=Working!F107,Working!K14=Working!F114),15,IF(Working!K14=Working!F112,F92,IF(OR(Working!K14=Working!F102,Working!K14=Working!F118),F104,15)))</f>
        <v>15</v>
      </c>
      <c r="I88" s="64"/>
      <c r="J88" s="67" t="s">
        <v>312</v>
      </c>
      <c r="K88" s="353">
        <v>1</v>
      </c>
      <c r="L88" s="30" t="s">
        <v>305</v>
      </c>
      <c r="M88" s="31"/>
    </row>
    <row r="89" spans="1:13" ht="20.100000000000001" customHeight="1" x14ac:dyDescent="0.25">
      <c r="I89" s="64"/>
      <c r="J89" s="67" t="s">
        <v>313</v>
      </c>
      <c r="K89" s="353">
        <v>1</v>
      </c>
      <c r="L89" s="30" t="s">
        <v>305</v>
      </c>
      <c r="M89" s="31"/>
    </row>
    <row r="90" spans="1:13" ht="20.100000000000001" customHeight="1" x14ac:dyDescent="0.25">
      <c r="B90" s="549"/>
      <c r="I90" s="64"/>
      <c r="J90" s="67" t="s">
        <v>301</v>
      </c>
      <c r="K90" s="353">
        <v>1</v>
      </c>
      <c r="L90" s="30" t="s">
        <v>305</v>
      </c>
      <c r="M90" s="31"/>
    </row>
    <row r="91" spans="1:13" ht="20.100000000000001" customHeight="1" x14ac:dyDescent="0.25">
      <c r="B91" s="563" t="s">
        <v>431</v>
      </c>
      <c r="C91" s="563"/>
      <c r="D91" s="564" t="s">
        <v>412</v>
      </c>
      <c r="E91" s="564"/>
      <c r="F91" s="564" t="s">
        <v>0</v>
      </c>
      <c r="I91" s="64"/>
      <c r="J91" s="67"/>
      <c r="K91" s="155"/>
      <c r="L91" s="30"/>
      <c r="M91" s="31"/>
    </row>
    <row r="92" spans="1:13" ht="20.100000000000001" customHeight="1" x14ac:dyDescent="0.25">
      <c r="B92" s="567" t="s">
        <v>432</v>
      </c>
      <c r="D92" s="551">
        <f>IF(Working!H9="Hiring",Rates!D95,Rates!F95)</f>
        <v>33.799999999999997</v>
      </c>
      <c r="E92" s="552"/>
      <c r="F92" s="551">
        <f>IF(Working!H9="Hiring",Rates!D96,Rates!F96)</f>
        <v>65</v>
      </c>
      <c r="I92" s="64"/>
      <c r="J92" s="67"/>
      <c r="K92" s="155"/>
      <c r="L92" s="30"/>
      <c r="M92" s="31"/>
    </row>
    <row r="93" spans="1:13" ht="20.100000000000001" customHeight="1" x14ac:dyDescent="0.25">
      <c r="I93" s="64"/>
      <c r="J93" s="67"/>
      <c r="K93" s="155"/>
      <c r="L93" s="30"/>
      <c r="M93" s="31"/>
    </row>
    <row r="94" spans="1:13" ht="20.100000000000001" customHeight="1" x14ac:dyDescent="0.25">
      <c r="D94" s="1" t="s">
        <v>40</v>
      </c>
      <c r="F94" s="1" t="s">
        <v>44</v>
      </c>
      <c r="I94" s="64"/>
      <c r="J94" s="67"/>
      <c r="K94" s="155"/>
      <c r="L94" s="30"/>
      <c r="M94" s="31"/>
    </row>
    <row r="95" spans="1:13" ht="20.100000000000001" customHeight="1" x14ac:dyDescent="0.25">
      <c r="B95" s="559" t="s">
        <v>412</v>
      </c>
      <c r="D95" s="1">
        <v>33.799999999999997</v>
      </c>
      <c r="F95" s="1">
        <v>10</v>
      </c>
    </row>
    <row r="96" spans="1:13" ht="20.100000000000001" customHeight="1" x14ac:dyDescent="0.25">
      <c r="B96" s="565" t="s">
        <v>0</v>
      </c>
      <c r="C96" s="19"/>
      <c r="D96" s="19">
        <v>65</v>
      </c>
      <c r="E96" s="19"/>
      <c r="F96" s="19">
        <v>38.32</v>
      </c>
    </row>
    <row r="97" spans="2:6" ht="20.100000000000001" customHeight="1" x14ac:dyDescent="0.25">
      <c r="B97" s="566" t="s">
        <v>435</v>
      </c>
      <c r="C97" s="563"/>
      <c r="D97" s="564" t="s">
        <v>412</v>
      </c>
      <c r="E97" s="564"/>
      <c r="F97" s="564" t="s">
        <v>0</v>
      </c>
    </row>
    <row r="98" spans="2:6" ht="20.100000000000001" customHeight="1" x14ac:dyDescent="0.25">
      <c r="B98" s="567" t="s">
        <v>434</v>
      </c>
      <c r="D98" s="551">
        <v>0</v>
      </c>
      <c r="E98" s="552"/>
      <c r="F98" s="551">
        <v>15</v>
      </c>
    </row>
    <row r="99" spans="2:6" ht="20.100000000000001" customHeight="1" x14ac:dyDescent="0.25">
      <c r="D99" s="569" t="s">
        <v>436</v>
      </c>
      <c r="F99" s="568" t="s">
        <v>437</v>
      </c>
    </row>
    <row r="100" spans="2:6" ht="20.100000000000001" customHeight="1" x14ac:dyDescent="0.25">
      <c r="B100" s="559" t="s">
        <v>442</v>
      </c>
      <c r="D100" s="1">
        <v>0</v>
      </c>
      <c r="F100" s="1">
        <v>0</v>
      </c>
    </row>
    <row r="101" spans="2:6" ht="20.100000000000001" customHeight="1" x14ac:dyDescent="0.25">
      <c r="B101" s="565" t="s">
        <v>443</v>
      </c>
      <c r="C101" s="19"/>
      <c r="D101" s="19">
        <v>15</v>
      </c>
      <c r="E101" s="19"/>
      <c r="F101" s="19">
        <v>15</v>
      </c>
    </row>
    <row r="102" spans="2:6" ht="20.100000000000001" customHeight="1" x14ac:dyDescent="0.25">
      <c r="B102" s="565"/>
      <c r="C102" s="19"/>
      <c r="D102" s="19"/>
      <c r="E102" s="19"/>
      <c r="F102" s="19"/>
    </row>
    <row r="103" spans="2:6" ht="23.25" customHeight="1" x14ac:dyDescent="0.25">
      <c r="B103" s="570" t="s">
        <v>440</v>
      </c>
      <c r="C103" s="563"/>
      <c r="D103" s="564" t="s">
        <v>412</v>
      </c>
      <c r="E103" s="564"/>
      <c r="F103" s="564" t="s">
        <v>0</v>
      </c>
    </row>
    <row r="104" spans="2:6" ht="20.100000000000001" customHeight="1" x14ac:dyDescent="0.25">
      <c r="B104" s="567" t="s">
        <v>432</v>
      </c>
      <c r="D104" s="551">
        <v>33</v>
      </c>
      <c r="E104" s="552"/>
      <c r="F104" s="551">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171"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09375" defaultRowHeight="20.100000000000001" customHeight="1" x14ac:dyDescent="0.25"/>
  <cols>
    <col min="1" max="1" width="5.109375" style="380" customWidth="1"/>
    <col min="2" max="3" width="10.33203125" style="380" customWidth="1"/>
    <col min="4" max="4" width="1.6640625" style="380" customWidth="1"/>
    <col min="5" max="5" width="3.5546875" style="380" customWidth="1"/>
    <col min="6" max="6" width="10.109375" style="380" customWidth="1"/>
    <col min="7" max="7" width="5.44140625" style="380" customWidth="1"/>
    <col min="8" max="8" width="4.109375" style="380" customWidth="1"/>
    <col min="9" max="9" width="3.6640625" style="380" customWidth="1"/>
    <col min="10" max="10" width="10.109375" style="380" customWidth="1"/>
    <col min="11" max="11" width="6.5546875" style="380" customWidth="1"/>
    <col min="12" max="12" width="9.5546875" style="380" customWidth="1"/>
    <col min="13" max="13" width="2.33203125" style="380" customWidth="1"/>
    <col min="14" max="14" width="10.6640625" style="380" customWidth="1"/>
    <col min="15" max="15" width="13.5546875" style="380" customWidth="1"/>
    <col min="16" max="16" width="9.44140625" style="380" bestFit="1" customWidth="1"/>
    <col min="17" max="19" width="9.109375" style="380"/>
    <col min="20" max="20" width="11.44140625" style="380" customWidth="1"/>
    <col min="21" max="21" width="10.44140625" style="380" bestFit="1" customWidth="1"/>
    <col min="22" max="16384" width="9.109375" style="380"/>
  </cols>
  <sheetData>
    <row r="1" spans="1:24" ht="20.100000000000001" customHeight="1" x14ac:dyDescent="0.25">
      <c r="A1" s="821"/>
      <c r="B1" s="822"/>
      <c r="C1" s="822"/>
      <c r="D1" s="822"/>
      <c r="E1" s="822"/>
      <c r="F1" s="822"/>
      <c r="G1" s="822"/>
      <c r="H1" s="822"/>
      <c r="I1" s="822"/>
      <c r="J1" s="418"/>
      <c r="K1" s="418"/>
      <c r="L1" s="418"/>
      <c r="M1" s="419"/>
      <c r="R1" s="403" t="s">
        <v>325</v>
      </c>
      <c r="S1" s="403">
        <f>IF(O3&gt;DATE(Working!I4,2,28),K3,Working!I4)</f>
        <v>2014</v>
      </c>
      <c r="T1" s="380">
        <f>IF(OR(S1=2008,S1=2012,S1=2016,S1=2020),366,365)</f>
        <v>365</v>
      </c>
      <c r="U1" s="420" t="s">
        <v>221</v>
      </c>
      <c r="V1" s="420" t="s">
        <v>326</v>
      </c>
      <c r="W1" s="393" t="s">
        <v>327</v>
      </c>
    </row>
    <row r="2" spans="1:24" ht="20.100000000000001" customHeight="1" thickBot="1" x14ac:dyDescent="0.3">
      <c r="A2" s="401"/>
      <c r="B2" s="402"/>
      <c r="C2" s="402"/>
      <c r="D2" s="402"/>
      <c r="E2" s="402"/>
      <c r="F2" s="402"/>
      <c r="G2" s="402"/>
      <c r="H2" s="403"/>
      <c r="I2" s="403"/>
      <c r="J2" s="403"/>
      <c r="K2" s="403"/>
      <c r="L2" s="403"/>
      <c r="M2" s="404"/>
      <c r="O2" s="393" t="s">
        <v>205</v>
      </c>
      <c r="P2" s="393" t="s">
        <v>204</v>
      </c>
      <c r="Q2" s="393"/>
      <c r="R2" s="380" t="s">
        <v>328</v>
      </c>
      <c r="S2" s="380">
        <f>IF(OR(Working!I4=2008,Working!I4=2012,Working!I4=2016,Working!I4=2020),29,28)</f>
        <v>28</v>
      </c>
      <c r="T2" s="380">
        <f>IF(OR(K3=2008,K3=2012,K3=2016,K3=2020),29,28)</f>
        <v>28</v>
      </c>
      <c r="U2" s="393">
        <f>IF(AND(Working!G4=1,Working!H4="January"),Working!I4,Working!I4+1)</f>
        <v>2014</v>
      </c>
      <c r="V2" s="380" t="str">
        <f>IF(Working!G4-1=0,V4,Working!H4)</f>
        <v>August</v>
      </c>
      <c r="W2" s="380">
        <f>IF(Working!G4-1=0,W4,Working!G4-1)</f>
        <v>23</v>
      </c>
    </row>
    <row r="3" spans="1:24" ht="15.75" customHeight="1" thickBot="1" x14ac:dyDescent="0.3">
      <c r="A3" s="401"/>
      <c r="B3" s="402"/>
      <c r="C3" s="402"/>
      <c r="D3" s="402"/>
      <c r="E3" s="402"/>
      <c r="F3" s="402"/>
      <c r="G3" s="402"/>
      <c r="H3" s="405" t="s">
        <v>329</v>
      </c>
      <c r="I3" s="406">
        <f>W2</f>
        <v>23</v>
      </c>
      <c r="J3" s="406" t="str">
        <f>V2</f>
        <v>August</v>
      </c>
      <c r="K3" s="406">
        <f>U2</f>
        <v>2014</v>
      </c>
      <c r="L3" s="403"/>
      <c r="M3" s="404"/>
      <c r="O3" s="394">
        <f>DATE(Working!I4,P3,Working!G4)</f>
        <v>41510</v>
      </c>
      <c r="P3" s="380">
        <f>IF(Working!H4="January",1,IF(Working!H4="February",2,IF(Working!H4="March",3,IF(Working!H4="April",4,IF(Working!H4="May",5,IF(Working!H4="June",6,IF(Working!H4="July",7,IF(Working!H4="August",8,Q3))))))))</f>
        <v>8</v>
      </c>
      <c r="Q3" s="380">
        <f>IF(Working!H4="September",9,IF(Working!H4="October",10,IF(Working!H4="November",11,12)))</f>
        <v>12</v>
      </c>
      <c r="R3" s="380" t="s">
        <v>330</v>
      </c>
      <c r="S3" s="380">
        <f>IF(AND(P3=2,Working!G4&gt;S2),0,IF(AND(P3=4,Working!G4&gt;30),0,IF(AND(P3=6,Working!G4&gt;30),0,IF(AND(P3=9,Working!G4&gt;30),0,IF(AND(P3=11,Working!G4&gt;30),0,1)))))</f>
        <v>1</v>
      </c>
    </row>
    <row r="4" spans="1:24" ht="15.75" customHeight="1" x14ac:dyDescent="0.25">
      <c r="A4" s="401"/>
      <c r="B4" s="402"/>
      <c r="C4" s="402"/>
      <c r="D4" s="402"/>
      <c r="E4" s="402"/>
      <c r="F4" s="402"/>
      <c r="G4" s="402"/>
      <c r="H4" s="403"/>
      <c r="I4" s="407"/>
      <c r="J4" s="407"/>
      <c r="K4" s="407"/>
      <c r="L4" s="407"/>
      <c r="M4" s="408"/>
      <c r="N4" s="395"/>
      <c r="O4" s="394">
        <f>DATE(K3,P4,I3)</f>
        <v>41874</v>
      </c>
      <c r="P4" s="380">
        <f>IF(J3="January",1,IF(J3="February",2,IF(J3="March",3,IF(J3="April",4,IF(J3="May",5,IF(J3="June",6,IF(J3="July",7,IF(J3="August",8,Q4))))))))</f>
        <v>8</v>
      </c>
      <c r="Q4" s="380">
        <f>IF(J3="September",9,IF(J3="October",10,IF(J3="November",11,12)))</f>
        <v>12</v>
      </c>
      <c r="R4" s="380" t="s">
        <v>330</v>
      </c>
      <c r="S4" s="380">
        <f>IF(AND(P4=2,I3&gt;S2),0,IF(AND(P4=4,I3&gt;30),0,IF(AND(P4=6,I3&gt;30),0,IF(AND(P4=9,I3&gt;30),0,IF(AND(P4=11,I3&gt;30),0,1)))))</f>
        <v>1</v>
      </c>
      <c r="T4" s="396" t="s">
        <v>331</v>
      </c>
      <c r="U4" s="380">
        <f>IF(Working!$H$4="January",31,IF(Working!$H$4="February",S2,IF(Working!$H$4="March",31,IF(Working!$H$4="April",30,IF(Working!$H$4="May",31,IF(Working!$H$4="June",30,IF(Working!$H$4="July",31,IF(Working!$H$4="August",31,U5))))))))</f>
        <v>31</v>
      </c>
      <c r="V4" s="380" t="str">
        <f>IF(Working!$H$4="January","December",IF(Working!$H$4="February","January",IF(Working!$H$4="March","February",IF(Working!$H$4="April","March",IF(Working!$H$4="May","April",IF(Working!$H$4="June","May",IF(Working!$H$4="July","June",IF(Working!$H$4="August","July",V5))))))))</f>
        <v>July</v>
      </c>
      <c r="W4" s="380">
        <f>IF(V4="January",31,IF(V4="February",T2,IF(V4="March",31,IF(V4="April",30,IF(V4="May",31,IF(V4="June",30,IF(V4="July",31,IF(V4="August",31,W5))))))))</f>
        <v>31</v>
      </c>
    </row>
    <row r="5" spans="1:24" ht="12.75" customHeight="1" thickBot="1" x14ac:dyDescent="0.3">
      <c r="A5" s="401"/>
      <c r="B5" s="402"/>
      <c r="C5" s="402"/>
      <c r="D5" s="402"/>
      <c r="E5" s="402"/>
      <c r="F5" s="402"/>
      <c r="G5" s="402"/>
      <c r="H5" s="409"/>
      <c r="I5" s="825" t="str">
        <f>IF(Working!H3="Short period","Period Used (only for Short Period)","")</f>
        <v/>
      </c>
      <c r="J5" s="825"/>
      <c r="K5" s="825"/>
      <c r="L5" s="825"/>
      <c r="M5" s="408"/>
      <c r="N5" s="397"/>
      <c r="O5" s="394"/>
      <c r="U5" s="380">
        <f>IF(Working!$H$4="September",30,IF(Working!$H$4="October",31,IF(Working!$H$4="November",30,31)))</f>
        <v>31</v>
      </c>
      <c r="V5" s="380" t="str">
        <f>IF(Working!$H$4="September","August",IF(Working!$H$4="October","September",IF(Working!$H$4="November","October","November")))</f>
        <v>November</v>
      </c>
      <c r="W5" s="380">
        <f>IF(V4="September",30,IF(V4="October",31,IF(V4="November",30,31)))</f>
        <v>31</v>
      </c>
    </row>
    <row r="6" spans="1:24" ht="13.5" customHeight="1" thickBot="1" x14ac:dyDescent="0.3">
      <c r="A6" s="401"/>
      <c r="B6" s="402"/>
      <c r="C6" s="402"/>
      <c r="D6" s="402"/>
      <c r="E6" s="402"/>
      <c r="F6" s="402"/>
      <c r="G6" s="402"/>
      <c r="H6" s="410"/>
      <c r="I6" s="826"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827"/>
      <c r="K6" s="827"/>
      <c r="L6" s="828"/>
      <c r="M6" s="404"/>
      <c r="O6" s="394">
        <f>DATE(Working!I5,P6,Working!G5)</f>
        <v>41606</v>
      </c>
      <c r="P6" s="380">
        <f>IF(Working!H5="January",1,IF(Working!H5="February",2,IF(Working!H5="March",3,IF(Working!H5="April",4,IF(Working!H5="May",5,IF(Working!H5="June",6,IF(Working!H5="July",7,IF(Working!H5="August",8,Q6))))))))</f>
        <v>11</v>
      </c>
      <c r="Q6" s="380">
        <f>IF(Working!H5="September",9,IF(Working!H5="October",10,IF(Working!H5="November",11,12)))</f>
        <v>11</v>
      </c>
      <c r="R6" s="380" t="s">
        <v>330</v>
      </c>
      <c r="S6" s="380">
        <f>IF(AND(P6=2,Working!G5&gt;S2),0,IF(AND(P6=4,Working!G5&gt;30),0,IF(AND(P6=6,Working!G5&gt;30),0,IF(AND(P6=9,Working!G5&gt;30),0,IF(AND(P6=11,Working!G5&gt;30),0,1)))))</f>
        <v>1</v>
      </c>
    </row>
    <row r="7" spans="1:24" ht="15" customHeight="1" thickBot="1" x14ac:dyDescent="0.3">
      <c r="A7" s="401"/>
      <c r="B7" s="402"/>
      <c r="C7" s="402"/>
      <c r="D7" s="402"/>
      <c r="E7" s="402"/>
      <c r="F7" s="402"/>
      <c r="G7" s="402"/>
      <c r="H7" s="410"/>
      <c r="I7" s="403"/>
      <c r="J7" s="410"/>
      <c r="K7" s="403"/>
      <c r="L7" s="403"/>
      <c r="M7" s="404"/>
      <c r="O7" s="393" t="s">
        <v>333</v>
      </c>
    </row>
    <row r="8" spans="1:24" ht="16.5" customHeight="1" thickBot="1" x14ac:dyDescent="0.3">
      <c r="A8" s="401"/>
      <c r="B8" s="402"/>
      <c r="C8" s="402"/>
      <c r="D8" s="411"/>
      <c r="E8" s="411" t="s">
        <v>334</v>
      </c>
      <c r="F8" s="403"/>
      <c r="G8" s="410"/>
      <c r="H8" s="412">
        <f>T1-P8</f>
        <v>268</v>
      </c>
      <c r="I8" s="411" t="s">
        <v>335</v>
      </c>
      <c r="J8" s="410"/>
      <c r="K8" s="403"/>
      <c r="L8" s="403"/>
      <c r="M8" s="404"/>
      <c r="O8" s="398">
        <f>((O4-O3))*S3*S4</f>
        <v>364</v>
      </c>
      <c r="P8" s="398">
        <f>(O6-O3)+1</f>
        <v>97</v>
      </c>
    </row>
    <row r="9" spans="1:24" ht="14.25" customHeight="1" thickBot="1" x14ac:dyDescent="0.3">
      <c r="A9" s="401"/>
      <c r="B9" s="402"/>
      <c r="C9" s="402"/>
      <c r="D9" s="403"/>
      <c r="E9" s="411" t="s">
        <v>354</v>
      </c>
      <c r="F9" s="410"/>
      <c r="G9" s="410"/>
      <c r="H9" s="413">
        <f>P8</f>
        <v>97</v>
      </c>
      <c r="I9" s="411"/>
      <c r="J9" s="414">
        <f>IF(Working!H3="Short Period",Calculation!O12,Calculation!O14)*Calculation!S3*Calculation!S4*Calculation!S6*Calculation!N11</f>
        <v>0.26575342465753427</v>
      </c>
      <c r="K9" s="403"/>
      <c r="L9" s="403"/>
      <c r="M9" s="404"/>
      <c r="N9" s="399" t="s">
        <v>330</v>
      </c>
      <c r="O9" s="380">
        <f>IF(OR(O8&lt;1,O8&gt;90),0,1)</f>
        <v>0</v>
      </c>
      <c r="V9" s="393" t="s">
        <v>203</v>
      </c>
      <c r="W9" s="380" t="s">
        <v>204</v>
      </c>
      <c r="X9" s="380" t="s">
        <v>205</v>
      </c>
    </row>
    <row r="10" spans="1:24" ht="20.100000000000001" customHeight="1" x14ac:dyDescent="0.25">
      <c r="A10" s="401"/>
      <c r="B10" s="415"/>
      <c r="C10" s="415"/>
      <c r="D10" s="402"/>
      <c r="E10" s="402"/>
      <c r="F10" s="402"/>
      <c r="G10" s="402"/>
      <c r="H10" s="402"/>
      <c r="I10" s="402"/>
      <c r="J10" s="402"/>
      <c r="K10" s="403"/>
      <c r="L10" s="403"/>
      <c r="M10" s="404"/>
      <c r="T10" s="380" t="s">
        <v>336</v>
      </c>
      <c r="U10" s="394">
        <f>O3+6</f>
        <v>41516</v>
      </c>
    </row>
    <row r="11" spans="1:24" ht="15" customHeight="1" x14ac:dyDescent="0.25">
      <c r="A11" s="401"/>
      <c r="B11" s="402"/>
      <c r="C11" s="402"/>
      <c r="D11" s="402"/>
      <c r="E11" s="402"/>
      <c r="F11" s="402"/>
      <c r="G11" s="402"/>
      <c r="H11" s="402"/>
      <c r="I11" s="402"/>
      <c r="J11" s="402"/>
      <c r="K11" s="402"/>
      <c r="L11" s="402"/>
      <c r="M11" s="402"/>
      <c r="N11" s="380">
        <f>IF(OR(S6=0,OR(O6&lt;O3,O6&gt;=O4)),0,1)</f>
        <v>1</v>
      </c>
      <c r="O11" s="400"/>
      <c r="T11" s="380" t="s">
        <v>337</v>
      </c>
      <c r="U11" s="394">
        <f>DATE(YEAR($O$3),MONTH($O$3)+1,DAY($O$3))</f>
        <v>41541</v>
      </c>
      <c r="V11" s="380">
        <v>2008</v>
      </c>
      <c r="W11" s="393">
        <f>MONTH(O3)</f>
        <v>8</v>
      </c>
      <c r="X11" s="381">
        <f>IF(Working!G4-1=0,W2,Working!G4-1)</f>
        <v>23</v>
      </c>
    </row>
    <row r="12" spans="1:24" ht="15" customHeight="1" x14ac:dyDescent="0.25">
      <c r="A12" s="401"/>
      <c r="B12" s="402"/>
      <c r="C12" s="402"/>
      <c r="D12" s="402"/>
      <c r="E12" s="402"/>
      <c r="F12" s="402"/>
      <c r="G12" s="402"/>
      <c r="H12" s="402"/>
      <c r="I12" s="402"/>
      <c r="J12" s="402"/>
      <c r="K12" s="402"/>
      <c r="L12" s="402"/>
      <c r="M12" s="402"/>
      <c r="N12" s="831" t="s">
        <v>338</v>
      </c>
      <c r="O12" s="829">
        <f>IF(I6="Not Exceeding 1 week",1/8,IF(I6="Not Exceeding 1 Month",1/4,IF(I6="Not Exceeding 2 Months",3/8,IF(I6="Not Exceeding 3 Months",1/2,IF(I6="Not Exceeding 4 Months",5/8,IF(I6="Not Exceeding 6 Months",3/4,IF(I6="Not Exceeding 8 Months",7/8,1)))))))</f>
        <v>0.625</v>
      </c>
      <c r="P12" s="380" t="s">
        <v>339</v>
      </c>
      <c r="Q12" s="381">
        <v>31</v>
      </c>
      <c r="T12" s="380" t="s">
        <v>340</v>
      </c>
      <c r="U12" s="394">
        <f>DATE(YEAR($O$3),MONTH($O$3)+2,DAY($O$3))</f>
        <v>41571</v>
      </c>
    </row>
    <row r="13" spans="1:24" ht="15" customHeight="1" x14ac:dyDescent="0.25">
      <c r="A13" s="401"/>
      <c r="B13" s="402"/>
      <c r="C13" s="402"/>
      <c r="D13" s="402"/>
      <c r="E13" s="402"/>
      <c r="F13" s="402"/>
      <c r="G13" s="402"/>
      <c r="H13" s="402"/>
      <c r="I13" s="402"/>
      <c r="J13" s="402"/>
      <c r="K13" s="402"/>
      <c r="L13" s="402"/>
      <c r="M13" s="402"/>
      <c r="N13" s="831"/>
      <c r="O13" s="829"/>
      <c r="P13" s="380" t="s">
        <v>328</v>
      </c>
      <c r="Q13" s="381">
        <f>S2</f>
        <v>28</v>
      </c>
      <c r="T13" s="380" t="s">
        <v>341</v>
      </c>
      <c r="U13" s="394">
        <f>DATE(YEAR($O$3),MONTH($O$3)+3,DAY($O$3))</f>
        <v>41602</v>
      </c>
    </row>
    <row r="14" spans="1:24" ht="15" customHeight="1" x14ac:dyDescent="0.25">
      <c r="A14" s="401"/>
      <c r="B14" s="402"/>
      <c r="C14" s="402"/>
      <c r="D14" s="402"/>
      <c r="E14" s="402"/>
      <c r="F14" s="402"/>
      <c r="G14" s="402"/>
      <c r="H14" s="402"/>
      <c r="I14" s="402"/>
      <c r="J14" s="402"/>
      <c r="K14" s="402"/>
      <c r="L14" s="402"/>
      <c r="M14" s="402"/>
      <c r="N14" s="831" t="s">
        <v>342</v>
      </c>
      <c r="O14" s="830">
        <f>P8/365</f>
        <v>0.26575342465753427</v>
      </c>
      <c r="P14" s="380" t="s">
        <v>320</v>
      </c>
      <c r="Q14" s="381">
        <v>31</v>
      </c>
      <c r="T14" s="380" t="s">
        <v>343</v>
      </c>
      <c r="U14" s="394">
        <f>DATE(YEAR($O$3),MONTH($O$3)+4,DAY($O$3))</f>
        <v>41632</v>
      </c>
    </row>
    <row r="15" spans="1:24" ht="15" customHeight="1" x14ac:dyDescent="0.25">
      <c r="A15" s="401"/>
      <c r="B15" s="402"/>
      <c r="C15" s="402"/>
      <c r="D15" s="402"/>
      <c r="E15" s="402"/>
      <c r="F15" s="402"/>
      <c r="G15" s="402"/>
      <c r="H15" s="402"/>
      <c r="I15" s="402"/>
      <c r="J15" s="402"/>
      <c r="K15" s="402"/>
      <c r="L15" s="402"/>
      <c r="M15" s="402"/>
      <c r="N15" s="831"/>
      <c r="O15" s="830"/>
      <c r="P15" s="380" t="s">
        <v>344</v>
      </c>
      <c r="Q15" s="381">
        <v>30</v>
      </c>
      <c r="T15" s="380" t="s">
        <v>345</v>
      </c>
      <c r="U15" s="394">
        <f>DATE(YEAR($O$3),MONTH($O$3)+6,DAY($O$3))</f>
        <v>41694</v>
      </c>
    </row>
    <row r="16" spans="1:24" ht="15" customHeight="1" x14ac:dyDescent="0.25">
      <c r="A16" s="401"/>
      <c r="B16" s="402"/>
      <c r="C16" s="402"/>
      <c r="D16" s="402"/>
      <c r="E16" s="402"/>
      <c r="F16" s="402"/>
      <c r="G16" s="402"/>
      <c r="H16" s="402"/>
      <c r="I16" s="402"/>
      <c r="J16" s="402"/>
      <c r="K16" s="402"/>
      <c r="L16" s="402"/>
      <c r="M16" s="402"/>
      <c r="O16" s="400"/>
      <c r="P16" s="380" t="s">
        <v>346</v>
      </c>
      <c r="Q16" s="381">
        <v>31</v>
      </c>
      <c r="T16" s="380" t="s">
        <v>347</v>
      </c>
      <c r="U16" s="394">
        <f>DATE(YEAR($O$3),MONTH($O$3)+8,DAY($O$3))</f>
        <v>41753</v>
      </c>
    </row>
    <row r="17" spans="1:21" ht="15" customHeight="1" x14ac:dyDescent="0.25">
      <c r="A17" s="401"/>
      <c r="B17" s="402"/>
      <c r="C17" s="402"/>
      <c r="D17" s="402"/>
      <c r="E17" s="402"/>
      <c r="F17" s="402"/>
      <c r="G17" s="402"/>
      <c r="H17" s="402"/>
      <c r="I17" s="402"/>
      <c r="J17" s="402"/>
      <c r="K17" s="402"/>
      <c r="L17" s="402"/>
      <c r="M17" s="402"/>
      <c r="O17" s="400"/>
      <c r="P17" s="380" t="s">
        <v>348</v>
      </c>
      <c r="Q17" s="381">
        <v>30</v>
      </c>
    </row>
    <row r="18" spans="1:21" ht="15" customHeight="1" x14ac:dyDescent="0.25">
      <c r="A18" s="401"/>
      <c r="B18" s="402"/>
      <c r="C18" s="402"/>
      <c r="D18" s="402"/>
      <c r="E18" s="402"/>
      <c r="F18" s="402"/>
      <c r="G18" s="402"/>
      <c r="H18" s="402"/>
      <c r="I18" s="402"/>
      <c r="J18" s="402"/>
      <c r="K18" s="402"/>
      <c r="L18" s="402"/>
      <c r="M18" s="402"/>
      <c r="N18" s="399"/>
      <c r="O18" s="400"/>
      <c r="P18" s="380" t="s">
        <v>332</v>
      </c>
      <c r="Q18" s="381">
        <v>31</v>
      </c>
      <c r="U18" s="380" t="str">
        <f>IF(AND(O6&gt;U16,O6&lt;=O4),"Exceeding 8 Months","Out of Period")</f>
        <v>Out of Period</v>
      </c>
    </row>
    <row r="19" spans="1:21" ht="15" customHeight="1" x14ac:dyDescent="0.25">
      <c r="A19" s="401"/>
      <c r="B19" s="402"/>
      <c r="C19" s="402"/>
      <c r="D19" s="402"/>
      <c r="E19" s="402"/>
      <c r="F19" s="402"/>
      <c r="G19" s="402"/>
      <c r="H19" s="402"/>
      <c r="I19" s="402"/>
      <c r="J19" s="402"/>
      <c r="K19" s="403"/>
      <c r="L19" s="403">
        <f>100-L18</f>
        <v>100</v>
      </c>
      <c r="M19" s="404"/>
      <c r="N19" s="399"/>
      <c r="O19" s="400"/>
      <c r="P19" s="380" t="s">
        <v>349</v>
      </c>
      <c r="Q19" s="381">
        <v>31</v>
      </c>
    </row>
    <row r="20" spans="1:21" ht="15" customHeight="1" x14ac:dyDescent="0.25">
      <c r="A20" s="401"/>
      <c r="B20" s="402"/>
      <c r="C20" s="402"/>
      <c r="D20" s="402"/>
      <c r="E20" s="402"/>
      <c r="F20" s="402"/>
      <c r="G20" s="402"/>
      <c r="H20" s="402"/>
      <c r="I20" s="402"/>
      <c r="J20" s="402"/>
      <c r="K20" s="403"/>
      <c r="L20" s="403"/>
      <c r="M20" s="404"/>
      <c r="O20" s="400"/>
      <c r="P20" s="380" t="s">
        <v>350</v>
      </c>
      <c r="Q20" s="381">
        <v>30</v>
      </c>
    </row>
    <row r="21" spans="1:21" ht="15" customHeight="1" x14ac:dyDescent="0.25">
      <c r="A21" s="401"/>
      <c r="B21" s="402"/>
      <c r="C21" s="402"/>
      <c r="D21" s="402"/>
      <c r="E21" s="402"/>
      <c r="F21" s="402"/>
      <c r="G21" s="402"/>
      <c r="H21" s="402"/>
      <c r="I21" s="402"/>
      <c r="J21" s="402"/>
      <c r="K21" s="403"/>
      <c r="L21" s="403"/>
      <c r="M21" s="404"/>
      <c r="O21" s="400"/>
      <c r="P21" s="380" t="s">
        <v>351</v>
      </c>
      <c r="Q21" s="381">
        <v>31</v>
      </c>
    </row>
    <row r="22" spans="1:21" ht="15" customHeight="1" x14ac:dyDescent="0.25">
      <c r="A22" s="401"/>
      <c r="B22" s="402"/>
      <c r="C22" s="402"/>
      <c r="D22" s="402"/>
      <c r="E22" s="402"/>
      <c r="F22" s="402"/>
      <c r="G22" s="402"/>
      <c r="H22" s="402"/>
      <c r="I22" s="402"/>
      <c r="J22" s="402"/>
      <c r="K22" s="403"/>
      <c r="L22" s="403"/>
      <c r="M22" s="404"/>
      <c r="P22" s="380" t="s">
        <v>352</v>
      </c>
      <c r="Q22" s="381">
        <v>30</v>
      </c>
    </row>
    <row r="23" spans="1:21" ht="15" customHeight="1" x14ac:dyDescent="0.25">
      <c r="A23" s="401"/>
      <c r="B23" s="402"/>
      <c r="C23" s="402"/>
      <c r="D23" s="402"/>
      <c r="E23" s="402"/>
      <c r="F23" s="402"/>
      <c r="G23" s="402"/>
      <c r="H23" s="402"/>
      <c r="I23" s="402"/>
      <c r="J23" s="402"/>
      <c r="K23" s="403"/>
      <c r="L23" s="403"/>
      <c r="M23" s="404"/>
      <c r="P23" s="380" t="s">
        <v>353</v>
      </c>
      <c r="Q23" s="381">
        <v>31</v>
      </c>
    </row>
    <row r="24" spans="1:21" ht="15" customHeight="1" x14ac:dyDescent="0.25">
      <c r="A24" s="401"/>
      <c r="B24" s="402"/>
      <c r="C24" s="402"/>
      <c r="D24" s="402"/>
      <c r="E24" s="402"/>
      <c r="F24" s="402"/>
      <c r="G24" s="402"/>
      <c r="H24" s="402"/>
      <c r="I24" s="402"/>
      <c r="J24" s="402"/>
      <c r="K24" s="409"/>
      <c r="L24" s="403"/>
      <c r="M24" s="404"/>
    </row>
    <row r="25" spans="1:21" ht="15" customHeight="1" x14ac:dyDescent="0.25">
      <c r="A25" s="401"/>
      <c r="B25" s="402"/>
      <c r="C25" s="402"/>
      <c r="D25" s="402"/>
      <c r="E25" s="402"/>
      <c r="F25" s="402"/>
      <c r="G25" s="402"/>
      <c r="H25" s="402"/>
      <c r="I25" s="402"/>
      <c r="J25" s="402"/>
      <c r="K25" s="409"/>
      <c r="L25" s="403"/>
      <c r="M25" s="404"/>
    </row>
    <row r="26" spans="1:21" ht="15" customHeight="1" x14ac:dyDescent="0.25">
      <c r="A26" s="401"/>
      <c r="B26" s="402"/>
      <c r="C26" s="402"/>
      <c r="D26" s="402"/>
      <c r="E26" s="402"/>
      <c r="F26" s="402"/>
      <c r="G26" s="402"/>
      <c r="H26" s="402"/>
      <c r="I26" s="402"/>
      <c r="J26" s="402"/>
      <c r="K26" s="403"/>
      <c r="L26" s="403"/>
      <c r="M26" s="404"/>
    </row>
    <row r="27" spans="1:21" ht="15" customHeight="1" x14ac:dyDescent="0.25">
      <c r="A27" s="401"/>
      <c r="B27" s="402"/>
      <c r="C27" s="402"/>
      <c r="D27" s="402"/>
      <c r="E27" s="402"/>
      <c r="F27" s="402"/>
      <c r="G27" s="402"/>
      <c r="H27" s="402"/>
      <c r="I27" s="402"/>
      <c r="J27" s="402"/>
      <c r="K27" s="403"/>
      <c r="L27" s="403"/>
      <c r="M27" s="404"/>
    </row>
    <row r="28" spans="1:21" ht="15" customHeight="1" x14ac:dyDescent="0.25">
      <c r="A28" s="401"/>
      <c r="B28" s="402"/>
      <c r="C28" s="402"/>
      <c r="D28" s="402"/>
      <c r="E28" s="402"/>
      <c r="F28" s="402"/>
      <c r="G28" s="402"/>
      <c r="H28" s="402"/>
      <c r="I28" s="402"/>
      <c r="J28" s="402"/>
      <c r="K28" s="403"/>
      <c r="L28" s="403"/>
      <c r="M28" s="404"/>
    </row>
    <row r="29" spans="1:21" ht="15" customHeight="1" x14ac:dyDescent="0.25">
      <c r="A29" s="401"/>
      <c r="B29" s="402"/>
      <c r="C29" s="402"/>
      <c r="D29" s="402"/>
      <c r="E29" s="402"/>
      <c r="F29" s="402"/>
      <c r="G29" s="402"/>
      <c r="H29" s="402"/>
      <c r="I29" s="402"/>
      <c r="J29" s="402"/>
      <c r="K29" s="403"/>
      <c r="L29" s="403"/>
      <c r="M29" s="404"/>
    </row>
    <row r="30" spans="1:21" ht="15" customHeight="1" x14ac:dyDescent="0.25">
      <c r="A30" s="401"/>
      <c r="B30" s="402"/>
      <c r="C30" s="402"/>
      <c r="D30" s="402"/>
      <c r="E30" s="402"/>
      <c r="F30" s="402"/>
      <c r="G30" s="402"/>
      <c r="H30" s="402"/>
      <c r="I30" s="402"/>
      <c r="J30" s="402"/>
      <c r="K30" s="403"/>
      <c r="L30" s="403"/>
      <c r="M30" s="404"/>
    </row>
    <row r="31" spans="1:21" ht="15" customHeight="1" x14ac:dyDescent="0.25">
      <c r="A31" s="401"/>
      <c r="B31" s="402"/>
      <c r="C31" s="402"/>
      <c r="D31" s="402"/>
      <c r="E31" s="402"/>
      <c r="F31" s="402"/>
      <c r="G31" s="402"/>
      <c r="H31" s="402"/>
      <c r="I31" s="402"/>
      <c r="J31" s="402"/>
      <c r="K31" s="403"/>
      <c r="L31" s="403"/>
      <c r="M31" s="404"/>
    </row>
    <row r="32" spans="1:21" ht="15" customHeight="1" x14ac:dyDescent="0.25">
      <c r="A32" s="401"/>
      <c r="B32" s="402"/>
      <c r="C32" s="402"/>
      <c r="D32" s="402"/>
      <c r="E32" s="402"/>
      <c r="F32" s="402"/>
      <c r="G32" s="402"/>
      <c r="H32" s="402"/>
      <c r="I32" s="402"/>
      <c r="J32" s="402"/>
      <c r="K32" s="403"/>
      <c r="L32" s="403"/>
      <c r="M32" s="404"/>
    </row>
    <row r="33" spans="1:13" ht="15" customHeight="1" x14ac:dyDescent="0.25">
      <c r="A33" s="401"/>
      <c r="B33" s="402"/>
      <c r="C33" s="402"/>
      <c r="D33" s="402"/>
      <c r="E33" s="402"/>
      <c r="F33" s="402"/>
      <c r="G33" s="402"/>
      <c r="H33" s="402"/>
      <c r="I33" s="402"/>
      <c r="J33" s="402"/>
      <c r="K33" s="403"/>
      <c r="L33" s="403"/>
      <c r="M33" s="404"/>
    </row>
    <row r="34" spans="1:13" ht="15" customHeight="1" x14ac:dyDescent="0.25">
      <c r="A34" s="401"/>
      <c r="B34" s="402"/>
      <c r="C34" s="402"/>
      <c r="D34" s="402"/>
      <c r="E34" s="402"/>
      <c r="F34" s="402"/>
      <c r="G34" s="402"/>
      <c r="H34" s="402"/>
      <c r="I34" s="402"/>
      <c r="J34" s="402"/>
      <c r="K34" s="403"/>
      <c r="L34" s="403"/>
      <c r="M34" s="404"/>
    </row>
    <row r="35" spans="1:13" ht="15" customHeight="1" x14ac:dyDescent="0.25">
      <c r="A35" s="401"/>
      <c r="B35" s="402"/>
      <c r="C35" s="402"/>
      <c r="D35" s="402"/>
      <c r="E35" s="402"/>
      <c r="F35" s="402"/>
      <c r="G35" s="402"/>
      <c r="H35" s="402"/>
      <c r="I35" s="402"/>
      <c r="J35" s="402"/>
      <c r="K35" s="403"/>
      <c r="L35" s="403"/>
      <c r="M35" s="404"/>
    </row>
    <row r="36" spans="1:13" ht="15" customHeight="1" x14ac:dyDescent="0.25">
      <c r="A36" s="401"/>
      <c r="B36" s="402"/>
      <c r="C36" s="402"/>
      <c r="D36" s="402"/>
      <c r="E36" s="402"/>
      <c r="F36" s="402"/>
      <c r="G36" s="402"/>
      <c r="H36" s="402"/>
      <c r="I36" s="402"/>
      <c r="J36" s="402"/>
      <c r="K36" s="403"/>
      <c r="L36" s="403"/>
      <c r="M36" s="404"/>
    </row>
    <row r="37" spans="1:13" ht="15" customHeight="1" x14ac:dyDescent="0.25">
      <c r="A37" s="401"/>
      <c r="B37" s="402"/>
      <c r="C37" s="402"/>
      <c r="D37" s="402"/>
      <c r="E37" s="402"/>
      <c r="F37" s="402"/>
      <c r="G37" s="402"/>
      <c r="H37" s="402"/>
      <c r="I37" s="402"/>
      <c r="J37" s="402"/>
      <c r="K37" s="403"/>
      <c r="L37" s="403"/>
      <c r="M37" s="404"/>
    </row>
    <row r="38" spans="1:13" ht="15" customHeight="1" x14ac:dyDescent="0.25">
      <c r="A38" s="401"/>
      <c r="B38" s="402"/>
      <c r="C38" s="402"/>
      <c r="D38" s="402"/>
      <c r="E38" s="402"/>
      <c r="F38" s="402"/>
      <c r="G38" s="402"/>
      <c r="H38" s="402"/>
      <c r="I38" s="402"/>
      <c r="J38" s="402"/>
      <c r="K38" s="403"/>
      <c r="L38" s="403"/>
      <c r="M38" s="404"/>
    </row>
    <row r="39" spans="1:13" ht="15" customHeight="1" x14ac:dyDescent="0.25">
      <c r="A39" s="401"/>
      <c r="B39" s="402"/>
      <c r="C39" s="402"/>
      <c r="D39" s="402"/>
      <c r="E39" s="402"/>
      <c r="F39" s="402"/>
      <c r="G39" s="402"/>
      <c r="H39" s="402"/>
      <c r="I39" s="402"/>
      <c r="J39" s="402"/>
      <c r="K39" s="411"/>
      <c r="L39" s="823"/>
      <c r="M39" s="824"/>
    </row>
    <row r="40" spans="1:13" ht="20.25" customHeight="1" x14ac:dyDescent="0.25">
      <c r="A40" s="401"/>
      <c r="B40" s="402"/>
      <c r="C40" s="402"/>
      <c r="D40" s="402"/>
      <c r="E40" s="402"/>
      <c r="F40" s="402"/>
      <c r="G40" s="402"/>
      <c r="H40" s="402"/>
      <c r="I40" s="402"/>
      <c r="J40" s="402"/>
      <c r="K40" s="835"/>
      <c r="L40" s="835"/>
      <c r="M40" s="836"/>
    </row>
    <row r="41" spans="1:13" ht="15" customHeight="1" x14ac:dyDescent="0.25">
      <c r="A41" s="401"/>
      <c r="B41" s="402"/>
      <c r="C41" s="402"/>
      <c r="D41" s="402"/>
      <c r="E41" s="402"/>
      <c r="F41" s="402"/>
      <c r="G41" s="402"/>
      <c r="H41" s="402"/>
      <c r="I41" s="402"/>
      <c r="J41" s="402"/>
      <c r="K41" s="837"/>
      <c r="L41" s="837"/>
      <c r="M41" s="838"/>
    </row>
    <row r="42" spans="1:13" ht="15" customHeight="1" x14ac:dyDescent="0.25">
      <c r="A42" s="401"/>
      <c r="B42" s="402"/>
      <c r="C42" s="402"/>
      <c r="D42" s="402"/>
      <c r="E42" s="402"/>
      <c r="F42" s="402"/>
      <c r="G42" s="402"/>
      <c r="H42" s="402"/>
      <c r="I42" s="402"/>
      <c r="J42" s="402"/>
      <c r="K42" s="839"/>
      <c r="L42" s="839"/>
      <c r="M42" s="840"/>
    </row>
    <row r="43" spans="1:13" ht="20.100000000000001" customHeight="1" x14ac:dyDescent="0.25">
      <c r="A43" s="416"/>
      <c r="B43" s="417"/>
      <c r="C43" s="417"/>
      <c r="D43" s="417"/>
      <c r="E43" s="417"/>
      <c r="F43" s="417"/>
      <c r="G43" s="417"/>
      <c r="H43" s="417"/>
      <c r="I43" s="417"/>
      <c r="J43" s="417"/>
      <c r="K43" s="832"/>
      <c r="L43" s="833"/>
      <c r="M43" s="834"/>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indexed="44"/>
    <pageSetUpPr fitToPage="1"/>
  </sheetPr>
  <dimension ref="A1:IU173"/>
  <sheetViews>
    <sheetView showGridLines="0" tabSelected="1" showOutlineSymbols="0" topLeftCell="A13" zoomScale="85" zoomScaleNormal="85" workbookViewId="0">
      <selection activeCell="L21" sqref="L21"/>
    </sheetView>
  </sheetViews>
  <sheetFormatPr defaultColWidth="0" defaultRowHeight="13.2" zeroHeight="1" x14ac:dyDescent="0.25"/>
  <cols>
    <col min="1" max="1" width="2.44140625" style="142" customWidth="1"/>
    <col min="2" max="2" width="1.33203125" style="142" customWidth="1"/>
    <col min="3" max="3" width="4.33203125" style="142" customWidth="1"/>
    <col min="4" max="4" width="10.44140625" style="142" customWidth="1"/>
    <col min="5" max="5" width="4.44140625" style="142" customWidth="1"/>
    <col min="6" max="6" width="13.33203125" style="142" customWidth="1"/>
    <col min="7" max="7" width="4.33203125" style="142" customWidth="1"/>
    <col min="8" max="8" width="1.5546875" style="142" customWidth="1"/>
    <col min="9" max="9" width="16.88671875" style="142" customWidth="1"/>
    <col min="10" max="11" width="1.88671875" style="142" customWidth="1"/>
    <col min="12" max="12" width="4.88671875" style="142" customWidth="1"/>
    <col min="13" max="13" width="9.88671875" style="142" customWidth="1"/>
    <col min="14" max="14" width="5.109375" style="142" customWidth="1"/>
    <col min="15" max="15" width="8.6640625" style="142" customWidth="1"/>
    <col min="16" max="16" width="3.6640625" style="142" customWidth="1"/>
    <col min="17" max="17" width="7.33203125" style="142" customWidth="1"/>
    <col min="18" max="18" width="24.88671875" style="142" customWidth="1"/>
    <col min="19" max="19" width="4.6640625" style="142" customWidth="1"/>
    <col min="20" max="20" width="8.6640625" style="142" customWidth="1"/>
    <col min="21" max="21" width="3.5546875" style="142" hidden="1" customWidth="1"/>
    <col min="22" max="22" width="6.88671875" style="558" hidden="1" customWidth="1"/>
    <col min="23" max="24" width="6.44140625" style="558" hidden="1" customWidth="1"/>
    <col min="25" max="25" width="4.44140625" style="558" hidden="1" customWidth="1"/>
    <col min="26" max="26" width="6.88671875" style="558" hidden="1" customWidth="1"/>
    <col min="27" max="27" width="3.44140625" style="558" hidden="1" customWidth="1"/>
    <col min="28" max="28" width="8.88671875" style="558" hidden="1" customWidth="1"/>
    <col min="29" max="29" width="10.109375" style="558" hidden="1" customWidth="1"/>
    <col min="30" max="253" width="8.88671875" style="142" hidden="1" customWidth="1"/>
    <col min="254" max="254" width="5.6640625" style="142" hidden="1" customWidth="1"/>
    <col min="255" max="255" width="5.109375" style="142" hidden="1" customWidth="1"/>
    <col min="256" max="16384" width="0.109375" style="142" hidden="1"/>
  </cols>
  <sheetData>
    <row r="1" spans="1:28" ht="45" customHeight="1" thickTop="1" x14ac:dyDescent="0.25">
      <c r="A1" s="2"/>
      <c r="B1" s="119"/>
      <c r="C1" s="3"/>
      <c r="D1" s="3"/>
      <c r="E1" s="3"/>
      <c r="F1" s="3"/>
      <c r="G1" s="3"/>
      <c r="H1" s="3"/>
      <c r="I1" s="3"/>
      <c r="J1" s="3"/>
      <c r="K1" s="3"/>
      <c r="L1" s="3"/>
      <c r="M1" s="855" t="str">
        <f ca="1">CONCATENATE(Working!H2," - (QI Code - ", X4,"-",W4,"-",Y4,"-",Z4,"-",AA4,"-", AB4)</f>
        <v>GUD/2019/SRC/001 - (QI Code - 0-50-000-154.284-0-ATI)</v>
      </c>
      <c r="N1" s="855"/>
      <c r="O1" s="855"/>
      <c r="P1" s="855"/>
      <c r="Q1" s="855"/>
      <c r="R1" s="855"/>
      <c r="S1" s="856"/>
      <c r="U1" s="139"/>
      <c r="V1" s="632"/>
      <c r="W1" s="632"/>
      <c r="X1" s="632"/>
      <c r="Y1" s="632"/>
      <c r="Z1" s="632"/>
      <c r="AA1" s="632"/>
      <c r="AB1" s="632"/>
    </row>
    <row r="2" spans="1:28" ht="33.75" customHeight="1" x14ac:dyDescent="0.25">
      <c r="A2" s="120"/>
      <c r="B2" s="15"/>
      <c r="C2" s="16"/>
      <c r="D2" s="16"/>
      <c r="E2" s="16"/>
      <c r="F2" s="16"/>
      <c r="G2" s="16"/>
      <c r="H2" s="16"/>
      <c r="I2" s="16"/>
      <c r="J2" s="16"/>
      <c r="K2" s="16"/>
      <c r="L2" s="16"/>
      <c r="M2" s="857" t="str">
        <f>IF(U3=0,CONCATENATE("Print  ",Working!Y48,"  Sheet"),"")</f>
        <v/>
      </c>
      <c r="N2" s="857"/>
      <c r="O2" s="857"/>
      <c r="P2" s="857"/>
      <c r="Q2" s="857"/>
      <c r="R2" s="857"/>
      <c r="S2" s="121"/>
      <c r="U2" s="139"/>
      <c r="V2" s="632"/>
      <c r="W2" s="632"/>
      <c r="X2" s="632"/>
      <c r="Y2" s="632"/>
      <c r="Z2" s="632"/>
      <c r="AA2" s="632"/>
      <c r="AB2" s="632"/>
    </row>
    <row r="3" spans="1:28" ht="12.9" customHeight="1" x14ac:dyDescent="0.25">
      <c r="A3" s="120"/>
      <c r="B3" s="15"/>
      <c r="C3" s="16"/>
      <c r="D3" s="16"/>
      <c r="E3" s="16"/>
      <c r="F3" s="16"/>
      <c r="G3" s="16"/>
      <c r="H3" s="16"/>
      <c r="I3" s="16"/>
      <c r="J3" s="16"/>
      <c r="K3" s="16"/>
      <c r="L3" s="16"/>
      <c r="M3" s="322"/>
      <c r="N3" s="322"/>
      <c r="O3" s="322"/>
      <c r="P3" s="322"/>
      <c r="Q3" s="322"/>
      <c r="R3" s="322"/>
      <c r="S3" s="121"/>
      <c r="U3" s="142">
        <v>1</v>
      </c>
      <c r="V3" s="632"/>
      <c r="W3" s="632"/>
      <c r="X3" s="632"/>
      <c r="Y3" s="632"/>
      <c r="Z3" s="632"/>
      <c r="AA3" s="632"/>
      <c r="AB3" s="632"/>
    </row>
    <row r="4" spans="1:28" ht="20.25" customHeight="1" x14ac:dyDescent="0.25">
      <c r="A4" s="120"/>
      <c r="B4" s="7"/>
      <c r="C4" s="334" t="s">
        <v>527</v>
      </c>
      <c r="D4" s="9"/>
      <c r="E4" s="294"/>
      <c r="F4" s="354"/>
      <c r="G4" s="7"/>
      <c r="H4" s="9"/>
      <c r="I4" s="9"/>
      <c r="J4" s="9"/>
      <c r="K4" s="9"/>
      <c r="L4" s="11"/>
      <c r="M4" s="325"/>
      <c r="N4" s="325"/>
      <c r="O4" s="334"/>
      <c r="P4" s="865">
        <f ca="1">TODAY()</f>
        <v>45348</v>
      </c>
      <c r="Q4" s="865"/>
      <c r="R4" s="865"/>
      <c r="S4" s="122"/>
      <c r="W4" s="633">
        <f ca="1">IF(Working!$M$37&lt;0,Working!$G$37*2,0)</f>
        <v>50</v>
      </c>
      <c r="X4" s="633">
        <f ca="1">IF(Working!$M$36&lt;0,Working!$H$36*2,0)</f>
        <v>0</v>
      </c>
      <c r="Y4" s="634" t="str">
        <f>IF(Working!$B$21="Free","000","111")</f>
        <v>000</v>
      </c>
      <c r="Z4" s="635">
        <f ca="1">IF(Working!$M$23&lt;0,Working!$H$23*2,0)</f>
        <v>154.28399999999999</v>
      </c>
      <c r="AA4" s="636">
        <f>Working!$N$60</f>
        <v>0</v>
      </c>
      <c r="AB4" s="558" t="str">
        <f>IF(Working!$C$2="Yes","GUD)","ATI)")</f>
        <v>ATI)</v>
      </c>
    </row>
    <row r="5" spans="1:28" ht="13.5" customHeight="1" x14ac:dyDescent="0.25">
      <c r="A5" s="120"/>
      <c r="B5" s="7"/>
      <c r="C5" s="354" t="s">
        <v>423</v>
      </c>
      <c r="D5" s="294"/>
      <c r="E5" s="294"/>
      <c r="F5" s="354"/>
      <c r="G5" s="7"/>
      <c r="H5" s="7"/>
      <c r="I5" s="7"/>
      <c r="J5" s="7"/>
      <c r="K5" s="7"/>
      <c r="L5" s="7"/>
      <c r="M5" s="325"/>
      <c r="N5" s="325"/>
      <c r="O5" s="334"/>
      <c r="P5" s="334"/>
      <c r="Q5" s="336"/>
      <c r="R5" s="335"/>
      <c r="S5" s="124"/>
      <c r="W5" s="632"/>
      <c r="X5" s="637"/>
      <c r="Y5" s="638"/>
      <c r="Z5" s="639"/>
      <c r="AA5" s="640"/>
      <c r="AB5" s="632"/>
    </row>
    <row r="6" spans="1:28" ht="5.0999999999999996" customHeight="1" x14ac:dyDescent="0.3">
      <c r="A6" s="120"/>
      <c r="B6" s="7"/>
      <c r="C6" s="17"/>
      <c r="D6" s="18"/>
      <c r="E6" s="18"/>
      <c r="F6" s="18"/>
      <c r="G6" s="18"/>
      <c r="H6" s="18"/>
      <c r="I6" s="18"/>
      <c r="J6" s="18"/>
      <c r="K6" s="18"/>
      <c r="L6" s="18"/>
      <c r="M6" s="324"/>
      <c r="N6" s="324"/>
      <c r="O6" s="324"/>
      <c r="P6" s="324"/>
      <c r="Q6" s="324"/>
      <c r="R6" s="324"/>
      <c r="S6" s="124"/>
    </row>
    <row r="7" spans="1:28" ht="18" customHeight="1" x14ac:dyDescent="0.25">
      <c r="A7" s="120"/>
      <c r="B7" s="7"/>
      <c r="C7" s="330" t="s">
        <v>295</v>
      </c>
      <c r="D7" s="80"/>
      <c r="E7" s="80"/>
      <c r="F7" s="80"/>
      <c r="G7" s="80"/>
      <c r="H7" s="80"/>
      <c r="I7" s="80"/>
      <c r="J7" s="80"/>
      <c r="K7" s="9"/>
      <c r="L7" s="279" t="s">
        <v>24</v>
      </c>
      <c r="M7" s="261"/>
      <c r="N7" s="9"/>
      <c r="O7" s="105"/>
      <c r="P7" s="725" t="str">
        <f>IF(AND(U3=1,Working!U2=1),UPPER(Working!H8),"")</f>
        <v>THREE WHEELER</v>
      </c>
      <c r="Q7" s="723"/>
      <c r="R7" s="723"/>
      <c r="S7" s="724"/>
    </row>
    <row r="8" spans="1:28" ht="18" customHeight="1" x14ac:dyDescent="0.25">
      <c r="A8" s="120"/>
      <c r="B8" s="7"/>
      <c r="C8" s="858" t="s">
        <v>524</v>
      </c>
      <c r="D8" s="859"/>
      <c r="E8" s="859"/>
      <c r="F8" s="859"/>
      <c r="G8" s="859"/>
      <c r="H8" s="859"/>
      <c r="I8" s="859"/>
      <c r="J8" s="860"/>
      <c r="K8" s="272"/>
      <c r="L8" s="279" t="s">
        <v>107</v>
      </c>
      <c r="M8" s="104"/>
      <c r="N8" s="105"/>
      <c r="O8" s="105"/>
      <c r="P8" s="858" t="s">
        <v>524</v>
      </c>
      <c r="Q8" s="859"/>
      <c r="R8" s="860"/>
      <c r="S8" s="352"/>
    </row>
    <row r="9" spans="1:28" ht="18" customHeight="1" x14ac:dyDescent="0.25">
      <c r="A9" s="120"/>
      <c r="B9" s="7"/>
      <c r="C9" s="475" t="str">
        <f>IF(AND(Working!H12="HYBRID",Working!H14="No",Working!B12="Corporate"),CONCATENATE("(",Working!B12," CUSTOMER)"),"")</f>
        <v/>
      </c>
      <c r="D9" s="456"/>
      <c r="E9" s="456"/>
      <c r="F9" s="456"/>
      <c r="G9" s="456"/>
      <c r="H9" s="456"/>
      <c r="I9" s="456"/>
      <c r="J9" s="456"/>
      <c r="K9" s="272"/>
      <c r="L9" s="279" t="s">
        <v>375</v>
      </c>
      <c r="M9" s="257"/>
      <c r="N9" s="105"/>
      <c r="O9" s="105"/>
      <c r="P9" s="858" t="s">
        <v>520</v>
      </c>
      <c r="Q9" s="859"/>
      <c r="R9" s="860"/>
      <c r="S9" s="644"/>
    </row>
    <row r="10" spans="1:28" ht="18" customHeight="1" x14ac:dyDescent="0.25">
      <c r="A10" s="120"/>
      <c r="B10" s="7"/>
      <c r="C10" s="330" t="s">
        <v>294</v>
      </c>
      <c r="D10" s="80"/>
      <c r="E10" s="80"/>
      <c r="F10" s="80"/>
      <c r="G10" s="347"/>
      <c r="H10" s="347"/>
      <c r="I10" s="347"/>
      <c r="J10" s="347"/>
      <c r="K10" s="103"/>
      <c r="L10" s="279" t="s">
        <v>355</v>
      </c>
      <c r="M10" s="257"/>
      <c r="N10" s="106"/>
      <c r="O10" s="106"/>
      <c r="P10" s="852" t="s">
        <v>523</v>
      </c>
      <c r="Q10" s="853"/>
      <c r="R10" s="853"/>
      <c r="S10" s="349"/>
      <c r="X10" s="707" t="s">
        <v>525</v>
      </c>
    </row>
    <row r="11" spans="1:28" ht="18" customHeight="1" x14ac:dyDescent="0.25">
      <c r="A11" s="120"/>
      <c r="B11" s="7"/>
      <c r="C11" s="858" t="s">
        <v>524</v>
      </c>
      <c r="D11" s="859"/>
      <c r="E11" s="859"/>
      <c r="F11" s="859"/>
      <c r="G11" s="859"/>
      <c r="H11" s="859"/>
      <c r="I11" s="859"/>
      <c r="J11" s="860"/>
      <c r="K11" s="272"/>
      <c r="L11" s="279" t="s">
        <v>33</v>
      </c>
      <c r="M11" s="104"/>
      <c r="N11" s="107"/>
      <c r="O11" s="106"/>
      <c r="P11" s="858" t="s">
        <v>526</v>
      </c>
      <c r="Q11" s="859"/>
      <c r="R11" s="860"/>
      <c r="S11" s="350"/>
    </row>
    <row r="12" spans="1:28" ht="18" customHeight="1" x14ac:dyDescent="0.25">
      <c r="A12" s="120"/>
      <c r="B12" s="7"/>
      <c r="C12" s="331" t="s">
        <v>296</v>
      </c>
      <c r="D12" s="80"/>
      <c r="E12" s="80"/>
      <c r="F12" s="80"/>
      <c r="G12" s="348"/>
      <c r="H12" s="348"/>
      <c r="I12" s="348"/>
      <c r="J12" s="348"/>
      <c r="K12" s="125"/>
      <c r="L12" s="279" t="s">
        <v>34</v>
      </c>
      <c r="M12" s="104"/>
      <c r="N12" s="108"/>
      <c r="O12" s="108"/>
      <c r="P12" s="844" t="str">
        <f>IF(Working!U2=1,UPPER(V12),"")</f>
        <v>HIRING</v>
      </c>
      <c r="Q12" s="844"/>
      <c r="R12" s="844"/>
      <c r="S12" s="351"/>
      <c r="V12" s="558" t="str">
        <f>IF(Working!H9="Private Use","Private Use Only",Working!H9)</f>
        <v>Hiring</v>
      </c>
    </row>
    <row r="13" spans="1:28" ht="22.5" customHeight="1" x14ac:dyDescent="0.25">
      <c r="A13" s="120"/>
      <c r="B13" s="703">
        <f>IF(OR(C13=I86,C13=I87,C13=I88,C13=I89,C13=I90,C13=I91,C13=I92,C13=I93,C13=I94,C13=I95,C13=I96,C13=I97,C13=I98),1,0)</f>
        <v>0</v>
      </c>
      <c r="C13" s="847" t="s">
        <v>551</v>
      </c>
      <c r="D13" s="848"/>
      <c r="E13" s="848"/>
      <c r="F13" s="848"/>
      <c r="G13" s="848"/>
      <c r="H13" s="848"/>
      <c r="I13" s="848"/>
      <c r="J13" s="849"/>
      <c r="K13" s="273"/>
      <c r="L13" s="279" t="s">
        <v>406</v>
      </c>
      <c r="M13" s="104"/>
      <c r="N13" s="108"/>
      <c r="O13" s="108"/>
      <c r="P13" s="852">
        <v>2021</v>
      </c>
      <c r="Q13" s="867"/>
      <c r="R13" s="309">
        <f>IF(U3=1,Working!T12,"")</f>
        <v>4</v>
      </c>
      <c r="S13" s="351"/>
      <c r="T13" s="705">
        <f>IF(I13="Ijarah","Ijarah",I13)</f>
        <v>0</v>
      </c>
      <c r="V13" s="558" t="str">
        <f>IF(AND(Working!K14="",Working!B21="No"),"NOT APPLICABLE",IF(AND(Working!K14="",OR(Working!B21="Yes",Working!B21="Free")),"APPLICABLE  - TO BE ADVISED",Working!K14))</f>
        <v>ORIENT FINANCE</v>
      </c>
    </row>
    <row r="14" spans="1:28" ht="14.4" customHeight="1" x14ac:dyDescent="0.25">
      <c r="A14" s="120"/>
      <c r="B14" s="7"/>
      <c r="C14" s="19"/>
      <c r="D14" s="19"/>
      <c r="E14" s="19"/>
      <c r="F14" s="19"/>
      <c r="G14" s="19"/>
      <c r="H14" s="19"/>
      <c r="I14" s="704"/>
      <c r="J14" s="20"/>
      <c r="K14" s="20"/>
      <c r="L14" s="19"/>
      <c r="M14" s="19"/>
      <c r="N14" s="19"/>
      <c r="O14" s="19"/>
      <c r="P14" s="19"/>
      <c r="Q14" s="19"/>
      <c r="R14" s="19"/>
      <c r="S14" s="126"/>
    </row>
    <row r="15" spans="1:28" ht="6.75" customHeight="1" thickBot="1" x14ac:dyDescent="0.3">
      <c r="A15" s="120"/>
      <c r="B15" s="7"/>
      <c r="C15" s="7"/>
      <c r="D15" s="7"/>
      <c r="E15" s="7"/>
      <c r="F15" s="7"/>
      <c r="G15" s="7"/>
      <c r="H15" s="7"/>
      <c r="I15" s="7"/>
      <c r="J15" s="9"/>
      <c r="K15" s="9"/>
      <c r="L15" s="7"/>
      <c r="M15" s="7"/>
      <c r="N15" s="7"/>
      <c r="O15" s="7"/>
      <c r="P15" s="7"/>
      <c r="Q15" s="7"/>
      <c r="R15" s="7"/>
      <c r="S15" s="127"/>
    </row>
    <row r="16" spans="1:28" ht="13.2" customHeight="1" x14ac:dyDescent="0.25">
      <c r="A16" s="120"/>
      <c r="B16" s="7"/>
      <c r="C16" s="384" t="s">
        <v>299</v>
      </c>
      <c r="D16" s="7"/>
      <c r="E16" s="7"/>
      <c r="F16" s="189" t="str">
        <f>IF(Working!H3="One Year",": One Year",CONCATENATE(": ",Calculation!H9," Days"))</f>
        <v>: One Year</v>
      </c>
      <c r="G16" s="7"/>
      <c r="H16" s="7"/>
      <c r="I16" s="275" t="str">
        <f>IF(Working!H3="One Year","",CONCATENATE("(",Working!H3," Basis)"))</f>
        <v/>
      </c>
      <c r="J16" s="9"/>
      <c r="K16" s="9"/>
      <c r="L16" s="7"/>
      <c r="M16" s="7"/>
      <c r="N16" s="7"/>
      <c r="O16" s="7"/>
      <c r="P16" s="708"/>
      <c r="Q16" s="868">
        <v>700000</v>
      </c>
      <c r="R16" s="869"/>
      <c r="S16" s="127"/>
    </row>
    <row r="17" spans="1:32" ht="13.2" customHeight="1" thickBot="1" x14ac:dyDescent="0.3">
      <c r="A17" s="120"/>
      <c r="B17" s="7"/>
      <c r="C17" s="778" t="str">
        <f>IF(Working!H3="One Year","",CONCATENATE("(From ",Working!G4," ",Working!H4," ",Working!I4," to ",Working!G5," ",Working!H5," ",Working!I5,")"))</f>
        <v/>
      </c>
      <c r="D17" s="778"/>
      <c r="E17" s="778"/>
      <c r="F17" s="778"/>
      <c r="G17" s="778"/>
      <c r="H17" s="778"/>
      <c r="I17" s="778"/>
      <c r="J17" s="9"/>
      <c r="K17" s="9"/>
      <c r="L17" s="709" t="s">
        <v>167</v>
      </c>
      <c r="M17" s="257"/>
      <c r="N17" s="7"/>
      <c r="O17" s="7"/>
      <c r="P17" s="708"/>
      <c r="Q17" s="870"/>
      <c r="R17" s="871"/>
      <c r="S17" s="127"/>
    </row>
    <row r="18" spans="1:32" ht="17.100000000000001" customHeight="1" x14ac:dyDescent="0.25">
      <c r="A18" s="120"/>
      <c r="B18" s="7"/>
      <c r="C18" s="712" t="s">
        <v>516</v>
      </c>
      <c r="D18" s="778"/>
      <c r="E18" s="778"/>
      <c r="F18" s="778"/>
      <c r="G18" s="778"/>
      <c r="H18" s="778"/>
      <c r="I18" s="778"/>
      <c r="J18" s="9"/>
      <c r="K18" s="9"/>
      <c r="L18" s="77" t="s">
        <v>556</v>
      </c>
      <c r="M18" s="7"/>
      <c r="N18" s="7"/>
      <c r="O18" s="7"/>
      <c r="P18" s="7"/>
      <c r="Q18" s="260" t="s">
        <v>25</v>
      </c>
      <c r="R18" s="265">
        <f ca="1">'Pre-Working'!C6-'Pre-Working'!H11-'Pre-Working'!H10</f>
        <v>7508</v>
      </c>
      <c r="S18" s="127"/>
    </row>
    <row r="19" spans="1:32" ht="15" hidden="1" customHeight="1" x14ac:dyDescent="0.25">
      <c r="A19" s="120"/>
      <c r="B19" s="7"/>
      <c r="D19" s="710"/>
      <c r="E19" s="710"/>
      <c r="F19" s="710"/>
      <c r="G19" s="710"/>
      <c r="H19" s="710"/>
      <c r="I19" s="710"/>
      <c r="J19" s="9"/>
      <c r="K19" s="9"/>
      <c r="L19" s="77" t="s">
        <v>22</v>
      </c>
      <c r="M19" s="257"/>
      <c r="N19" s="7"/>
      <c r="O19" s="7"/>
      <c r="P19" s="7"/>
      <c r="Q19" s="260" t="s">
        <v>25</v>
      </c>
      <c r="R19" s="265">
        <f ca="1">'Pre-Working'!H10*Administration!IR9</f>
        <v>0</v>
      </c>
      <c r="S19" s="127"/>
      <c r="T19" s="645" t="s">
        <v>57</v>
      </c>
    </row>
    <row r="20" spans="1:32" ht="17.100000000000001" hidden="1" customHeight="1" x14ac:dyDescent="0.25">
      <c r="A20" s="120"/>
      <c r="B20" s="7"/>
      <c r="C20" s="841" t="s">
        <v>517</v>
      </c>
      <c r="D20" s="841"/>
      <c r="E20" s="841"/>
      <c r="F20" s="841"/>
      <c r="G20" s="841"/>
      <c r="H20" s="841"/>
      <c r="I20" s="841"/>
      <c r="J20" s="841"/>
      <c r="K20" s="9"/>
      <c r="L20" s="264" t="s">
        <v>23</v>
      </c>
      <c r="M20" s="7"/>
      <c r="N20" s="7"/>
      <c r="O20" s="7"/>
      <c r="P20" s="7"/>
      <c r="Q20" s="260" t="s">
        <v>25</v>
      </c>
      <c r="R20" s="265">
        <f ca="1">'Pre-Working'!H11*Administration!IR9</f>
        <v>0</v>
      </c>
      <c r="S20" s="127"/>
      <c r="T20" s="646" t="s">
        <v>77</v>
      </c>
    </row>
    <row r="21" spans="1:32" ht="22.05" customHeight="1" x14ac:dyDescent="0.25">
      <c r="A21" s="120"/>
      <c r="B21" s="7"/>
      <c r="C21" s="841"/>
      <c r="D21" s="841"/>
      <c r="E21" s="841"/>
      <c r="F21" s="841"/>
      <c r="G21" s="841"/>
      <c r="H21" s="841"/>
      <c r="I21" s="841"/>
      <c r="J21" s="841"/>
      <c r="K21" s="9"/>
      <c r="L21" s="264" t="s">
        <v>145</v>
      </c>
      <c r="M21" s="7"/>
      <c r="N21" s="7"/>
      <c r="O21" s="7"/>
      <c r="P21" s="7"/>
      <c r="Q21" s="260" t="s">
        <v>25</v>
      </c>
      <c r="R21" s="265">
        <f ca="1">'Pre-Working'!C7+'Pre-Working'!C8+'Pre-Working'!C9</f>
        <v>2237.6999999999998</v>
      </c>
      <c r="S21" s="127"/>
      <c r="T21" s="645" t="str">
        <f>IF(Q16&gt;=700000,"Terrorism","")</f>
        <v>Terrorism</v>
      </c>
    </row>
    <row r="22" spans="1:32" ht="22.05" customHeight="1" thickBot="1" x14ac:dyDescent="0.3">
      <c r="A22" s="120"/>
      <c r="B22" s="7"/>
      <c r="C22" s="841"/>
      <c r="D22" s="841"/>
      <c r="E22" s="841"/>
      <c r="F22" s="841"/>
      <c r="G22" s="841"/>
      <c r="H22" s="841"/>
      <c r="I22" s="841"/>
      <c r="J22" s="841"/>
      <c r="K22" s="9"/>
      <c r="L22" s="264" t="str">
        <f>IF(Rates!$F$20="Yes","Nation Building Levy (NBL)","VAT")</f>
        <v>VAT</v>
      </c>
      <c r="M22" s="7"/>
      <c r="N22" s="7"/>
      <c r="O22" s="7"/>
      <c r="P22" s="7"/>
      <c r="Q22" s="260" t="s">
        <v>25</v>
      </c>
      <c r="R22" s="265">
        <f ca="1">'Pre-Working'!C10</f>
        <v>1754.2260000000001</v>
      </c>
      <c r="S22" s="127"/>
      <c r="T22" s="757" t="str">
        <f>IF(Q16&lt;700000,T20,"Yes")</f>
        <v>Yes</v>
      </c>
    </row>
    <row r="23" spans="1:32" ht="22.05" customHeight="1" thickTop="1" thickBot="1" x14ac:dyDescent="0.3">
      <c r="A23" s="120"/>
      <c r="B23" s="7"/>
      <c r="C23" s="841"/>
      <c r="D23" s="841"/>
      <c r="E23" s="841"/>
      <c r="F23" s="841"/>
      <c r="G23" s="841"/>
      <c r="H23" s="841"/>
      <c r="I23" s="841"/>
      <c r="J23" s="841"/>
      <c r="K23" s="9"/>
      <c r="L23" s="77" t="str">
        <f>IF(Rates!$F$20="Yes","VAT","Total Contribution")</f>
        <v>Total Contribution</v>
      </c>
      <c r="M23" s="7"/>
      <c r="N23" s="7"/>
      <c r="O23" s="7"/>
      <c r="P23" s="7"/>
      <c r="Q23" s="260" t="s">
        <v>25</v>
      </c>
      <c r="R23" s="722">
        <f ca="1">SUM(R18:R22)*Administration!IR9</f>
        <v>11499.926000000001</v>
      </c>
      <c r="S23" s="127"/>
      <c r="Y23" s="641"/>
    </row>
    <row r="24" spans="1:32" ht="17.100000000000001" customHeight="1" thickTop="1" x14ac:dyDescent="0.25">
      <c r="A24" s="120"/>
      <c r="B24" s="7"/>
      <c r="C24" s="841"/>
      <c r="D24" s="841"/>
      <c r="E24" s="841"/>
      <c r="F24" s="841"/>
      <c r="G24" s="841"/>
      <c r="H24" s="841"/>
      <c r="I24" s="841"/>
      <c r="J24" s="841"/>
      <c r="K24" s="9"/>
      <c r="L24" s="851" t="str">
        <f ca="1">IF(Administration!IR9=1,CONCATENATE("         Special Leasing Promotion      -  Exclusively for ",C13),"Quotation Expired")</f>
        <v xml:space="preserve">         Special Leasing Promotion      -  Exclusively for ORIENT FINANCE</v>
      </c>
      <c r="M24" s="851"/>
      <c r="N24" s="851"/>
      <c r="O24" s="851"/>
      <c r="P24" s="851"/>
      <c r="Q24" s="851"/>
      <c r="R24" s="851"/>
      <c r="S24" s="127"/>
    </row>
    <row r="25" spans="1:32" ht="25.2" customHeight="1" x14ac:dyDescent="0.25">
      <c r="A25" s="120"/>
      <c r="B25" s="7"/>
      <c r="C25" s="711"/>
      <c r="D25" s="711"/>
      <c r="E25" s="711"/>
      <c r="F25" s="711"/>
      <c r="G25" s="711"/>
      <c r="H25" s="711"/>
      <c r="I25" s="711"/>
      <c r="J25" s="711"/>
      <c r="K25" s="9"/>
      <c r="L25" s="851"/>
      <c r="M25" s="851"/>
      <c r="N25" s="851"/>
      <c r="O25" s="851"/>
      <c r="P25" s="851"/>
      <c r="Q25" s="851"/>
      <c r="R25" s="851"/>
      <c r="S25" s="740"/>
      <c r="X25" s="641"/>
      <c r="AB25" s="642"/>
    </row>
    <row r="26" spans="1:32" ht="14.25" hidden="1" customHeight="1" x14ac:dyDescent="0.25">
      <c r="A26" s="120"/>
      <c r="B26" s="7"/>
      <c r="C26" s="333"/>
      <c r="D26" s="333"/>
      <c r="E26" s="333"/>
      <c r="F26" s="333"/>
      <c r="G26" s="333"/>
      <c r="H26" s="333"/>
      <c r="I26" s="333"/>
      <c r="J26" s="333"/>
      <c r="K26" s="333"/>
      <c r="L26" s="333"/>
      <c r="M26" s="333"/>
      <c r="N26" s="333"/>
      <c r="O26" s="333"/>
      <c r="P26" s="333"/>
      <c r="Q26" s="333"/>
      <c r="R26" s="333"/>
      <c r="S26" s="127"/>
    </row>
    <row r="27" spans="1:32" ht="14.25" hidden="1" customHeight="1" x14ac:dyDescent="0.25">
      <c r="A27" s="120"/>
      <c r="B27" s="7"/>
      <c r="C27" s="333"/>
      <c r="D27" s="333"/>
      <c r="E27" s="333"/>
      <c r="F27" s="333"/>
      <c r="G27" s="333"/>
      <c r="H27" s="333"/>
      <c r="I27" s="333"/>
      <c r="J27" s="333"/>
      <c r="K27" s="333"/>
      <c r="L27" s="333"/>
      <c r="M27" s="333"/>
      <c r="N27" s="333"/>
      <c r="O27" s="333"/>
      <c r="P27" s="333"/>
      <c r="Q27" s="333"/>
      <c r="R27" s="333"/>
      <c r="S27" s="129"/>
    </row>
    <row r="28" spans="1:32" ht="18" customHeight="1" x14ac:dyDescent="0.25">
      <c r="A28" s="120"/>
      <c r="B28" s="7"/>
      <c r="C28" s="323" t="s">
        <v>291</v>
      </c>
      <c r="D28" s="332"/>
      <c r="E28" s="332"/>
      <c r="F28" s="332"/>
      <c r="G28" s="332"/>
      <c r="H28" s="332"/>
      <c r="I28" s="332"/>
      <c r="J28" s="332"/>
      <c r="K28" s="332"/>
      <c r="L28" s="332"/>
      <c r="M28" s="332"/>
      <c r="N28" s="332"/>
      <c r="O28" s="332"/>
      <c r="P28" s="332"/>
      <c r="Q28" s="332"/>
      <c r="R28" s="651"/>
      <c r="S28" s="129"/>
      <c r="V28" s="714"/>
      <c r="W28" s="714"/>
      <c r="X28" s="714"/>
      <c r="Y28" s="714"/>
      <c r="Z28" s="714"/>
      <c r="AA28" s="714"/>
      <c r="AB28" s="714"/>
      <c r="AC28" s="714"/>
      <c r="AD28" s="544"/>
      <c r="AE28" s="544"/>
      <c r="AF28" s="544"/>
    </row>
    <row r="29" spans="1:32" ht="18" customHeight="1" x14ac:dyDescent="0.25">
      <c r="A29" s="120"/>
      <c r="B29" s="7"/>
      <c r="C29" s="326" t="s">
        <v>289</v>
      </c>
      <c r="D29" s="328" t="s">
        <v>317</v>
      </c>
      <c r="E29" s="333"/>
      <c r="F29" s="333"/>
      <c r="G29" s="333"/>
      <c r="H29" s="333"/>
      <c r="I29" s="333"/>
      <c r="J29" s="333"/>
      <c r="K29" s="333"/>
      <c r="L29" s="333"/>
      <c r="M29" s="333"/>
      <c r="N29" s="333"/>
      <c r="O29" s="333"/>
      <c r="P29" s="333"/>
      <c r="Q29" s="333"/>
      <c r="R29" s="652"/>
      <c r="S29" s="129"/>
      <c r="V29" s="714"/>
      <c r="W29" s="715"/>
      <c r="X29" s="714"/>
      <c r="Y29" s="714"/>
      <c r="Z29" s="714"/>
      <c r="AA29" s="714"/>
      <c r="AB29" s="716"/>
      <c r="AC29" s="714"/>
      <c r="AD29" s="544"/>
      <c r="AE29" s="544"/>
      <c r="AF29" s="544"/>
    </row>
    <row r="30" spans="1:32" ht="18" customHeight="1" x14ac:dyDescent="0.25">
      <c r="A30" s="120"/>
      <c r="B30" s="7"/>
      <c r="C30" s="326" t="s">
        <v>290</v>
      </c>
      <c r="D30" s="328" t="str">
        <f>CONCATENATE("Third Party Liability"," (Property Damage limited to Rs.",FIXED(MAX(Rates!B55,R33),0),")")</f>
        <v>Third Party Liability (Property Damage limited to Rs.300,000)</v>
      </c>
      <c r="E30" s="333"/>
      <c r="F30" s="333"/>
      <c r="G30" s="333"/>
      <c r="H30" s="333"/>
      <c r="I30" s="333"/>
      <c r="J30" s="333"/>
      <c r="K30" s="333"/>
      <c r="L30" s="333"/>
      <c r="M30" s="333"/>
      <c r="N30" s="333"/>
      <c r="O30" s="333"/>
      <c r="P30" s="333"/>
      <c r="Q30" s="333"/>
      <c r="R30" s="652"/>
      <c r="S30" s="129"/>
      <c r="V30" s="714"/>
      <c r="W30" s="714"/>
      <c r="X30" s="714"/>
      <c r="Y30" s="714"/>
      <c r="Z30" s="714"/>
      <c r="AA30" s="714"/>
      <c r="AB30" s="714"/>
      <c r="AC30" s="714"/>
      <c r="AD30" s="544"/>
      <c r="AE30" s="544"/>
      <c r="AF30" s="544"/>
    </row>
    <row r="31" spans="1:32" ht="18" customHeight="1" x14ac:dyDescent="0.25">
      <c r="A31" s="120"/>
      <c r="B31" s="7"/>
      <c r="C31" s="326" t="s">
        <v>288</v>
      </c>
      <c r="D31" s="328" t="s">
        <v>297</v>
      </c>
      <c r="E31" s="333"/>
      <c r="F31" s="333"/>
      <c r="G31" s="333"/>
      <c r="H31" s="333"/>
      <c r="I31" s="333"/>
      <c r="J31" s="333"/>
      <c r="K31" s="333"/>
      <c r="L31" s="333"/>
      <c r="M31" s="333"/>
      <c r="N31" s="333"/>
      <c r="O31" s="333"/>
      <c r="P31" s="333"/>
      <c r="Q31" s="333"/>
      <c r="R31" s="719"/>
      <c r="S31" s="129"/>
      <c r="V31" s="714"/>
      <c r="W31" s="714"/>
      <c r="X31" s="714"/>
      <c r="Y31" s="714"/>
      <c r="Z31" s="714"/>
      <c r="AA31" s="714"/>
      <c r="AB31" s="714"/>
      <c r="AC31" s="714"/>
      <c r="AD31" s="544"/>
      <c r="AE31" s="544"/>
      <c r="AF31" s="544"/>
    </row>
    <row r="32" spans="1:32" ht="18.899999999999999" customHeight="1" thickBot="1" x14ac:dyDescent="0.4">
      <c r="A32" s="120"/>
      <c r="B32" s="7"/>
      <c r="C32" s="648"/>
      <c r="D32" s="604"/>
      <c r="E32" s="630"/>
      <c r="F32" s="630"/>
      <c r="G32" s="289"/>
      <c r="H32" s="631" t="str">
        <f>IF(Working!B21="Free","FREE",IF(Working!B21="No","N/A","Yes"))</f>
        <v>FREE</v>
      </c>
      <c r="I32" s="606"/>
      <c r="J32" s="278"/>
      <c r="K32" s="9"/>
      <c r="L32" s="647"/>
      <c r="M32" s="604"/>
      <c r="N32" s="24"/>
      <c r="O32" s="79"/>
      <c r="P32" s="9"/>
      <c r="Q32" s="7"/>
      <c r="R32" s="604"/>
      <c r="S32" s="128"/>
      <c r="T32" s="654" t="s">
        <v>518</v>
      </c>
      <c r="U32" s="280" t="str">
        <f>Working!B21</f>
        <v>Free</v>
      </c>
      <c r="V32" s="714" t="s">
        <v>16</v>
      </c>
      <c r="W32" s="713">
        <f>IF(OR(Working!R25=2,Working!AA25=1),1,0)</f>
        <v>0</v>
      </c>
      <c r="X32" s="714"/>
      <c r="Y32" s="714"/>
      <c r="Z32" s="717">
        <f>IF(AND(Working!AA25=1,Working!R25=2),MAX(Working!H25,Rates!C40),IF(AND(Working!AA25=1,Working!R25&lt;2),Rates!C40,IF(AND(Working!AA25=0,Working!R25=2),Working!H25,0)))</f>
        <v>0</v>
      </c>
      <c r="AA32" s="714"/>
      <c r="AB32" s="714"/>
      <c r="AC32" s="714"/>
      <c r="AD32" s="544"/>
      <c r="AE32" s="544"/>
      <c r="AF32" s="544"/>
    </row>
    <row r="33" spans="1:32" ht="18.899999999999999" customHeight="1" thickBot="1" x14ac:dyDescent="0.35">
      <c r="A33" s="120"/>
      <c r="B33" s="7"/>
      <c r="C33" s="21" t="s">
        <v>9</v>
      </c>
      <c r="D33" s="77" t="s">
        <v>528</v>
      </c>
      <c r="E33" s="10"/>
      <c r="F33" s="10"/>
      <c r="G33" s="10"/>
      <c r="H33" s="9"/>
      <c r="I33" s="9"/>
      <c r="J33" s="278"/>
      <c r="K33" s="9"/>
      <c r="L33" s="21" t="s">
        <v>9</v>
      </c>
      <c r="M33" s="608" t="s">
        <v>6</v>
      </c>
      <c r="N33" s="8"/>
      <c r="O33" s="11"/>
      <c r="P33" s="11"/>
      <c r="Q33" s="11"/>
      <c r="R33" s="696">
        <v>300000</v>
      </c>
      <c r="S33" s="126"/>
      <c r="T33" s="655" t="s">
        <v>0</v>
      </c>
      <c r="U33" s="286" t="str">
        <f>Working!B39</f>
        <v>Yes</v>
      </c>
      <c r="V33" s="714" t="s">
        <v>37</v>
      </c>
      <c r="W33" s="713">
        <f>Working!R29</f>
        <v>1</v>
      </c>
      <c r="X33" s="714"/>
      <c r="Y33" s="714"/>
      <c r="Z33" s="714"/>
      <c r="AA33" s="714"/>
      <c r="AB33" s="714"/>
      <c r="AC33" s="714"/>
      <c r="AD33" s="544"/>
      <c r="AE33" s="544"/>
      <c r="AF33" s="544"/>
    </row>
    <row r="34" spans="1:32" ht="18.899999999999999" customHeight="1" thickBot="1" x14ac:dyDescent="0.35">
      <c r="A34" s="120"/>
      <c r="B34" s="7"/>
      <c r="C34" s="21" t="s">
        <v>9</v>
      </c>
      <c r="D34" s="77" t="s">
        <v>555</v>
      </c>
      <c r="E34" s="10"/>
      <c r="F34" s="10"/>
      <c r="G34" s="10"/>
      <c r="H34" s="9"/>
      <c r="I34" s="9"/>
      <c r="J34" s="278"/>
      <c r="K34" s="9"/>
      <c r="L34" s="21" t="s">
        <v>9</v>
      </c>
      <c r="M34" s="608" t="s">
        <v>554</v>
      </c>
      <c r="N34" s="11"/>
      <c r="O34" s="11"/>
      <c r="P34" s="117"/>
      <c r="Q34" s="11"/>
      <c r="R34" s="698">
        <v>0</v>
      </c>
      <c r="S34" s="126"/>
      <c r="T34" s="720">
        <v>0</v>
      </c>
      <c r="U34" s="280" t="str">
        <f>Working!B40</f>
        <v>Yes</v>
      </c>
      <c r="V34" s="714" t="s">
        <v>36</v>
      </c>
      <c r="W34" s="713">
        <f>Working!T48</f>
        <v>1</v>
      </c>
      <c r="X34" s="714"/>
      <c r="Y34" s="714"/>
      <c r="Z34" s="714"/>
      <c r="AA34" s="714"/>
      <c r="AB34" s="714"/>
      <c r="AC34" s="714"/>
      <c r="AD34" s="544"/>
      <c r="AE34" s="544"/>
      <c r="AF34" s="544"/>
    </row>
    <row r="35" spans="1:32" ht="18.899999999999999" hidden="1" customHeight="1" thickBot="1" x14ac:dyDescent="0.35">
      <c r="A35" s="120"/>
      <c r="B35" s="7"/>
      <c r="C35" s="21" t="s">
        <v>9</v>
      </c>
      <c r="D35" s="77" t="s">
        <v>264</v>
      </c>
      <c r="E35" s="290"/>
      <c r="F35" s="76"/>
      <c r="G35" s="69"/>
      <c r="H35" s="22"/>
      <c r="I35" s="69"/>
      <c r="J35" s="278"/>
      <c r="K35" s="9"/>
      <c r="L35" s="763" t="s">
        <v>113</v>
      </c>
      <c r="M35" s="77" t="s">
        <v>550</v>
      </c>
      <c r="N35" s="11"/>
      <c r="O35" s="11"/>
      <c r="P35" s="11"/>
      <c r="Q35" s="11"/>
      <c r="R35" s="650"/>
      <c r="S35" s="126"/>
      <c r="U35" s="280">
        <f>IF(Working!Y42&gt;0,1,0)</f>
        <v>0</v>
      </c>
      <c r="V35" s="714" t="s">
        <v>17</v>
      </c>
      <c r="W35" s="713">
        <f>IF(Working!Z42&gt;0,1,0)</f>
        <v>0</v>
      </c>
      <c r="X35" s="714" t="s">
        <v>15</v>
      </c>
      <c r="Y35" s="713">
        <f>IF(Working!X42&gt;0,1,0)</f>
        <v>0</v>
      </c>
      <c r="Z35" s="714" t="s">
        <v>32</v>
      </c>
      <c r="AA35" s="713">
        <f>IF(Working!T47=0,0,Working!O47)</f>
        <v>1</v>
      </c>
      <c r="AB35" s="714"/>
      <c r="AC35" s="714"/>
      <c r="AD35" s="544"/>
      <c r="AE35" s="544"/>
      <c r="AF35" s="544"/>
    </row>
    <row r="36" spans="1:32" ht="18.899999999999999" customHeight="1" thickBot="1" x14ac:dyDescent="0.35">
      <c r="A36" s="120"/>
      <c r="B36" s="7"/>
      <c r="C36" s="21" t="s">
        <v>9</v>
      </c>
      <c r="D36" s="116" t="str">
        <f ca="1">IF(AND(Working!$M$36&lt;0,Working!$I$38="Reveal"),CONCATENATE(K38," - ",MIN(Working!$H$36%,Working!$R$36%)*100,"%"),K38)</f>
        <v>No Claim Bonus (*)</v>
      </c>
      <c r="E36" s="628"/>
      <c r="F36" s="76"/>
      <c r="G36" s="629"/>
      <c r="H36" s="22"/>
      <c r="I36" s="75" t="str">
        <f>IF(I12="Ijarah Leasing","NCB Protection","")</f>
        <v/>
      </c>
      <c r="J36" s="278"/>
      <c r="K36" s="9"/>
      <c r="L36" s="21" t="s">
        <v>9</v>
      </c>
      <c r="M36" s="608" t="s">
        <v>46</v>
      </c>
      <c r="N36" s="11"/>
      <c r="O36" s="11"/>
      <c r="P36" s="11"/>
      <c r="Q36" s="11"/>
      <c r="R36" s="698">
        <v>0</v>
      </c>
      <c r="S36" s="129"/>
      <c r="U36" s="280" t="str">
        <f>Working!B41</f>
        <v>Yes</v>
      </c>
      <c r="V36" s="714" t="s">
        <v>31</v>
      </c>
      <c r="W36" s="713">
        <f>Working!O52</f>
        <v>0</v>
      </c>
      <c r="X36" s="714"/>
      <c r="Y36" s="713"/>
      <c r="Z36" s="714"/>
      <c r="AA36" s="713"/>
      <c r="AB36" s="714"/>
      <c r="AC36" s="714"/>
      <c r="AD36" s="544"/>
      <c r="AE36" s="544"/>
      <c r="AF36" s="544"/>
    </row>
    <row r="37" spans="1:32" ht="18.899999999999999" hidden="1" customHeight="1" x14ac:dyDescent="0.3">
      <c r="A37" s="120"/>
      <c r="B37" s="7"/>
      <c r="C37" s="77"/>
      <c r="D37" s="77"/>
      <c r="E37" s="77"/>
      <c r="F37" s="77"/>
      <c r="G37" s="706" t="s">
        <v>9</v>
      </c>
      <c r="H37" s="706" t="s">
        <v>9</v>
      </c>
      <c r="I37" s="75" t="str">
        <f>IF(I13="Ijarah Leasing","NCB Protection","")</f>
        <v/>
      </c>
      <c r="J37" s="278"/>
      <c r="K37" s="9"/>
      <c r="L37" s="21" t="s">
        <v>9</v>
      </c>
      <c r="M37" s="581"/>
      <c r="N37" s="123"/>
      <c r="O37" s="9"/>
      <c r="P37" s="9"/>
      <c r="Q37" s="74"/>
      <c r="R37" s="375"/>
      <c r="S37" s="129"/>
      <c r="U37" s="280">
        <f>IF(Working!Y43&gt;0,1,0)</f>
        <v>0</v>
      </c>
      <c r="V37" s="714" t="s">
        <v>17</v>
      </c>
      <c r="W37" s="713">
        <f>IF(Working!Z43&gt;0,1,0)</f>
        <v>0</v>
      </c>
      <c r="X37" s="714" t="s">
        <v>15</v>
      </c>
      <c r="Y37" s="713">
        <f>IF(Working!X43&gt;0,1,0)</f>
        <v>0</v>
      </c>
      <c r="Z37" s="714" t="s">
        <v>30</v>
      </c>
      <c r="AA37" s="713">
        <f>IF(OR(Working!Q49&gt;0,Working!H49&gt;0),1,0)</f>
        <v>1</v>
      </c>
      <c r="AB37" s="714">
        <f>IF(AND(Working!T47=1,Working!H49&lt;7500),7500,Working!H49)</f>
        <v>7500</v>
      </c>
      <c r="AC37" s="714"/>
      <c r="AD37" s="544"/>
      <c r="AE37" s="544"/>
      <c r="AF37" s="544"/>
    </row>
    <row r="38" spans="1:32" ht="18.899999999999999" hidden="1" customHeight="1" x14ac:dyDescent="0.3">
      <c r="A38" s="120"/>
      <c r="B38" s="7"/>
      <c r="C38" s="77"/>
      <c r="D38" s="77"/>
      <c r="E38" s="77"/>
      <c r="F38" s="77"/>
      <c r="G38" s="10"/>
      <c r="H38" s="9"/>
      <c r="I38" s="9"/>
      <c r="J38" s="278"/>
      <c r="K38" s="23" t="str">
        <f ca="1">IF(Working!M37&lt;0,"No Claim Bonus (*)","Earned NCB")</f>
        <v>No Claim Bonus (*)</v>
      </c>
      <c r="L38" s="21" t="s">
        <v>9</v>
      </c>
      <c r="M38" s="77"/>
      <c r="N38" s="123"/>
      <c r="O38" s="606"/>
      <c r="P38" s="606"/>
      <c r="Q38" s="605"/>
      <c r="R38" s="649"/>
      <c r="S38" s="129"/>
      <c r="U38" s="280">
        <f>Working!O50</f>
        <v>0</v>
      </c>
      <c r="V38" s="713" t="s">
        <v>29</v>
      </c>
      <c r="W38" s="713">
        <f ca="1">Working!P23</f>
        <v>1</v>
      </c>
      <c r="X38" s="714"/>
      <c r="Y38" s="714"/>
      <c r="Z38" s="714"/>
      <c r="AA38" s="714"/>
      <c r="AB38" s="714"/>
      <c r="AC38" s="714"/>
      <c r="AD38" s="544"/>
      <c r="AE38" s="544"/>
      <c r="AF38" s="544"/>
    </row>
    <row r="39" spans="1:32" ht="18.899999999999999" hidden="1" customHeight="1" x14ac:dyDescent="0.3">
      <c r="A39" s="120"/>
      <c r="B39" s="7"/>
      <c r="C39" s="77"/>
      <c r="D39" s="77"/>
      <c r="E39" s="77"/>
      <c r="F39" s="77"/>
      <c r="G39" s="81"/>
      <c r="H39" s="81"/>
      <c r="I39" s="116"/>
      <c r="J39" s="278"/>
      <c r="K39" s="9"/>
      <c r="L39" s="69" t="s">
        <v>9</v>
      </c>
      <c r="M39" s="266" t="str">
        <f>IF(U42=1,"Duty Free Cover","")</f>
        <v/>
      </c>
      <c r="N39" s="11"/>
      <c r="O39" s="11"/>
      <c r="P39" s="11"/>
      <c r="Q39" s="11"/>
      <c r="R39" s="11"/>
      <c r="S39" s="129"/>
      <c r="T39" s="142" t="s">
        <v>17</v>
      </c>
      <c r="U39" s="280">
        <f>Working!O51</f>
        <v>0</v>
      </c>
      <c r="V39" s="714" t="s">
        <v>28</v>
      </c>
      <c r="W39" s="713">
        <f>Working!O22</f>
        <v>0</v>
      </c>
      <c r="X39" s="714"/>
      <c r="Y39" s="714"/>
      <c r="Z39" s="714"/>
      <c r="AA39" s="714"/>
      <c r="AB39" s="714"/>
      <c r="AC39" s="714"/>
      <c r="AD39" s="544"/>
      <c r="AE39" s="544"/>
      <c r="AF39" s="544"/>
    </row>
    <row r="40" spans="1:32" ht="18.899999999999999" hidden="1" customHeight="1" x14ac:dyDescent="0.3">
      <c r="A40" s="120"/>
      <c r="B40" s="7"/>
      <c r="C40" s="132" t="s">
        <v>9</v>
      </c>
      <c r="D40" s="116" t="str">
        <f>IF($T$40=1,PROPER(Working!$F$58),"")</f>
        <v/>
      </c>
      <c r="E40" s="24"/>
      <c r="F40" s="115"/>
      <c r="G40" s="24"/>
      <c r="H40" s="24"/>
      <c r="I40" s="116"/>
      <c r="J40" s="278"/>
      <c r="K40" s="9"/>
      <c r="L40" s="69" t="s">
        <v>9</v>
      </c>
      <c r="M40" s="116" t="str">
        <f>IF($U$40=1,PROPER(Working!$F$59),"")</f>
        <v/>
      </c>
      <c r="N40" s="11"/>
      <c r="O40" s="11"/>
      <c r="P40" s="11"/>
      <c r="Q40" s="7"/>
      <c r="R40" s="7"/>
      <c r="S40" s="129"/>
      <c r="T40" s="282">
        <f>Working!$O$58</f>
        <v>0</v>
      </c>
      <c r="U40" s="282">
        <f>Working!$O$59</f>
        <v>0</v>
      </c>
      <c r="V40" s="714"/>
      <c r="W40" s="713"/>
      <c r="X40" s="714"/>
      <c r="Y40" s="714"/>
      <c r="Z40" s="714"/>
      <c r="AA40" s="714"/>
      <c r="AB40" s="714"/>
      <c r="AC40" s="714"/>
      <c r="AD40" s="544"/>
      <c r="AE40" s="544"/>
      <c r="AF40" s="544"/>
    </row>
    <row r="41" spans="1:32" ht="18" hidden="1" customHeight="1" x14ac:dyDescent="0.25">
      <c r="A41" s="120"/>
      <c r="B41" s="7"/>
      <c r="C41" s="7"/>
      <c r="D41" s="866"/>
      <c r="E41" s="866"/>
      <c r="F41" s="7"/>
      <c r="G41" s="7"/>
      <c r="H41" s="7"/>
      <c r="I41" s="7"/>
      <c r="J41" s="9"/>
      <c r="K41" s="9"/>
      <c r="L41" s="11"/>
      <c r="M41" s="11"/>
      <c r="N41" s="11"/>
      <c r="O41" s="11"/>
      <c r="P41" s="11"/>
      <c r="Q41" s="11"/>
      <c r="R41" s="74"/>
      <c r="S41" s="129"/>
      <c r="T41" s="142" t="s">
        <v>26</v>
      </c>
      <c r="U41" s="280">
        <f>Working!O54</f>
        <v>0</v>
      </c>
      <c r="V41" s="718" t="s">
        <v>0</v>
      </c>
      <c r="W41" s="713">
        <f ca="1">Working!O36</f>
        <v>1</v>
      </c>
      <c r="X41" s="714"/>
      <c r="Y41" s="714"/>
      <c r="Z41" s="714"/>
      <c r="AA41" s="714"/>
      <c r="AB41" s="714"/>
    </row>
    <row r="42" spans="1:32" ht="12" customHeight="1" x14ac:dyDescent="0.25">
      <c r="A42" s="120"/>
      <c r="B42" s="7"/>
      <c r="C42" s="650"/>
      <c r="D42" s="650"/>
      <c r="E42" s="650"/>
      <c r="F42" s="650"/>
      <c r="G42" s="650"/>
      <c r="H42" s="650"/>
      <c r="I42" s="650"/>
      <c r="J42" s="650"/>
      <c r="K42" s="650"/>
      <c r="L42" s="650"/>
      <c r="M42" s="650"/>
      <c r="N42" s="650"/>
      <c r="O42" s="650"/>
      <c r="P42" s="650"/>
      <c r="Q42" s="650"/>
      <c r="R42" s="650"/>
      <c r="S42" s="126"/>
      <c r="T42" s="142" t="s">
        <v>42</v>
      </c>
      <c r="U42" s="280">
        <f>IF(Working!B55="Yes",1,0)</f>
        <v>0</v>
      </c>
      <c r="V42" s="714" t="s">
        <v>40</v>
      </c>
      <c r="W42" s="713">
        <v>1</v>
      </c>
      <c r="X42" s="714" t="s">
        <v>41</v>
      </c>
      <c r="Y42" s="714">
        <f>Working!O45</f>
        <v>0</v>
      </c>
      <c r="Z42" s="714"/>
      <c r="AA42" s="714"/>
      <c r="AB42" s="714"/>
    </row>
    <row r="43" spans="1:32" ht="13.5" customHeight="1" x14ac:dyDescent="0.25">
      <c r="A43" s="120"/>
      <c r="B43" s="7"/>
      <c r="C43" s="846" t="s">
        <v>451</v>
      </c>
      <c r="D43" s="846"/>
      <c r="E43" s="846"/>
      <c r="F43" s="846"/>
      <c r="G43" s="846"/>
      <c r="H43" s="846"/>
      <c r="I43" s="846"/>
      <c r="J43" s="846"/>
      <c r="K43" s="846"/>
      <c r="L43" s="846"/>
      <c r="M43" s="846"/>
      <c r="N43" s="846"/>
      <c r="O43" s="846"/>
      <c r="P43" s="846"/>
      <c r="Q43" s="846"/>
      <c r="R43" s="846"/>
      <c r="S43" s="126"/>
      <c r="T43" s="142" t="s">
        <v>15</v>
      </c>
      <c r="U43" s="280">
        <f>Working!O30</f>
        <v>0</v>
      </c>
      <c r="V43" s="714" t="s">
        <v>43</v>
      </c>
      <c r="W43" s="713">
        <f>Working!E34</f>
        <v>1</v>
      </c>
      <c r="X43" s="714" t="s">
        <v>47</v>
      </c>
      <c r="Y43" s="714" t="str">
        <f>Working!B46</f>
        <v>No</v>
      </c>
      <c r="Z43" s="714" t="s">
        <v>47</v>
      </c>
      <c r="AA43" s="714">
        <f>IF(Working!Q48=0,1,Working!T46)</f>
        <v>0</v>
      </c>
      <c r="AB43" s="714">
        <f>IF(AND(Working!M8="Motor Coach",Working!H9="SLTB Route"),1,0)</f>
        <v>0</v>
      </c>
    </row>
    <row r="44" spans="1:32" ht="18" customHeight="1" x14ac:dyDescent="0.25">
      <c r="A44" s="120"/>
      <c r="B44" s="7"/>
      <c r="C44" s="267" t="s">
        <v>322</v>
      </c>
      <c r="D44" s="291"/>
      <c r="E44" s="291"/>
      <c r="F44" s="291"/>
      <c r="G44" s="80" t="s">
        <v>323</v>
      </c>
      <c r="H44" s="291"/>
      <c r="I44" s="291"/>
      <c r="J44" s="291"/>
      <c r="K44" s="291"/>
      <c r="L44" s="291"/>
      <c r="M44" s="291"/>
      <c r="N44" s="291"/>
      <c r="O44" s="291"/>
      <c r="P44" s="291"/>
      <c r="Q44" s="291"/>
      <c r="R44" s="291"/>
      <c r="S44" s="126"/>
      <c r="U44" s="280"/>
      <c r="V44" s="714"/>
      <c r="W44" s="713"/>
      <c r="X44" s="714"/>
      <c r="Y44" s="714"/>
      <c r="Z44" s="714"/>
      <c r="AA44" s="714"/>
      <c r="AB44" s="714"/>
    </row>
    <row r="45" spans="1:32" ht="18" customHeight="1" x14ac:dyDescent="0.25">
      <c r="A45" s="120"/>
      <c r="B45" s="7">
        <f>IF(AND(Rates!D71="Yes",Working!H12="Hybrid"),1,0)</f>
        <v>0</v>
      </c>
      <c r="C45" s="534" t="s">
        <v>404</v>
      </c>
      <c r="D45" s="291"/>
      <c r="E45" s="291"/>
      <c r="F45" s="291"/>
      <c r="G45" s="291"/>
      <c r="H45" s="270" t="s">
        <v>50</v>
      </c>
      <c r="I45" s="292" t="str">
        <f>IF(P13&lt;2011,"Rs.3,000/-","Rs.2,000/-")</f>
        <v>Rs.2,000/-</v>
      </c>
      <c r="J45" s="356"/>
      <c r="K45" s="291"/>
      <c r="L45" s="739" t="str">
        <f>IF(P10="Electric","• Excess on Inverter &amp; Battery : 20%","")</f>
        <v/>
      </c>
      <c r="M45" s="291"/>
      <c r="N45" s="291"/>
      <c r="O45" s="291"/>
      <c r="P45" s="291"/>
      <c r="Q45" s="710"/>
      <c r="R45" s="710"/>
      <c r="S45" s="126"/>
      <c r="U45" s="280"/>
      <c r="W45" s="607"/>
    </row>
    <row r="46" spans="1:32" ht="18" customHeight="1" x14ac:dyDescent="0.25">
      <c r="A46" s="120"/>
      <c r="B46" s="7"/>
      <c r="C46" s="293" t="str">
        <f>IF(U33="Yes","• Flood &amp; Natural Disaster","")</f>
        <v>• Flood &amp; Natural Disaster</v>
      </c>
      <c r="D46" s="710"/>
      <c r="E46" s="736"/>
      <c r="F46" s="736"/>
      <c r="G46" s="736"/>
      <c r="H46" s="291" t="str">
        <f>IF(U33="Yes","-","")</f>
        <v>-</v>
      </c>
      <c r="I46" s="292" t="str">
        <f>IF(C13="ABANS FINANCE","Nil","Rs.5,000/-")</f>
        <v>Rs.5,000/-</v>
      </c>
      <c r="J46" s="356"/>
      <c r="K46" s="291"/>
      <c r="L46" s="735" t="s">
        <v>530</v>
      </c>
      <c r="M46" s="736"/>
      <c r="N46" s="294"/>
      <c r="O46" s="294"/>
      <c r="P46" s="291"/>
      <c r="Q46" s="737" t="s">
        <v>50</v>
      </c>
      <c r="R46" s="738" t="s">
        <v>531</v>
      </c>
      <c r="S46" s="126"/>
      <c r="U46" s="280"/>
      <c r="W46" s="607"/>
    </row>
    <row r="47" spans="1:32" ht="18" customHeight="1" x14ac:dyDescent="0.25">
      <c r="A47" s="120"/>
      <c r="B47" s="7"/>
      <c r="C47" s="710"/>
      <c r="D47" s="528"/>
      <c r="E47" s="528"/>
      <c r="F47" s="528"/>
      <c r="G47" s="528"/>
      <c r="H47" s="528"/>
      <c r="I47" s="528"/>
      <c r="J47" s="529"/>
      <c r="K47" s="483"/>
      <c r="L47" s="483"/>
      <c r="M47" s="483"/>
      <c r="N47" s="483"/>
      <c r="O47" s="483"/>
      <c r="P47" s="483"/>
      <c r="Q47" s="291"/>
      <c r="R47" s="291"/>
      <c r="S47" s="126"/>
      <c r="U47" s="280"/>
      <c r="W47" s="607"/>
    </row>
    <row r="48" spans="1:32" ht="18" customHeight="1" x14ac:dyDescent="0.25">
      <c r="A48" s="120"/>
      <c r="B48" s="7"/>
      <c r="C48" s="863" t="s">
        <v>298</v>
      </c>
      <c r="D48" s="864"/>
      <c r="E48" s="864"/>
      <c r="F48" s="864"/>
      <c r="G48" s="864"/>
      <c r="H48" s="864"/>
      <c r="I48" s="864"/>
      <c r="J48" s="864"/>
      <c r="K48" s="864"/>
      <c r="L48" s="864"/>
      <c r="M48" s="864"/>
      <c r="N48" s="864"/>
      <c r="O48" s="864"/>
      <c r="P48" s="864"/>
      <c r="Q48" s="864"/>
      <c r="R48" s="864"/>
      <c r="S48" s="126"/>
      <c r="U48" s="280"/>
      <c r="W48" s="607"/>
    </row>
    <row r="49" spans="1:24" ht="16.5" customHeight="1" x14ac:dyDescent="0.25">
      <c r="A49" s="120"/>
      <c r="B49" s="7"/>
      <c r="C49" s="729" t="s">
        <v>533</v>
      </c>
      <c r="D49" s="730"/>
      <c r="E49" s="730"/>
      <c r="F49" s="730"/>
      <c r="G49" s="730"/>
      <c r="H49" s="730"/>
      <c r="I49" s="731"/>
      <c r="J49" s="731"/>
      <c r="K49" s="731"/>
      <c r="L49" s="731"/>
      <c r="M49" s="731"/>
      <c r="N49" s="731"/>
      <c r="O49" s="731"/>
      <c r="P49" s="731"/>
      <c r="Q49" s="731"/>
      <c r="R49" s="731"/>
      <c r="S49" s="126"/>
      <c r="T49" s="142" t="s">
        <v>131</v>
      </c>
      <c r="U49" s="281">
        <f>IF(AND(Working!M8="Motor Coach",Working!H9="SLTB Route"),1,0)</f>
        <v>0</v>
      </c>
      <c r="V49" s="558" t="s">
        <v>27</v>
      </c>
      <c r="W49" s="607">
        <f>Working!O56</f>
        <v>0</v>
      </c>
      <c r="X49" s="558" t="str">
        <f ca="1">IF(Working!M36&lt;0,"NCB allowed is subject to documentary evidence.","")</f>
        <v/>
      </c>
    </row>
    <row r="50" spans="1:24" ht="24" customHeight="1" x14ac:dyDescent="0.25">
      <c r="A50" s="120"/>
      <c r="B50" s="7"/>
      <c r="C50" s="732" t="s">
        <v>534</v>
      </c>
      <c r="D50" s="733"/>
      <c r="E50" s="733"/>
      <c r="F50" s="733"/>
      <c r="G50" s="733"/>
      <c r="H50" s="733"/>
      <c r="I50" s="734"/>
      <c r="J50" s="734"/>
      <c r="K50" s="734"/>
      <c r="L50" s="734"/>
      <c r="M50" s="734"/>
      <c r="N50" s="734"/>
      <c r="O50" s="734"/>
      <c r="P50" s="734"/>
      <c r="Q50" s="734"/>
      <c r="R50" s="734"/>
      <c r="S50" s="126"/>
    </row>
    <row r="51" spans="1:24" ht="28.5" customHeight="1" x14ac:dyDescent="0.25">
      <c r="A51" s="120"/>
      <c r="B51" s="7"/>
      <c r="C51" s="850" t="s">
        <v>535</v>
      </c>
      <c r="D51" s="850"/>
      <c r="E51" s="850"/>
      <c r="F51" s="850"/>
      <c r="G51" s="850"/>
      <c r="H51" s="850"/>
      <c r="I51" s="850"/>
      <c r="J51" s="850"/>
      <c r="K51" s="850"/>
      <c r="L51" s="850"/>
      <c r="M51" s="850"/>
      <c r="N51" s="850"/>
      <c r="O51" s="850"/>
      <c r="P51" s="850"/>
      <c r="Q51" s="850"/>
      <c r="R51" s="850"/>
      <c r="S51" s="126"/>
    </row>
    <row r="52" spans="1:24" ht="29.25" customHeight="1" x14ac:dyDescent="0.25">
      <c r="A52" s="120"/>
      <c r="B52" s="7"/>
      <c r="C52" s="728"/>
      <c r="D52" s="728"/>
      <c r="E52" s="728"/>
      <c r="F52" s="728"/>
      <c r="G52" s="728"/>
      <c r="H52" s="728"/>
      <c r="I52" s="728"/>
      <c r="J52" s="728"/>
      <c r="K52" s="728"/>
      <c r="L52" s="728"/>
      <c r="M52" s="728"/>
      <c r="N52" s="728"/>
      <c r="O52" s="728"/>
      <c r="P52" s="728"/>
      <c r="Q52" s="728"/>
      <c r="R52" s="728"/>
      <c r="S52" s="129"/>
    </row>
    <row r="53" spans="1:24" ht="20.100000000000001" customHeight="1" x14ac:dyDescent="0.25">
      <c r="A53" s="120"/>
      <c r="B53" s="7"/>
      <c r="C53" s="727"/>
      <c r="D53" s="274"/>
      <c r="E53" s="274"/>
      <c r="F53" s="274"/>
      <c r="G53" s="274"/>
      <c r="H53" s="274"/>
      <c r="I53" s="274"/>
      <c r="J53" s="227"/>
      <c r="K53" s="227"/>
      <c r="L53" s="227"/>
      <c r="M53" s="227"/>
      <c r="N53" s="227"/>
      <c r="O53" s="227"/>
      <c r="P53" s="227"/>
      <c r="Q53" s="227"/>
      <c r="R53" s="227"/>
      <c r="S53" s="129"/>
    </row>
    <row r="54" spans="1:24" ht="17.25" customHeight="1" x14ac:dyDescent="0.25">
      <c r="A54" s="120"/>
      <c r="B54" s="7"/>
      <c r="C54" s="842"/>
      <c r="D54" s="843"/>
      <c r="E54" s="843"/>
      <c r="F54" s="843"/>
      <c r="G54" s="843"/>
      <c r="H54" s="843"/>
      <c r="I54" s="843"/>
      <c r="J54" s="843"/>
      <c r="K54" s="843"/>
      <c r="L54" s="843"/>
      <c r="M54" s="843"/>
      <c r="N54" s="277"/>
      <c r="O54" s="277"/>
      <c r="P54" s="277"/>
      <c r="Q54" s="277"/>
      <c r="R54" s="277"/>
      <c r="S54" s="129"/>
    </row>
    <row r="55" spans="1:24" ht="26.25" customHeight="1" x14ac:dyDescent="0.25">
      <c r="A55" s="120"/>
      <c r="B55" s="7"/>
      <c r="C55" s="843"/>
      <c r="D55" s="843"/>
      <c r="E55" s="843"/>
      <c r="F55" s="843"/>
      <c r="G55" s="843"/>
      <c r="H55" s="843"/>
      <c r="I55" s="843"/>
      <c r="J55" s="843"/>
      <c r="K55" s="843"/>
      <c r="L55" s="843"/>
      <c r="M55" s="843"/>
      <c r="N55" s="277"/>
      <c r="O55" s="277"/>
      <c r="P55" s="277"/>
      <c r="Q55" s="277"/>
      <c r="R55" s="277"/>
      <c r="S55" s="129"/>
      <c r="V55" s="558">
        <f>IF(OR(Working!E61=0,Working!E61=""),1,0)</f>
        <v>1</v>
      </c>
    </row>
    <row r="56" spans="1:24" ht="18" customHeight="1" x14ac:dyDescent="0.25">
      <c r="A56" s="120"/>
      <c r="B56" s="7"/>
      <c r="C56" s="377"/>
      <c r="D56" s="321"/>
      <c r="E56" s="321"/>
      <c r="F56" s="321"/>
      <c r="G56" s="321"/>
      <c r="H56" s="321"/>
      <c r="I56" s="321"/>
      <c r="J56" s="321"/>
      <c r="K56" s="321"/>
      <c r="L56" s="321"/>
      <c r="M56" s="321"/>
      <c r="N56" s="845"/>
      <c r="O56" s="845"/>
      <c r="P56" s="845"/>
      <c r="Q56" s="845"/>
      <c r="R56" s="845"/>
      <c r="S56" s="129"/>
    </row>
    <row r="57" spans="1:24" ht="30.75" hidden="1" customHeight="1" x14ac:dyDescent="0.25">
      <c r="A57" s="120"/>
      <c r="B57" s="7"/>
      <c r="C57" s="376"/>
      <c r="D57" s="321"/>
      <c r="E57" s="321"/>
      <c r="F57" s="321"/>
      <c r="G57" s="321"/>
      <c r="H57" s="321"/>
      <c r="I57" s="321"/>
      <c r="J57" s="321"/>
      <c r="K57" s="321"/>
      <c r="L57" s="321"/>
      <c r="M57" s="321"/>
      <c r="N57" s="321"/>
      <c r="O57" s="321"/>
      <c r="P57" s="321"/>
      <c r="Q57" s="321"/>
      <c r="R57" s="321"/>
      <c r="S57" s="129"/>
    </row>
    <row r="58" spans="1:24" ht="15.75" hidden="1" customHeight="1" x14ac:dyDescent="0.25">
      <c r="A58" s="120"/>
      <c r="B58" s="7"/>
      <c r="C58" s="862"/>
      <c r="D58" s="862"/>
      <c r="E58" s="862"/>
      <c r="F58" s="862"/>
      <c r="G58" s="862"/>
      <c r="H58" s="862"/>
      <c r="I58" s="862"/>
      <c r="J58" s="263"/>
      <c r="K58" s="263"/>
      <c r="L58" s="263"/>
      <c r="M58" s="14"/>
      <c r="N58" s="294"/>
      <c r="O58" s="294"/>
      <c r="P58" s="294"/>
      <c r="Q58" s="294"/>
      <c r="R58" s="294"/>
      <c r="S58" s="130"/>
    </row>
    <row r="59" spans="1:24" ht="21" customHeight="1" x14ac:dyDescent="0.25">
      <c r="A59" s="120"/>
      <c r="B59" s="7"/>
      <c r="C59" s="861"/>
      <c r="D59" s="861"/>
      <c r="E59" s="861"/>
      <c r="F59" s="861"/>
      <c r="G59" s="861"/>
      <c r="H59" s="861"/>
      <c r="I59" s="861"/>
      <c r="J59" s="7"/>
      <c r="K59" s="7"/>
      <c r="L59" s="14"/>
      <c r="M59" s="14"/>
      <c r="N59" s="131"/>
      <c r="O59" s="131"/>
      <c r="P59" s="131"/>
      <c r="Q59" s="131"/>
      <c r="R59" s="131"/>
      <c r="S59" s="130"/>
    </row>
    <row r="60" spans="1:24" ht="15" customHeight="1" thickBot="1" x14ac:dyDescent="0.3">
      <c r="A60" s="573"/>
      <c r="B60" s="574"/>
      <c r="C60" s="575" t="str">
        <f>CONCATENATE("NEW MNI - ",-ROUND('Pre-Working'!F3*100,3)," - ",-ROUND('Pre-Working'!F7*100,3)," - ",'Pre-Working'!C8)</f>
        <v>NEW MNI - 20.805 - 65 - 1000</v>
      </c>
      <c r="D60" s="574"/>
      <c r="E60" s="574"/>
      <c r="F60" s="574"/>
      <c r="G60" s="574"/>
      <c r="H60" s="574"/>
      <c r="I60" s="574"/>
      <c r="J60" s="574"/>
      <c r="K60" s="574"/>
      <c r="L60" s="574"/>
      <c r="M60" s="574"/>
      <c r="N60" s="574"/>
      <c r="O60" s="576"/>
      <c r="P60" s="577"/>
      <c r="Q60" s="578"/>
      <c r="R60" s="579"/>
      <c r="S60" s="580"/>
    </row>
    <row r="61" spans="1:24" ht="16.2" hidden="1" thickTop="1" x14ac:dyDescent="0.3">
      <c r="A61" s="283"/>
      <c r="D61" s="228"/>
      <c r="E61" s="228"/>
      <c r="F61" s="228"/>
      <c r="G61" s="228"/>
      <c r="H61" s="228"/>
      <c r="J61" s="284"/>
      <c r="K61" s="284"/>
      <c r="L61" s="284"/>
      <c r="M61" s="284"/>
      <c r="N61" s="284"/>
      <c r="O61" s="284"/>
      <c r="P61" s="284"/>
      <c r="S61" s="284"/>
    </row>
    <row r="65" spans="1:19" hidden="1" x14ac:dyDescent="0.25">
      <c r="A65" s="854" t="s">
        <v>399</v>
      </c>
      <c r="B65" s="854"/>
      <c r="C65" s="854"/>
      <c r="D65" s="854"/>
      <c r="E65" s="854"/>
      <c r="F65" s="854"/>
      <c r="G65" s="854"/>
      <c r="H65" s="854"/>
      <c r="I65" s="854"/>
      <c r="J65" s="854"/>
      <c r="K65" s="854"/>
      <c r="L65" s="854"/>
      <c r="M65" s="854"/>
      <c r="N65" s="854"/>
      <c r="O65" s="854"/>
      <c r="P65" s="854"/>
      <c r="Q65" s="854"/>
      <c r="R65" s="854"/>
      <c r="S65" s="854"/>
    </row>
    <row r="66" spans="1:19" hidden="1" x14ac:dyDescent="0.25">
      <c r="A66" s="854"/>
      <c r="B66" s="854"/>
      <c r="C66" s="854"/>
      <c r="D66" s="854"/>
      <c r="E66" s="854"/>
      <c r="F66" s="854"/>
      <c r="G66" s="854"/>
      <c r="H66" s="854"/>
      <c r="I66" s="854"/>
      <c r="J66" s="854"/>
      <c r="K66" s="854"/>
      <c r="L66" s="854"/>
      <c r="M66" s="854"/>
      <c r="N66" s="854"/>
      <c r="O66" s="854"/>
      <c r="P66" s="854"/>
      <c r="Q66" s="854"/>
      <c r="R66" s="854"/>
      <c r="S66" s="854"/>
    </row>
    <row r="67" spans="1:19" hidden="1" x14ac:dyDescent="0.25">
      <c r="A67" s="854"/>
      <c r="B67" s="854"/>
      <c r="C67" s="854"/>
      <c r="D67" s="854"/>
      <c r="E67" s="854"/>
      <c r="F67" s="854"/>
      <c r="G67" s="854"/>
      <c r="H67" s="854"/>
      <c r="I67" s="854"/>
      <c r="J67" s="854"/>
      <c r="K67" s="854"/>
      <c r="L67" s="854"/>
      <c r="M67" s="854"/>
      <c r="N67" s="854"/>
      <c r="O67" s="854"/>
      <c r="P67" s="854"/>
      <c r="Q67" s="854"/>
      <c r="R67" s="854"/>
      <c r="S67" s="854"/>
    </row>
    <row r="68" spans="1:19" hidden="1" x14ac:dyDescent="0.25">
      <c r="A68" s="854"/>
      <c r="B68" s="854"/>
      <c r="C68" s="854"/>
      <c r="D68" s="854"/>
      <c r="E68" s="854"/>
      <c r="F68" s="854"/>
      <c r="G68" s="854"/>
      <c r="H68" s="854"/>
      <c r="I68" s="854"/>
      <c r="J68" s="854"/>
      <c r="K68" s="854"/>
      <c r="L68" s="854"/>
      <c r="M68" s="854"/>
      <c r="N68" s="854"/>
      <c r="O68" s="854"/>
      <c r="P68" s="854"/>
      <c r="Q68" s="854"/>
      <c r="R68" s="854"/>
      <c r="S68" s="854"/>
    </row>
    <row r="69" spans="1:19" hidden="1" x14ac:dyDescent="0.25">
      <c r="A69" s="854"/>
      <c r="B69" s="854"/>
      <c r="C69" s="854"/>
      <c r="D69" s="854"/>
      <c r="E69" s="854"/>
      <c r="F69" s="854"/>
      <c r="G69" s="854"/>
      <c r="H69" s="854"/>
      <c r="I69" s="854"/>
      <c r="J69" s="854"/>
      <c r="K69" s="854"/>
      <c r="L69" s="854"/>
      <c r="M69" s="854"/>
      <c r="N69" s="854"/>
      <c r="O69" s="854"/>
      <c r="P69" s="854"/>
      <c r="Q69" s="854"/>
      <c r="R69" s="854"/>
      <c r="S69" s="854"/>
    </row>
    <row r="70" spans="1:19" hidden="1" x14ac:dyDescent="0.25">
      <c r="A70" s="854"/>
      <c r="B70" s="854"/>
      <c r="C70" s="854"/>
      <c r="D70" s="854"/>
      <c r="E70" s="854"/>
      <c r="F70" s="854"/>
      <c r="G70" s="854"/>
      <c r="H70" s="854"/>
      <c r="I70" s="854"/>
      <c r="J70" s="854"/>
      <c r="K70" s="854"/>
      <c r="L70" s="854"/>
      <c r="M70" s="854"/>
      <c r="N70" s="854"/>
      <c r="O70" s="854"/>
      <c r="P70" s="854"/>
      <c r="Q70" s="854"/>
      <c r="R70" s="854"/>
      <c r="S70" s="854"/>
    </row>
    <row r="71" spans="1:19" hidden="1" x14ac:dyDescent="0.25">
      <c r="A71" s="854"/>
      <c r="B71" s="854"/>
      <c r="C71" s="854"/>
      <c r="D71" s="854"/>
      <c r="E71" s="854"/>
      <c r="F71" s="854"/>
      <c r="G71" s="854"/>
      <c r="H71" s="854"/>
      <c r="I71" s="854"/>
      <c r="J71" s="854"/>
      <c r="K71" s="854"/>
      <c r="L71" s="854"/>
      <c r="M71" s="854"/>
      <c r="N71" s="854"/>
      <c r="O71" s="854"/>
      <c r="P71" s="854"/>
      <c r="Q71" s="854"/>
      <c r="R71" s="854"/>
      <c r="S71" s="854"/>
    </row>
    <row r="86" spans="6:18" ht="13.8" hidden="1" x14ac:dyDescent="0.25">
      <c r="I86" s="485" t="s">
        <v>453</v>
      </c>
    </row>
    <row r="87" spans="6:18" ht="13.8" hidden="1" x14ac:dyDescent="0.25">
      <c r="F87" s="544" t="s">
        <v>456</v>
      </c>
      <c r="I87" s="544" t="s">
        <v>456</v>
      </c>
      <c r="R87" s="485" t="s">
        <v>452</v>
      </c>
    </row>
    <row r="88" spans="6:18" ht="13.8" hidden="1" x14ac:dyDescent="0.25">
      <c r="I88" s="544" t="s">
        <v>459</v>
      </c>
      <c r="R88" s="485" t="s">
        <v>522</v>
      </c>
    </row>
    <row r="89" spans="6:18" ht="13.8" hidden="1" x14ac:dyDescent="0.25">
      <c r="I89" s="544" t="s">
        <v>467</v>
      </c>
      <c r="R89" s="485" t="s">
        <v>453</v>
      </c>
    </row>
    <row r="90" spans="6:18" ht="13.8" hidden="1" x14ac:dyDescent="0.25">
      <c r="I90" s="544" t="s">
        <v>521</v>
      </c>
      <c r="R90" s="485" t="s">
        <v>380</v>
      </c>
    </row>
    <row r="91" spans="6:18" ht="13.8" hidden="1" x14ac:dyDescent="0.25">
      <c r="I91" s="544" t="s">
        <v>470</v>
      </c>
      <c r="R91" s="485" t="s">
        <v>453</v>
      </c>
    </row>
    <row r="92" spans="6:18" ht="13.8" hidden="1" x14ac:dyDescent="0.25">
      <c r="I92" s="544" t="s">
        <v>478</v>
      </c>
      <c r="R92" s="485" t="s">
        <v>454</v>
      </c>
    </row>
    <row r="93" spans="6:18" ht="13.8" hidden="1" x14ac:dyDescent="0.25">
      <c r="I93" s="544" t="s">
        <v>479</v>
      </c>
      <c r="R93" s="485" t="s">
        <v>455</v>
      </c>
    </row>
    <row r="94" spans="6:18" ht="13.8" hidden="1" x14ac:dyDescent="0.25">
      <c r="I94" s="544" t="s">
        <v>483</v>
      </c>
      <c r="R94" s="485" t="s">
        <v>381</v>
      </c>
    </row>
    <row r="95" spans="6:18" ht="13.8" hidden="1" x14ac:dyDescent="0.25">
      <c r="I95" s="544" t="s">
        <v>489</v>
      </c>
      <c r="R95" s="485" t="s">
        <v>457</v>
      </c>
    </row>
    <row r="96" spans="6:18" ht="13.8" hidden="1" x14ac:dyDescent="0.25">
      <c r="I96" s="544" t="s">
        <v>496</v>
      </c>
      <c r="R96" s="485" t="s">
        <v>388</v>
      </c>
    </row>
    <row r="97" spans="9:18" ht="27.6" hidden="1" x14ac:dyDescent="0.25">
      <c r="I97" s="544" t="s">
        <v>499</v>
      </c>
      <c r="R97" s="485" t="s">
        <v>458</v>
      </c>
    </row>
    <row r="98" spans="9:18" ht="13.8" hidden="1" x14ac:dyDescent="0.25">
      <c r="I98" s="544" t="s">
        <v>504</v>
      </c>
      <c r="R98" s="485" t="s">
        <v>429</v>
      </c>
    </row>
    <row r="99" spans="9:18" ht="13.8" hidden="1" x14ac:dyDescent="0.25">
      <c r="R99" s="485" t="s">
        <v>460</v>
      </c>
    </row>
    <row r="100" spans="9:18" ht="27.6" hidden="1" x14ac:dyDescent="0.25">
      <c r="I100" s="544">
        <f>IF(OR(F87=I86,F87=I87,F87=I88,F87=I89,F87=I90,F87=I91,F87=I92,F87=I93,F87=I94,F87=I95,F87=I96,F87=I97,F87=I98),1,0)</f>
        <v>1</v>
      </c>
      <c r="R100" s="485" t="s">
        <v>461</v>
      </c>
    </row>
    <row r="101" spans="9:18" ht="27.6" hidden="1" x14ac:dyDescent="0.25">
      <c r="R101" s="485" t="s">
        <v>462</v>
      </c>
    </row>
    <row r="102" spans="9:18" ht="13.8" hidden="1" x14ac:dyDescent="0.25">
      <c r="R102" s="485" t="s">
        <v>463</v>
      </c>
    </row>
    <row r="103" spans="9:18" ht="27.6" hidden="1" x14ac:dyDescent="0.25">
      <c r="R103" s="485" t="s">
        <v>464</v>
      </c>
    </row>
    <row r="104" spans="9:18" ht="27.6" hidden="1" x14ac:dyDescent="0.25">
      <c r="R104" s="485" t="s">
        <v>465</v>
      </c>
    </row>
    <row r="105" spans="9:18" ht="13.8" hidden="1" x14ac:dyDescent="0.25">
      <c r="R105" s="485" t="s">
        <v>466</v>
      </c>
    </row>
    <row r="106" spans="9:18" ht="27.6" hidden="1" x14ac:dyDescent="0.25">
      <c r="R106" s="485" t="s">
        <v>382</v>
      </c>
    </row>
    <row r="107" spans="9:18" ht="27.6" hidden="1" x14ac:dyDescent="0.25">
      <c r="R107" s="485" t="s">
        <v>468</v>
      </c>
    </row>
    <row r="108" spans="9:18" ht="27.6" hidden="1" x14ac:dyDescent="0.25">
      <c r="R108" s="485" t="s">
        <v>469</v>
      </c>
    </row>
    <row r="109" spans="9:18" ht="13.8" hidden="1" x14ac:dyDescent="0.25">
      <c r="R109" s="485" t="s">
        <v>414</v>
      </c>
    </row>
    <row r="110" spans="9:18" ht="27.6" hidden="1" x14ac:dyDescent="0.25">
      <c r="R110" s="485" t="s">
        <v>471</v>
      </c>
    </row>
    <row r="111" spans="9:18" ht="27.6" hidden="1" x14ac:dyDescent="0.25">
      <c r="R111" s="485" t="s">
        <v>472</v>
      </c>
    </row>
    <row r="112" spans="9:18" ht="13.8" hidden="1" x14ac:dyDescent="0.25">
      <c r="R112" s="485" t="s">
        <v>473</v>
      </c>
    </row>
    <row r="113" spans="18:18" ht="13.8" hidden="1" x14ac:dyDescent="0.25">
      <c r="R113" s="485" t="s">
        <v>474</v>
      </c>
    </row>
    <row r="114" spans="18:18" ht="13.8" hidden="1" x14ac:dyDescent="0.25">
      <c r="R114" s="485" t="s">
        <v>475</v>
      </c>
    </row>
    <row r="115" spans="18:18" ht="27.6" hidden="1" x14ac:dyDescent="0.25">
      <c r="R115" s="485" t="s">
        <v>476</v>
      </c>
    </row>
    <row r="116" spans="18:18" ht="13.8" hidden="1" x14ac:dyDescent="0.25">
      <c r="R116" s="485" t="s">
        <v>477</v>
      </c>
    </row>
    <row r="117" spans="18:18" ht="13.8" hidden="1" x14ac:dyDescent="0.25">
      <c r="R117" s="485" t="s">
        <v>389</v>
      </c>
    </row>
    <row r="118" spans="18:18" ht="13.8" hidden="1" x14ac:dyDescent="0.25">
      <c r="R118" s="485" t="s">
        <v>390</v>
      </c>
    </row>
    <row r="119" spans="18:18" ht="13.8" hidden="1" x14ac:dyDescent="0.25">
      <c r="R119" s="485" t="s">
        <v>383</v>
      </c>
    </row>
    <row r="120" spans="18:18" ht="13.8" hidden="1" x14ac:dyDescent="0.25">
      <c r="R120" s="485" t="s">
        <v>391</v>
      </c>
    </row>
    <row r="121" spans="18:18" ht="13.8" hidden="1" x14ac:dyDescent="0.25">
      <c r="R121" s="485" t="s">
        <v>384</v>
      </c>
    </row>
    <row r="122" spans="18:18" ht="13.8" hidden="1" x14ac:dyDescent="0.25">
      <c r="R122" s="485" t="s">
        <v>385</v>
      </c>
    </row>
    <row r="123" spans="18:18" ht="27.6" hidden="1" x14ac:dyDescent="0.25">
      <c r="R123" s="485" t="s">
        <v>480</v>
      </c>
    </row>
    <row r="124" spans="18:18" ht="13.8" hidden="1" x14ac:dyDescent="0.25">
      <c r="R124" s="485" t="s">
        <v>481</v>
      </c>
    </row>
    <row r="125" spans="18:18" ht="13.8" hidden="1" x14ac:dyDescent="0.25">
      <c r="R125" s="485" t="s">
        <v>482</v>
      </c>
    </row>
    <row r="126" spans="18:18" ht="13.8" hidden="1" x14ac:dyDescent="0.25">
      <c r="R126" s="485" t="s">
        <v>484</v>
      </c>
    </row>
    <row r="127" spans="18:18" ht="13.8" hidden="1" x14ac:dyDescent="0.25">
      <c r="R127" s="485" t="s">
        <v>485</v>
      </c>
    </row>
    <row r="128" spans="18:18" ht="27.6" hidden="1" x14ac:dyDescent="0.25">
      <c r="R128" s="485" t="s">
        <v>386</v>
      </c>
    </row>
    <row r="129" spans="18:18" ht="27.6" hidden="1" x14ac:dyDescent="0.25">
      <c r="R129" s="485" t="s">
        <v>421</v>
      </c>
    </row>
    <row r="130" spans="18:18" ht="27.6" hidden="1" x14ac:dyDescent="0.25">
      <c r="R130" s="485" t="s">
        <v>420</v>
      </c>
    </row>
    <row r="131" spans="18:18" ht="13.8" hidden="1" x14ac:dyDescent="0.25">
      <c r="R131" s="485" t="s">
        <v>486</v>
      </c>
    </row>
    <row r="132" spans="18:18" ht="27.6" hidden="1" x14ac:dyDescent="0.25">
      <c r="R132" s="485" t="s">
        <v>487</v>
      </c>
    </row>
    <row r="133" spans="18:18" ht="13.8" hidden="1" x14ac:dyDescent="0.25">
      <c r="R133" s="485" t="s">
        <v>488</v>
      </c>
    </row>
    <row r="134" spans="18:18" ht="27.6" hidden="1" x14ac:dyDescent="0.25">
      <c r="R134" s="485" t="s">
        <v>490</v>
      </c>
    </row>
    <row r="135" spans="18:18" ht="13.8" hidden="1" x14ac:dyDescent="0.25">
      <c r="R135" s="485" t="s">
        <v>491</v>
      </c>
    </row>
    <row r="136" spans="18:18" ht="27.6" hidden="1" x14ac:dyDescent="0.25">
      <c r="R136" s="485" t="s">
        <v>492</v>
      </c>
    </row>
    <row r="137" spans="18:18" ht="27.6" hidden="1" x14ac:dyDescent="0.25">
      <c r="R137" s="485" t="s">
        <v>493</v>
      </c>
    </row>
    <row r="138" spans="18:18" ht="13.8" hidden="1" x14ac:dyDescent="0.25">
      <c r="R138" s="485" t="s">
        <v>494</v>
      </c>
    </row>
    <row r="139" spans="18:18" ht="13.8" hidden="1" x14ac:dyDescent="0.25">
      <c r="R139" s="485" t="s">
        <v>495</v>
      </c>
    </row>
    <row r="140" spans="18:18" ht="27.6" hidden="1" x14ac:dyDescent="0.25">
      <c r="R140" s="485" t="s">
        <v>392</v>
      </c>
    </row>
    <row r="141" spans="18:18" ht="27.6" hidden="1" x14ac:dyDescent="0.25">
      <c r="R141" s="485" t="s">
        <v>497</v>
      </c>
    </row>
    <row r="142" spans="18:18" ht="27.6" hidden="1" x14ac:dyDescent="0.25">
      <c r="R142" s="485" t="s">
        <v>498</v>
      </c>
    </row>
    <row r="143" spans="18:18" ht="13.8" hidden="1" x14ac:dyDescent="0.25">
      <c r="R143" s="485" t="s">
        <v>500</v>
      </c>
    </row>
    <row r="144" spans="18:18" ht="27.6" hidden="1" x14ac:dyDescent="0.25">
      <c r="R144" s="485" t="s">
        <v>501</v>
      </c>
    </row>
    <row r="145" spans="18:18" ht="13.8" hidden="1" x14ac:dyDescent="0.25">
      <c r="R145" s="485" t="s">
        <v>502</v>
      </c>
    </row>
    <row r="146" spans="18:18" ht="13.8" hidden="1" x14ac:dyDescent="0.25">
      <c r="R146" s="485" t="s">
        <v>503</v>
      </c>
    </row>
    <row r="147" spans="18:18" ht="27.6" hidden="1" x14ac:dyDescent="0.25">
      <c r="R147" s="485" t="s">
        <v>416</v>
      </c>
    </row>
    <row r="148" spans="18:18" ht="13.8" hidden="1" x14ac:dyDescent="0.25">
      <c r="R148" s="485" t="s">
        <v>505</v>
      </c>
    </row>
    <row r="149" spans="18:18" ht="13.8" hidden="1" x14ac:dyDescent="0.25">
      <c r="R149" s="485" t="s">
        <v>506</v>
      </c>
    </row>
    <row r="150" spans="18:18" ht="13.8" hidden="1" x14ac:dyDescent="0.25">
      <c r="R150" s="485" t="s">
        <v>507</v>
      </c>
    </row>
    <row r="151" spans="18:18" ht="13.8" hidden="1" x14ac:dyDescent="0.25">
      <c r="R151" s="485" t="s">
        <v>508</v>
      </c>
    </row>
    <row r="152" spans="18:18" ht="13.8" hidden="1" x14ac:dyDescent="0.25">
      <c r="R152" s="485" t="s">
        <v>426</v>
      </c>
    </row>
    <row r="153" spans="18:18" ht="27.6" hidden="1" x14ac:dyDescent="0.25">
      <c r="R153" s="485" t="s">
        <v>509</v>
      </c>
    </row>
    <row r="154" spans="18:18" ht="27.6" hidden="1" x14ac:dyDescent="0.25">
      <c r="R154" s="485" t="s">
        <v>510</v>
      </c>
    </row>
    <row r="155" spans="18:18" ht="27.6" hidden="1" x14ac:dyDescent="0.25">
      <c r="R155" s="485" t="s">
        <v>511</v>
      </c>
    </row>
    <row r="156" spans="18:18" ht="13.8" hidden="1" x14ac:dyDescent="0.25">
      <c r="R156" s="485" t="s">
        <v>512</v>
      </c>
    </row>
    <row r="157" spans="18:18" ht="27.6" hidden="1" x14ac:dyDescent="0.25">
      <c r="R157" s="485" t="s">
        <v>513</v>
      </c>
    </row>
    <row r="158" spans="18:18" ht="27.6" hidden="1" x14ac:dyDescent="0.25">
      <c r="R158" s="485" t="s">
        <v>514</v>
      </c>
    </row>
    <row r="159" spans="18:18" ht="27.6" hidden="1" x14ac:dyDescent="0.25">
      <c r="R159" s="485" t="s">
        <v>515</v>
      </c>
    </row>
    <row r="160" spans="18:18" ht="13.8" hidden="1" x14ac:dyDescent="0.25">
      <c r="R160" s="485" t="s">
        <v>387</v>
      </c>
    </row>
    <row r="161" spans="18:18" ht="13.8" hidden="1" x14ac:dyDescent="0.25">
      <c r="R161" s="485"/>
    </row>
    <row r="162" spans="18:18" ht="13.8" hidden="1" x14ac:dyDescent="0.25">
      <c r="R162" s="485"/>
    </row>
    <row r="163" spans="18:18" ht="13.8" hidden="1" x14ac:dyDescent="0.25">
      <c r="R163" s="485"/>
    </row>
    <row r="164" spans="18:18" ht="13.8" hidden="1" x14ac:dyDescent="0.25">
      <c r="R164" s="485"/>
    </row>
    <row r="165" spans="18:18" ht="13.8" hidden="1" x14ac:dyDescent="0.25">
      <c r="R165" s="485"/>
    </row>
    <row r="166" spans="18:18" ht="13.8" hidden="1" x14ac:dyDescent="0.25">
      <c r="R166" s="485"/>
    </row>
    <row r="167" spans="18:18" ht="13.8" hidden="1" x14ac:dyDescent="0.25">
      <c r="R167" s="485"/>
    </row>
    <row r="168" spans="18:18" ht="13.8" hidden="1" x14ac:dyDescent="0.25">
      <c r="R168" s="485"/>
    </row>
    <row r="169" spans="18:18" ht="13.8" hidden="1" x14ac:dyDescent="0.25">
      <c r="R169" s="485"/>
    </row>
    <row r="170" spans="18:18" ht="13.8" hidden="1" x14ac:dyDescent="0.25">
      <c r="R170" s="485"/>
    </row>
    <row r="171" spans="18:18" ht="13.8" hidden="1" x14ac:dyDescent="0.25">
      <c r="R171" s="485"/>
    </row>
    <row r="172" spans="18:18" ht="13.8" hidden="1" x14ac:dyDescent="0.25">
      <c r="R172" s="485"/>
    </row>
    <row r="173" spans="18:18" ht="13.8" thickTop="1" x14ac:dyDescent="0.25"/>
  </sheetData>
  <sheetProtection algorithmName="SHA-512" hashValue="2r7yzzUiEnSyC8PGcVD2YXJbjwji5QKjqgZmSFbB68PQMTZhtolFckDvfws486c2EkIclQEQ0Dfvno0ifxU6TQ==" saltValue="uXcpbyg9enYMj0FJ+jW2gg==" spinCount="100000" sheet="1" objects="1" scenarios="1"/>
  <dataConsolidate/>
  <mergeCells count="24">
    <mergeCell ref="P10:R10"/>
    <mergeCell ref="A65:S71"/>
    <mergeCell ref="M1:S1"/>
    <mergeCell ref="M2:R2"/>
    <mergeCell ref="C11:J11"/>
    <mergeCell ref="C8:J8"/>
    <mergeCell ref="P8:R8"/>
    <mergeCell ref="C59:I59"/>
    <mergeCell ref="C58:I58"/>
    <mergeCell ref="C48:R48"/>
    <mergeCell ref="P4:R4"/>
    <mergeCell ref="P11:R11"/>
    <mergeCell ref="D41:E41"/>
    <mergeCell ref="P13:Q13"/>
    <mergeCell ref="P9:R9"/>
    <mergeCell ref="Q16:R17"/>
    <mergeCell ref="C20:J24"/>
    <mergeCell ref="C54:M55"/>
    <mergeCell ref="P12:R12"/>
    <mergeCell ref="N56:R56"/>
    <mergeCell ref="C43:R43"/>
    <mergeCell ref="C13:J13"/>
    <mergeCell ref="C51:R51"/>
    <mergeCell ref="L24:R25"/>
  </mergeCells>
  <phoneticPr fontId="0" type="noConversion"/>
  <conditionalFormatting sqref="X32">
    <cfRule type="expression" dxfId="165" priority="41" stopIfTrue="1">
      <formula>E32&gt;9%</formula>
    </cfRule>
  </conditionalFormatting>
  <conditionalFormatting sqref="X49">
    <cfRule type="expression" dxfId="164" priority="42" stopIfTrue="1">
      <formula>T42=1</formula>
    </cfRule>
  </conditionalFormatting>
  <conditionalFormatting sqref="M34">
    <cfRule type="expression" dxfId="163" priority="45" stopIfTrue="1">
      <formula>W32=1</formula>
    </cfRule>
  </conditionalFormatting>
  <conditionalFormatting sqref="F36">
    <cfRule type="expression" dxfId="162" priority="46" stopIfTrue="1">
      <formula>W37=3</formula>
    </cfRule>
  </conditionalFormatting>
  <conditionalFormatting sqref="Q37">
    <cfRule type="expression" dxfId="161" priority="47" stopIfTrue="1">
      <formula>X42=1</formula>
    </cfRule>
  </conditionalFormatting>
  <conditionalFormatting sqref="L39">
    <cfRule type="expression" dxfId="160" priority="49" stopIfTrue="1">
      <formula>U42=1</formula>
    </cfRule>
  </conditionalFormatting>
  <conditionalFormatting sqref="C33:C34">
    <cfRule type="expression" dxfId="159" priority="50" stopIfTrue="1">
      <formula>U33="Yes"</formula>
    </cfRule>
  </conditionalFormatting>
  <conditionalFormatting sqref="X25">
    <cfRule type="expression" dxfId="158" priority="51" stopIfTrue="1">
      <formula>W38=1</formula>
    </cfRule>
  </conditionalFormatting>
  <conditionalFormatting sqref="M33">
    <cfRule type="expression" dxfId="157" priority="52" stopIfTrue="1">
      <formula>W34=1</formula>
    </cfRule>
  </conditionalFormatting>
  <conditionalFormatting sqref="L33">
    <cfRule type="expression" dxfId="156" priority="54" stopIfTrue="1">
      <formula>W34=1</formula>
    </cfRule>
  </conditionalFormatting>
  <conditionalFormatting sqref="D33:D34">
    <cfRule type="expression" dxfId="155" priority="55" stopIfTrue="1">
      <formula>U33="Yes"</formula>
    </cfRule>
  </conditionalFormatting>
  <conditionalFormatting sqref="C35">
    <cfRule type="expression" dxfId="154" priority="56" stopIfTrue="1">
      <formula>AND(U36="Yes",U34="Yes")</formula>
    </cfRule>
  </conditionalFormatting>
  <conditionalFormatting sqref="D35">
    <cfRule type="expression" dxfId="153" priority="57" stopIfTrue="1">
      <formula>AND(U36="Yes",U34="Yes")</formula>
    </cfRule>
  </conditionalFormatting>
  <conditionalFormatting sqref="L34">
    <cfRule type="expression" dxfId="152" priority="58" stopIfTrue="1">
      <formula>W32=1</formula>
    </cfRule>
  </conditionalFormatting>
  <conditionalFormatting sqref="M39">
    <cfRule type="expression" dxfId="151" priority="60" stopIfTrue="1">
      <formula>U42=1</formula>
    </cfRule>
  </conditionalFormatting>
  <conditionalFormatting sqref="Y23">
    <cfRule type="expression" dxfId="150" priority="64" stopIfTrue="1">
      <formula>AA37=1</formula>
    </cfRule>
  </conditionalFormatting>
  <conditionalFormatting sqref="W29">
    <cfRule type="expression" dxfId="149" priority="66" stopIfTrue="1">
      <formula>W39=1</formula>
    </cfRule>
  </conditionalFormatting>
  <conditionalFormatting sqref="E36">
    <cfRule type="expression" dxfId="148" priority="68" stopIfTrue="1">
      <formula>U37=1</formula>
    </cfRule>
  </conditionalFormatting>
  <conditionalFormatting sqref="D36">
    <cfRule type="expression" dxfId="147" priority="70" stopIfTrue="1">
      <formula>W41=1</formula>
    </cfRule>
  </conditionalFormatting>
  <conditionalFormatting sqref="C36">
    <cfRule type="expression" dxfId="146" priority="71" stopIfTrue="1">
      <formula>W41=1</formula>
    </cfRule>
  </conditionalFormatting>
  <conditionalFormatting sqref="C40">
    <cfRule type="expression" dxfId="145" priority="74" stopIfTrue="1">
      <formula>T40=1</formula>
    </cfRule>
  </conditionalFormatting>
  <conditionalFormatting sqref="L40">
    <cfRule type="expression" dxfId="144" priority="75" stopIfTrue="1">
      <formula>U40=1</formula>
    </cfRule>
  </conditionalFormatting>
  <conditionalFormatting sqref="D40">
    <cfRule type="expression" dxfId="143" priority="76" stopIfTrue="1">
      <formula>T40=1</formula>
    </cfRule>
  </conditionalFormatting>
  <conditionalFormatting sqref="M40">
    <cfRule type="expression" dxfId="142" priority="77" stopIfTrue="1">
      <formula>U40=1</formula>
    </cfRule>
  </conditionalFormatting>
  <conditionalFormatting sqref="I16">
    <cfRule type="expression" dxfId="141" priority="82" stopIfTrue="1">
      <formula>T18="One Year"</formula>
    </cfRule>
  </conditionalFormatting>
  <conditionalFormatting sqref="U49">
    <cfRule type="cellIs" dxfId="140" priority="84" stopIfTrue="1" operator="equal">
      <formula>"."</formula>
    </cfRule>
  </conditionalFormatting>
  <conditionalFormatting sqref="X39:X40">
    <cfRule type="expression" dxfId="139" priority="86" stopIfTrue="1">
      <formula>#REF!&gt;1</formula>
    </cfRule>
  </conditionalFormatting>
  <conditionalFormatting sqref="D41:E41">
    <cfRule type="cellIs" dxfId="138" priority="87" stopIfTrue="1" operator="equal">
      <formula>"-"</formula>
    </cfRule>
  </conditionalFormatting>
  <conditionalFormatting sqref="G39:G40 E35 C9">
    <cfRule type="cellIs" dxfId="137" priority="88" stopIfTrue="1" operator="equal">
      <formula>0</formula>
    </cfRule>
  </conditionalFormatting>
  <conditionalFormatting sqref="H36">
    <cfRule type="expression" dxfId="136" priority="89" stopIfTrue="1">
      <formula>#REF!&gt;1000</formula>
    </cfRule>
  </conditionalFormatting>
  <conditionalFormatting sqref="I39:I40">
    <cfRule type="expression" dxfId="135" priority="91" stopIfTrue="1">
      <formula>#REF!=0</formula>
    </cfRule>
  </conditionalFormatting>
  <conditionalFormatting sqref="R5 P4">
    <cfRule type="cellIs" dxfId="134" priority="93" stopIfTrue="1" operator="equal">
      <formula>0</formula>
    </cfRule>
  </conditionalFormatting>
  <conditionalFormatting sqref="L23">
    <cfRule type="cellIs" dxfId="133" priority="95" stopIfTrue="1" operator="equal">
      <formula>"Total Contribution"</formula>
    </cfRule>
  </conditionalFormatting>
  <conditionalFormatting sqref="C8">
    <cfRule type="cellIs" dxfId="132" priority="34" stopIfTrue="1" operator="equal">
      <formula>0</formula>
    </cfRule>
  </conditionalFormatting>
  <conditionalFormatting sqref="Q38">
    <cfRule type="expression" dxfId="131" priority="30" stopIfTrue="1">
      <formula>V42=1</formula>
    </cfRule>
  </conditionalFormatting>
  <conditionalFormatting sqref="R38">
    <cfRule type="expression" dxfId="130" priority="29" stopIfTrue="1">
      <formula>AA43=1</formula>
    </cfRule>
  </conditionalFormatting>
  <conditionalFormatting sqref="G36">
    <cfRule type="expression" dxfId="129" priority="297" stopIfTrue="1">
      <formula>W35=1</formula>
    </cfRule>
  </conditionalFormatting>
  <conditionalFormatting sqref="F35">
    <cfRule type="expression" dxfId="128" priority="24" stopIfTrue="1">
      <formula>W35=3</formula>
    </cfRule>
  </conditionalFormatting>
  <conditionalFormatting sqref="G35">
    <cfRule type="expression" dxfId="127" priority="25" stopIfTrue="1">
      <formula>W35=1</formula>
    </cfRule>
  </conditionalFormatting>
  <conditionalFormatting sqref="H35">
    <cfRule type="expression" dxfId="126" priority="26" stopIfTrue="1">
      <formula>#REF!&gt;1000</formula>
    </cfRule>
  </conditionalFormatting>
  <conditionalFormatting sqref="M35">
    <cfRule type="expression" dxfId="125" priority="28" stopIfTrue="1">
      <formula>L35="Yes"</formula>
    </cfRule>
  </conditionalFormatting>
  <conditionalFormatting sqref="G37">
    <cfRule type="expression" dxfId="124" priority="20" stopIfTrue="1">
      <formula>AND(B13=1,I13="Ijarah Leasing")</formula>
    </cfRule>
  </conditionalFormatting>
  <conditionalFormatting sqref="H37">
    <cfRule type="expression" dxfId="123" priority="19" stopIfTrue="1">
      <formula>AND(C13=1,J13="Ijarah")</formula>
    </cfRule>
  </conditionalFormatting>
  <conditionalFormatting sqref="L37:L38">
    <cfRule type="expression" dxfId="122" priority="12" stopIfTrue="1">
      <formula>AND(AD35="Yes",AD33="Yes")</formula>
    </cfRule>
  </conditionalFormatting>
  <conditionalFormatting sqref="C11">
    <cfRule type="cellIs" dxfId="121" priority="9" stopIfTrue="1" operator="equal">
      <formula>0</formula>
    </cfRule>
  </conditionalFormatting>
  <conditionalFormatting sqref="I35">
    <cfRule type="expression" dxfId="120" priority="8" stopIfTrue="1">
      <formula>Y35=1</formula>
    </cfRule>
  </conditionalFormatting>
  <conditionalFormatting sqref="V41">
    <cfRule type="expression" dxfId="119" priority="298" stopIfTrue="1">
      <formula>$E$36&gt;0</formula>
    </cfRule>
  </conditionalFormatting>
  <conditionalFormatting sqref="C13">
    <cfRule type="cellIs" dxfId="118" priority="7" stopIfTrue="1" operator="equal">
      <formula>0</formula>
    </cfRule>
  </conditionalFormatting>
  <conditionalFormatting sqref="M36">
    <cfRule type="expression" dxfId="117" priority="6" stopIfTrue="1">
      <formula>W33=2</formula>
    </cfRule>
  </conditionalFormatting>
  <conditionalFormatting sqref="L36">
    <cfRule type="expression" dxfId="116" priority="5" stopIfTrue="1">
      <formula>W33=2</formula>
    </cfRule>
  </conditionalFormatting>
  <conditionalFormatting sqref="C53">
    <cfRule type="expression" dxfId="115" priority="4" stopIfTrue="1">
      <formula>V55&lt;&gt;0</formula>
    </cfRule>
  </conditionalFormatting>
  <conditionalFormatting sqref="T20">
    <cfRule type="expression" dxfId="114" priority="3" stopIfTrue="1">
      <formula>Q16&gt;=700000</formula>
    </cfRule>
  </conditionalFormatting>
  <conditionalFormatting sqref="T19">
    <cfRule type="expression" dxfId="113" priority="2" stopIfTrue="1">
      <formula>Q16&gt;=700000</formula>
    </cfRule>
  </conditionalFormatting>
  <conditionalFormatting sqref="T22">
    <cfRule type="expression" dxfId="112" priority="1" stopIfTrue="1">
      <formula>Q16&lt;700000</formula>
    </cfRule>
  </conditionalFormatting>
  <dataValidations count="11">
    <dataValidation type="whole" allowBlank="1" showInputMessage="1" showErrorMessage="1" sqref="E36 Q38 G35:H37 I35 C33:C36 C40 L33:L34 L36:L40" xr:uid="{00000000-0002-0000-0300-000000000000}">
      <formula1>0</formula1>
      <formula2>1</formula2>
    </dataValidation>
    <dataValidation type="list" allowBlank="1" showInputMessage="1" showErrorMessage="1" sqref="P13:Q13" xr:uid="{00000000-0002-0000-0300-000001000000}">
      <formula1>"2005,2006,2007,2008,2009,2010,2011,2012,2013,2014,2015,2016,2017,2018,2019,2020,2021"</formula1>
    </dataValidation>
    <dataValidation type="decimal" allowBlank="1" showInputMessage="1" showErrorMessage="1" error="Maximum 65% NCB_x000a_" sqref="T34" xr:uid="{00000000-0002-0000-0300-000002000000}">
      <formula1>0</formula1>
      <formula2>65</formula2>
    </dataValidation>
    <dataValidation type="list" operator="notBetween" allowBlank="1" showInputMessage="1" showErrorMessage="1" sqref="R33" xr:uid="{00000000-0002-0000-0300-000003000000}">
      <formula1>"300000,500000,1000000"</formula1>
    </dataValidation>
    <dataValidation type="list" allowBlank="1" showInputMessage="1" showErrorMessage="1" sqref="T13" xr:uid="{00000000-0002-0000-0300-000004000000}">
      <formula1>"Ijarah,Murabaha,D/Musharaka"</formula1>
    </dataValidation>
    <dataValidation type="list" allowBlank="1" showInputMessage="1" showErrorMessage="1" sqref="P10" xr:uid="{00000000-0002-0000-0300-000005000000}">
      <formula1>"PETROL,ELECTRIC"</formula1>
    </dataValidation>
    <dataValidation type="list" allowBlank="1" showInputMessage="1" showErrorMessage="1" sqref="X10" xr:uid="{00000000-0002-0000-0300-000006000000}">
      <formula1>"Above 250cc,Below 250cc"</formula1>
    </dataValidation>
    <dataValidation type="list" allowBlank="1" showInputMessage="1" showErrorMessage="1" sqref="R34" xr:uid="{00000000-0002-0000-0300-000007000000}">
      <formula1>"0,25000,50000,75000,100000,125000,150000,175000,200000,225000,250000,275000,300000,350000,400000,450000,500000,1000000"</formula1>
    </dataValidation>
    <dataValidation type="list" allowBlank="1" showInputMessage="1" showErrorMessage="1" sqref="R36" xr:uid="{00000000-0002-0000-0300-000008000000}">
      <formula1>"0,2000,10000,20000,50000,100000,200000,500000"</formula1>
    </dataValidation>
    <dataValidation type="decimal" allowBlank="1" showInputMessage="1" showErrorMessage="1" sqref="Q16:R17" xr:uid="{00000000-0002-0000-0300-000009000000}">
      <formula1>500000</formula1>
      <formula2>2000000</formula2>
    </dataValidation>
    <dataValidation type="list" allowBlank="1" showInputMessage="1" showErrorMessage="1" sqref="T20 L35" xr:uid="{00000000-0002-0000-03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40"/>
    <pageSetUpPr fitToPage="1"/>
  </sheetPr>
  <dimension ref="A1:BH152"/>
  <sheetViews>
    <sheetView showGridLines="0" topLeftCell="E43" zoomScale="75" zoomScaleNormal="82" workbookViewId="0">
      <selection activeCell="IS5" sqref="IS5"/>
    </sheetView>
  </sheetViews>
  <sheetFormatPr defaultColWidth="0" defaultRowHeight="13.8" zeroHeight="1" x14ac:dyDescent="0.25"/>
  <cols>
    <col min="1" max="1" width="0.88671875" style="692" customWidth="1"/>
    <col min="2" max="2" width="0.5546875" style="692" customWidth="1"/>
    <col min="3" max="3" width="5.33203125" style="692" customWidth="1"/>
    <col min="4" max="4" width="3.33203125" style="692" customWidth="1"/>
    <col min="5" max="5" width="4.33203125" style="692" customWidth="1"/>
    <col min="6" max="6" width="33.33203125" style="692" customWidth="1"/>
    <col min="7" max="7" width="4.6640625" style="692" customWidth="1"/>
    <col min="8" max="8" width="18.5546875" style="692" customWidth="1"/>
    <col min="9" max="9" width="16.44140625" style="692" customWidth="1"/>
    <col min="10" max="10" width="3.88671875" style="692" customWidth="1"/>
    <col min="11" max="11" width="14.5546875" style="692" customWidth="1"/>
    <col min="12" max="12" width="4" style="692" customWidth="1"/>
    <col min="13" max="13" width="25.33203125" style="692" customWidth="1"/>
    <col min="14" max="14" width="11.44140625" style="692" customWidth="1"/>
    <col min="15" max="15" width="9.88671875" style="692" customWidth="1"/>
    <col min="16" max="16" width="13.5546875" style="692" customWidth="1"/>
    <col min="17" max="17" width="5.44140625" style="693" customWidth="1"/>
    <col min="18" max="18" width="6.33203125" style="692" hidden="1" customWidth="1"/>
    <col min="19" max="19" width="5" style="692" hidden="1" customWidth="1"/>
    <col min="20" max="20" width="9.5546875" style="692" hidden="1" customWidth="1"/>
    <col min="21" max="21" width="5.33203125" style="692" hidden="1" customWidth="1"/>
    <col min="22" max="22" width="4.5546875" style="692" hidden="1" customWidth="1"/>
    <col min="23" max="23" width="2.88671875" style="692" hidden="1" customWidth="1"/>
    <col min="24" max="24" width="0" style="692" hidden="1" customWidth="1"/>
    <col min="25" max="25" width="5.88671875" style="692" hidden="1" customWidth="1"/>
    <col min="26" max="26" width="7.109375" style="692" hidden="1" customWidth="1"/>
    <col min="27" max="27" width="26.5546875" style="692" hidden="1" customWidth="1"/>
    <col min="28" max="29" width="0" style="692" hidden="1" customWidth="1"/>
    <col min="30" max="30" width="27.109375" style="692" hidden="1" customWidth="1"/>
    <col min="31" max="35" width="0" style="692" hidden="1" customWidth="1"/>
    <col min="36" max="36" width="0" style="694" hidden="1" customWidth="1"/>
    <col min="37" max="38" width="0" style="692" hidden="1" customWidth="1"/>
    <col min="39" max="39" width="0" style="693" hidden="1" customWidth="1"/>
    <col min="40" max="46" width="0" style="692" hidden="1" customWidth="1"/>
    <col min="47" max="47" width="0" style="694" hidden="1" customWidth="1"/>
    <col min="48" max="49" width="0" style="692" hidden="1" customWidth="1"/>
    <col min="50" max="50" width="47.44140625" style="695" hidden="1" customWidth="1"/>
    <col min="51" max="16384" width="0" style="692" hidden="1"/>
  </cols>
  <sheetData>
    <row r="1" spans="1:60" s="142" customFormat="1" ht="45" customHeight="1" thickTop="1" thickBot="1" x14ac:dyDescent="0.3">
      <c r="B1" s="287"/>
      <c r="C1" s="137">
        <f ca="1">IF(OR(C69=0,R15=0),0,1)</f>
        <v>1</v>
      </c>
      <c r="D1" s="174"/>
      <c r="E1" s="175"/>
      <c r="F1" s="175"/>
      <c r="G1" s="175"/>
      <c r="H1" s="175"/>
      <c r="I1" s="175"/>
      <c r="J1" s="175"/>
      <c r="K1" s="175"/>
      <c r="L1" s="175"/>
      <c r="M1" s="176"/>
      <c r="N1" s="924"/>
      <c r="O1" s="925"/>
      <c r="P1" s="139"/>
      <c r="Q1" s="139"/>
      <c r="R1" s="139"/>
      <c r="S1" s="139"/>
      <c r="T1" s="139"/>
      <c r="U1" s="142">
        <f>IF(G36="Yes",H23+H36,H23)</f>
        <v>77.141999999999996</v>
      </c>
      <c r="V1" s="139"/>
      <c r="W1" s="139"/>
      <c r="X1" s="139"/>
      <c r="Y1" s="139"/>
      <c r="Z1" s="139"/>
      <c r="AA1" s="657" t="s">
        <v>403</v>
      </c>
      <c r="AB1" s="139"/>
      <c r="AM1" s="218"/>
    </row>
    <row r="2" spans="1:60" s="141" customFormat="1" ht="18.600000000000001" thickBot="1" x14ac:dyDescent="0.4">
      <c r="A2" s="142"/>
      <c r="B2" s="288"/>
      <c r="C2" s="474" t="s">
        <v>113</v>
      </c>
      <c r="D2" s="6"/>
      <c r="E2" s="433" t="s">
        <v>173</v>
      </c>
      <c r="F2" s="177"/>
      <c r="G2" s="316" t="s">
        <v>280</v>
      </c>
      <c r="H2" s="933" t="s">
        <v>529</v>
      </c>
      <c r="I2" s="934"/>
      <c r="J2" s="438"/>
      <c r="K2" s="922" t="s">
        <v>413</v>
      </c>
      <c r="L2" s="922"/>
      <c r="M2" s="923"/>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7">
        <f>IF(OR(Z15=0,T2=3,Z2=0),0,1)*Q15*V2*S2</f>
        <v>1</v>
      </c>
      <c r="V2" s="457">
        <f>IF(H13="",0,1)</f>
        <v>1</v>
      </c>
      <c r="W2" s="142">
        <f>IF(M8="Trade Plate",X2,1)</f>
        <v>1</v>
      </c>
      <c r="X2" s="142">
        <f>IF(H9=Administration!C20,1,0)</f>
        <v>0</v>
      </c>
      <c r="Y2" s="142">
        <f>IF(M8="Trade Plate",0,1)</f>
        <v>1</v>
      </c>
      <c r="Z2" s="458">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35">
      <c r="A3" s="142"/>
      <c r="B3" s="288"/>
      <c r="C3" s="243"/>
      <c r="D3" s="388">
        <f>IF(H3="One Year",1,0)</f>
        <v>1</v>
      </c>
      <c r="E3" s="433" t="s">
        <v>299</v>
      </c>
      <c r="F3" s="177"/>
      <c r="G3" s="316" t="s">
        <v>280</v>
      </c>
      <c r="H3" s="701" t="s">
        <v>301</v>
      </c>
      <c r="I3" s="387" t="str">
        <f>IF(Calculation!S6=0,CONCATENATE("     ",Calculation!H9," Days"),IF(OR(Calculation!O6&lt;Calculation!O3,Calculation!O6&gt;=Calculation!O4),"Invalid Cover  Period",CONCATENATE("     ",Calculation!H9," Days")))</f>
        <v xml:space="preserve">     97 Days</v>
      </c>
      <c r="J3" s="387"/>
      <c r="K3" s="382"/>
      <c r="L3" s="935" t="str">
        <f>IF(D3=0,"Charge SRCC/TC Full?","")</f>
        <v/>
      </c>
      <c r="M3" s="936"/>
      <c r="N3" s="553">
        <f>IF(H3="One Year",1,IF(Working!H3="Short Period",Calculation!O12,Calculation!O14)*Calculation!S3*Calculation!S4*Calculation!S6*Calculation!N11)</f>
        <v>1</v>
      </c>
      <c r="O3" s="518" t="e">
        <f>IF(#REF!=Rates!J86,Rates!K86,IF(#REF!=Rates!J87,Rates!K87,IF(#REF!=Rates!J88,Rates!K88,IF(#REF!=Rates!J89,Rates!K89,IF(#REF!=Rates!J90,Rates!K90,0)))))</f>
        <v>#REF!</v>
      </c>
      <c r="P3" s="518"/>
      <c r="Q3" s="518"/>
      <c r="R3" s="518"/>
      <c r="S3" s="544"/>
      <c r="T3" s="142"/>
      <c r="U3" s="457"/>
      <c r="V3" s="457"/>
      <c r="W3" s="142"/>
      <c r="X3" s="142"/>
      <c r="Y3" s="142"/>
      <c r="Z3" s="458"/>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
      <c r="A4" s="142"/>
      <c r="B4" s="288"/>
      <c r="C4" s="243"/>
      <c r="D4" s="6"/>
      <c r="E4" s="384"/>
      <c r="F4" s="385" t="str">
        <f>IF(D3=0,"PERIOD                                       FROM","")</f>
        <v/>
      </c>
      <c r="G4" s="658">
        <v>24</v>
      </c>
      <c r="H4" s="659" t="s">
        <v>349</v>
      </c>
      <c r="I4" s="659">
        <v>2013</v>
      </c>
      <c r="J4" s="660"/>
      <c r="K4" s="387" t="str">
        <f>IF(Calculation!S3=0,"Date Error","")</f>
        <v/>
      </c>
      <c r="L4" s="935"/>
      <c r="M4" s="936"/>
      <c r="N4" s="554">
        <f>IF(M5="No",N3,1)</f>
        <v>1</v>
      </c>
      <c r="O4" s="518" t="s">
        <v>408</v>
      </c>
      <c r="P4" s="518" t="s">
        <v>409</v>
      </c>
      <c r="Q4" s="518"/>
      <c r="R4" s="518"/>
      <c r="S4" s="544"/>
      <c r="T4" s="544"/>
      <c r="U4" s="545"/>
      <c r="V4" s="545"/>
      <c r="W4" s="142"/>
      <c r="X4" s="142"/>
      <c r="Y4" s="142"/>
      <c r="Z4" s="458"/>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8"/>
      <c r="C5" s="243"/>
      <c r="D5" s="6"/>
      <c r="E5" s="383"/>
      <c r="F5" s="386" t="str">
        <f>IF(D3=0,"To","")</f>
        <v/>
      </c>
      <c r="G5" s="658">
        <v>28</v>
      </c>
      <c r="H5" s="659" t="s">
        <v>352</v>
      </c>
      <c r="I5" s="661">
        <v>2013</v>
      </c>
      <c r="J5" s="660"/>
      <c r="K5" s="387" t="str">
        <f>IF(Calculation!S6=0,"Date Error","")</f>
        <v/>
      </c>
      <c r="L5" s="434"/>
      <c r="M5" s="662" t="s">
        <v>77</v>
      </c>
      <c r="N5" s="554" t="str">
        <f>Rates!D81</f>
        <v>No</v>
      </c>
      <c r="O5" s="546">
        <f>H15*N7%</f>
        <v>12250.000000000002</v>
      </c>
      <c r="P5" s="546">
        <f>(O5-M40-M42)/P6*100</f>
        <v>7187.5000000000018</v>
      </c>
      <c r="Q5" s="518"/>
      <c r="R5" s="518"/>
      <c r="S5" s="544"/>
      <c r="T5" s="544"/>
      <c r="U5" s="545"/>
      <c r="V5" s="545"/>
      <c r="W5" s="142"/>
      <c r="X5" s="142"/>
      <c r="Y5" s="142"/>
      <c r="Z5" s="458"/>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35">
      <c r="B6" s="288"/>
      <c r="C6" s="208"/>
      <c r="D6" s="6"/>
      <c r="E6" s="523" t="s">
        <v>373</v>
      </c>
      <c r="F6" s="524"/>
      <c r="G6" s="316" t="s">
        <v>397</v>
      </c>
      <c r="H6" s="700" t="s">
        <v>444</v>
      </c>
      <c r="I6" s="943"/>
      <c r="J6" s="944"/>
      <c r="K6" s="945"/>
      <c r="L6" s="941" t="str">
        <f>Quote!C8</f>
        <v>to be advised</v>
      </c>
      <c r="M6" s="942"/>
      <c r="N6" s="367" t="s">
        <v>48</v>
      </c>
      <c r="O6" s="142">
        <f>IF(AND(Rates!D79="Yes",(O57+Q57=1)),0,1)</f>
        <v>1</v>
      </c>
      <c r="P6" s="547">
        <f>IF(H9="Hiring",140,110)</f>
        <v>140</v>
      </c>
      <c r="Q6" s="491">
        <f>IF(AND(M8=Administration!C7,H9=Administration!C20),Rates!D6,R6)</f>
        <v>0.8</v>
      </c>
      <c r="R6" s="142">
        <f>IF(AND(M8=Administration!C12,H9=Administration!C20),Rates!D12,T6)</f>
        <v>0.8</v>
      </c>
      <c r="T6" s="142">
        <f>IF(AND(M8=Administration!C8,H9=Administration!C20),Rates!D8,U6)</f>
        <v>0.8</v>
      </c>
      <c r="U6" s="389">
        <f>IF(M8=Administration!C9,Rates!D5,W6)</f>
        <v>0.8</v>
      </c>
      <c r="V6" s="389"/>
      <c r="W6" s="389">
        <f>IF(M8=Administration!C10,Rates!D11,X6)</f>
        <v>0.8</v>
      </c>
      <c r="X6" s="389">
        <f>IF(M8=Administration!C11,Rates!D10,Y6)</f>
        <v>0.8</v>
      </c>
      <c r="Y6" s="142">
        <f>IF(AND(M8=Administration!C12,H9=Administration!C21),Rates!D13,Z6)</f>
        <v>0.8</v>
      </c>
      <c r="Z6" s="389">
        <f>IF(M8=Administration!C13,Rates!D3,AA6)</f>
        <v>0</v>
      </c>
      <c r="AA6" s="389">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6" thickBot="1" x14ac:dyDescent="0.45">
      <c r="B7" s="288"/>
      <c r="C7" s="208"/>
      <c r="D7" s="6"/>
      <c r="E7" s="523" t="s">
        <v>278</v>
      </c>
      <c r="F7" s="524"/>
      <c r="G7" s="316" t="s">
        <v>398</v>
      </c>
      <c r="H7" s="946" t="str">
        <f>Quote!C11</f>
        <v>to be advised</v>
      </c>
      <c r="I7" s="947"/>
      <c r="J7" s="947"/>
      <c r="K7" s="948"/>
      <c r="L7" s="949" t="str">
        <f>IF(AND(H15&gt;0,L6=""),"Enter Name","")</f>
        <v/>
      </c>
      <c r="M7" s="950"/>
      <c r="N7" s="452">
        <v>1.75</v>
      </c>
      <c r="P7" s="492"/>
      <c r="Q7" s="141">
        <f>Q6*U2</f>
        <v>0.8</v>
      </c>
      <c r="R7" s="141"/>
      <c r="S7" s="141"/>
      <c r="T7" s="141" t="str">
        <f>Administration!C20</f>
        <v>Private Use Only</v>
      </c>
      <c r="U7" s="460" t="str">
        <f>Administration!C21</f>
        <v>Hiring</v>
      </c>
      <c r="V7" s="460"/>
      <c r="W7" s="141" t="str">
        <f>Administration!C22</f>
        <v>Rent A Vehicle</v>
      </c>
      <c r="X7" s="141">
        <f>IF(M8=Administration!C10,Administration!C23,0)</f>
        <v>0</v>
      </c>
      <c r="Y7" s="141"/>
      <c r="Z7" s="461"/>
      <c r="AA7" s="141"/>
      <c r="AM7" s="142" t="str">
        <f>Administration!G8</f>
        <v>Jeep</v>
      </c>
      <c r="AP7" s="142" t="str">
        <f>Administration!I21</f>
        <v>Hiring</v>
      </c>
    </row>
    <row r="8" spans="1:60" s="142" customFormat="1" ht="21.75" customHeight="1" thickBot="1" x14ac:dyDescent="0.4">
      <c r="B8" s="288"/>
      <c r="C8" s="136"/>
      <c r="D8" s="6"/>
      <c r="E8" s="523" t="s">
        <v>374</v>
      </c>
      <c r="F8" s="525"/>
      <c r="G8" s="316" t="s">
        <v>397</v>
      </c>
      <c r="H8" s="937" t="s">
        <v>211</v>
      </c>
      <c r="I8" s="938"/>
      <c r="J8" s="476"/>
      <c r="K8" s="663">
        <v>1.2500000000000001E-2</v>
      </c>
      <c r="L8" s="23" t="str">
        <f>Administration!C11</f>
        <v>Motor Lorry</v>
      </c>
      <c r="M8" s="495" t="str">
        <f>IF(AND(H8=Administration!C14,Working!H11="Chinese"),Administration!C13,IF(AND(H8=Administration!C11,Working!H11="Chinese"),Administration!C16,Working!H8))</f>
        <v>Three Wheeler</v>
      </c>
      <c r="N8" s="361">
        <f>IF(AND(H12="hybrid",H14="No",Rates!D75="Yes",B12="individual"),Rates!F75,0)</f>
        <v>0</v>
      </c>
      <c r="O8" s="228">
        <f>IF(H9="",0,1)</f>
        <v>1</v>
      </c>
      <c r="P8" s="228"/>
      <c r="Q8" s="228"/>
      <c r="R8" s="228"/>
      <c r="S8" s="228"/>
      <c r="T8" s="228"/>
      <c r="U8" s="462"/>
      <c r="V8" s="462"/>
      <c r="W8" s="142">
        <f>IF(O11=1,U11,U8)</f>
        <v>0</v>
      </c>
      <c r="Z8" s="229"/>
      <c r="AM8" s="142" t="str">
        <f>Administration!G9</f>
        <v>Dual Purpose</v>
      </c>
      <c r="AP8" s="142" t="str">
        <f>Administration!I22</f>
        <v>Rent A Vehicle</v>
      </c>
      <c r="AU8" s="142">
        <v>1970</v>
      </c>
    </row>
    <row r="9" spans="1:60" s="142" customFormat="1" ht="16.5" customHeight="1" thickBot="1" x14ac:dyDescent="0.35">
      <c r="B9" s="288"/>
      <c r="C9" s="136"/>
      <c r="D9" s="6"/>
      <c r="E9" s="523" t="s">
        <v>34</v>
      </c>
      <c r="F9" s="525"/>
      <c r="G9" s="316" t="s">
        <v>397</v>
      </c>
      <c r="H9" s="900" t="s">
        <v>40</v>
      </c>
      <c r="I9" s="901"/>
      <c r="J9" s="477"/>
      <c r="K9" s="939" t="str">
        <f>IF(OR(T2=3,W2=0),"ERROR",IF(O8=0,"&lt;= Select Usage of Vehicle",IF(Z2=0,"NOT ALLOWED","")))</f>
        <v/>
      </c>
      <c r="L9" s="939"/>
      <c r="M9" s="940"/>
      <c r="N9" s="361"/>
      <c r="O9" s="228"/>
      <c r="P9" s="228"/>
      <c r="Q9" s="228"/>
      <c r="R9" s="228"/>
      <c r="S9" s="228"/>
      <c r="T9" s="228"/>
      <c r="U9" s="462"/>
      <c r="V9" s="462"/>
      <c r="Z9" s="229"/>
      <c r="AM9" s="142" t="str">
        <f>Administration!G10</f>
        <v>Motor Coach</v>
      </c>
      <c r="AP9" s="142" t="str">
        <f>Administration!I23</f>
        <v xml:space="preserve">SLTB Route </v>
      </c>
      <c r="AU9" s="142">
        <f t="shared" ref="AU9:AU14" si="0">AU8+1</f>
        <v>1971</v>
      </c>
    </row>
    <row r="10" spans="1:60" s="142" customFormat="1" ht="18" thickBot="1" x14ac:dyDescent="0.35">
      <c r="B10" s="288"/>
      <c r="C10" s="136"/>
      <c r="D10" s="6"/>
      <c r="E10" s="908" t="s">
        <v>107</v>
      </c>
      <c r="F10" s="908"/>
      <c r="G10" s="316" t="s">
        <v>398</v>
      </c>
      <c r="H10" s="904" t="str">
        <f>Quote!P8</f>
        <v>to be advised</v>
      </c>
      <c r="I10" s="905"/>
      <c r="J10" s="477"/>
      <c r="K10" s="302" t="s">
        <v>378</v>
      </c>
      <c r="L10" s="931" t="str">
        <f>Quote!P11</f>
        <v>TO BE ADVISED</v>
      </c>
      <c r="M10" s="932"/>
      <c r="N10" s="285"/>
      <c r="O10" s="228"/>
      <c r="P10" s="228"/>
      <c r="Q10" s="228"/>
      <c r="R10" s="228"/>
      <c r="S10" s="228"/>
      <c r="T10" s="228"/>
      <c r="U10" s="463"/>
      <c r="V10" s="463"/>
      <c r="Z10" s="229"/>
      <c r="AM10" s="142" t="str">
        <f>Administration!G11</f>
        <v>Motor Lorry</v>
      </c>
      <c r="AP10" s="142" t="str">
        <f>Administration!I24</f>
        <v/>
      </c>
      <c r="AU10" s="142">
        <f t="shared" si="0"/>
        <v>1972</v>
      </c>
    </row>
    <row r="11" spans="1:60" s="142" customFormat="1" ht="20.25" customHeight="1" thickBot="1" x14ac:dyDescent="0.35">
      <c r="B11" s="288"/>
      <c r="C11" s="136"/>
      <c r="D11" s="6"/>
      <c r="E11" s="526" t="s">
        <v>375</v>
      </c>
      <c r="F11" s="527"/>
      <c r="G11" s="316" t="s">
        <v>397</v>
      </c>
      <c r="H11" s="951" t="str">
        <f>Quote!P9</f>
        <v>INDIA</v>
      </c>
      <c r="I11" s="952"/>
      <c r="J11" s="926" t="s">
        <v>449</v>
      </c>
      <c r="K11" s="927"/>
      <c r="L11" s="928"/>
      <c r="M11" s="493" t="str">
        <f>IF(J11="","&lt;= Enter Field","")</f>
        <v/>
      </c>
      <c r="N11" s="360"/>
      <c r="O11" s="228">
        <f>IF(OR(L10="",L6="",H11="",H12="",H13="",H14="",K14="",L13="",J11="",K14=0,AND(O6=0,N16=0)),0,1)</f>
        <v>1</v>
      </c>
      <c r="P11" s="228"/>
      <c r="Q11" s="228"/>
      <c r="R11" s="228"/>
      <c r="S11" s="228"/>
      <c r="T11" s="228"/>
      <c r="U11" s="390"/>
      <c r="V11" s="390"/>
      <c r="Z11" s="229"/>
      <c r="AM11" s="142" t="str">
        <f>Administration!G12</f>
        <v>Three Wheeler</v>
      </c>
      <c r="AU11" s="142">
        <f t="shared" si="0"/>
        <v>1973</v>
      </c>
    </row>
    <row r="12" spans="1:60" s="142" customFormat="1" ht="18" thickBot="1" x14ac:dyDescent="0.35">
      <c r="B12" s="288"/>
      <c r="C12" s="136" t="str">
        <f>IF(H12="Petrol (non hybrid)","Petrol",IF(H12="Diesel (non hybrid)","Diesel",IF(H12="Hybrid","Hybrid","Electric")))</f>
        <v>Petrol</v>
      </c>
      <c r="D12" s="6"/>
      <c r="E12" s="526" t="s">
        <v>355</v>
      </c>
      <c r="F12" s="527"/>
      <c r="G12" s="316" t="s">
        <v>397</v>
      </c>
      <c r="H12" s="955" t="s">
        <v>450</v>
      </c>
      <c r="I12" s="956"/>
      <c r="J12" s="914" t="str">
        <f>IF(H8="Motor Cycle","Important --&gt;","")</f>
        <v/>
      </c>
      <c r="K12" s="915"/>
      <c r="L12" s="915"/>
      <c r="M12" s="664" t="str">
        <f>Quote!X10</f>
        <v>Below 250cc</v>
      </c>
      <c r="N12" s="361"/>
      <c r="O12" s="228"/>
      <c r="P12" s="228"/>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0"/>
      <c r="V12" s="230"/>
      <c r="Z12" s="229"/>
      <c r="AM12" s="142" t="str">
        <f>Administration!G14</f>
        <v>Motor Cycle</v>
      </c>
      <c r="AU12" s="142">
        <f>AU11+1</f>
        <v>1974</v>
      </c>
    </row>
    <row r="13" spans="1:60" s="142" customFormat="1" ht="18" thickBot="1" x14ac:dyDescent="0.35">
      <c r="B13" s="288"/>
      <c r="C13" s="136"/>
      <c r="D13" s="6"/>
      <c r="E13" s="523" t="s">
        <v>279</v>
      </c>
      <c r="F13" s="105"/>
      <c r="G13" s="316" t="s">
        <v>397</v>
      </c>
      <c r="H13" s="699">
        <f>Quote!P13</f>
        <v>2021</v>
      </c>
      <c r="I13" s="897" t="str">
        <f>IF(H13="","     Enter Year of Make",IF(Z15=0,CONCATENATE("     Vehicles Above ", Administration!F29," Yrs Not Covered"),""))</f>
        <v/>
      </c>
      <c r="J13" s="886"/>
      <c r="K13" s="886"/>
      <c r="L13" s="643">
        <v>4</v>
      </c>
      <c r="M13" s="435" t="str">
        <f>IF(OR(L13="",L13=0),"Enter No. of Seats",IF(L13&gt;Q12,CONCATENATE("Max.",Q12," Seats Allowed"),"No.of Seats"))</f>
        <v>No.of Seats</v>
      </c>
      <c r="N13" s="361"/>
      <c r="O13" s="228"/>
      <c r="P13" s="228"/>
      <c r="U13" s="230"/>
      <c r="V13" s="230"/>
      <c r="Z13" s="229"/>
      <c r="AM13" s="142" t="str">
        <f>Administration!G15</f>
        <v>Tractor</v>
      </c>
      <c r="AU13" s="142">
        <f t="shared" si="0"/>
        <v>1975</v>
      </c>
    </row>
    <row r="14" spans="1:60" s="142" customFormat="1" ht="18" thickBot="1" x14ac:dyDescent="0.35">
      <c r="B14" s="288"/>
      <c r="C14" s="136"/>
      <c r="D14" s="6"/>
      <c r="E14" s="523" t="s">
        <v>372</v>
      </c>
      <c r="F14" s="527"/>
      <c r="G14" s="316" t="s">
        <v>397</v>
      </c>
      <c r="H14" s="665" t="str">
        <f>IF(Quote!C13="Not Applicable","No","Yes")</f>
        <v>Yes</v>
      </c>
      <c r="I14" s="929" t="str">
        <f>IF(H14="Yes","NAME OF CO.","")</f>
        <v>NAME OF CO.</v>
      </c>
      <c r="J14" s="930"/>
      <c r="K14" s="953" t="str">
        <f>Quote!C13</f>
        <v>ORIENT FINANCE</v>
      </c>
      <c r="L14" s="953"/>
      <c r="M14" s="954"/>
      <c r="N14" s="361"/>
      <c r="O14" s="228"/>
      <c r="P14" s="228"/>
      <c r="T14" s="391"/>
      <c r="X14" s="231" t="s">
        <v>221</v>
      </c>
      <c r="Z14" s="229"/>
      <c r="AM14" s="142" t="str">
        <f>Administration!G13</f>
        <v>Motor Cycle (Chinese)</v>
      </c>
      <c r="AU14" s="142">
        <f t="shared" si="0"/>
        <v>1976</v>
      </c>
    </row>
    <row r="15" spans="1:60" s="142" customFormat="1" ht="23.25" customHeight="1" thickBot="1" x14ac:dyDescent="0.4">
      <c r="B15" s="288"/>
      <c r="C15" s="136"/>
      <c r="D15" s="6"/>
      <c r="E15" s="913" t="str">
        <f>IF(H15&gt;Rates!B27,"SUM COVERED - Above Retention","SUM COVERED"                                    )</f>
        <v>SUM COVERED</v>
      </c>
      <c r="F15" s="913"/>
      <c r="G15" s="316" t="s">
        <v>397</v>
      </c>
      <c r="H15" s="902">
        <f>Quote!Q16</f>
        <v>700000</v>
      </c>
      <c r="I15" s="903"/>
      <c r="J15" s="666"/>
      <c r="K15" s="522" t="str">
        <f>IF(AND(Rates!D63="Yes",H11="Chinese"),"N.B.- Chinese Vehicle",IF(AND(H11="Chinese",H8&lt;&gt;Administration!C14),"Chinese Vehicles NOT covered",IF(Q15=0,"EXCEED AUTHORIZED LIMIT","")))</f>
        <v/>
      </c>
      <c r="L15" s="431"/>
      <c r="M15" s="702" t="str">
        <f>IF(Quote!B13=1,Quote!T13,"")</f>
        <v/>
      </c>
      <c r="N15" s="298"/>
      <c r="O15" s="299">
        <f>IF(T47=0,Rates!B25,Rates!B24)</f>
        <v>28000000</v>
      </c>
      <c r="P15" s="299"/>
      <c r="Q15" s="142">
        <f>IF(H15&gt;O15,0,1)</f>
        <v>1</v>
      </c>
      <c r="R15" s="142">
        <f>IF(AND(H15&gt;0,O11&gt;0,O8=1),1,0)</f>
        <v>1</v>
      </c>
      <c r="T15" s="391"/>
      <c r="X15" s="231">
        <f ca="1">YEAR(F69)</f>
        <v>2024</v>
      </c>
      <c r="Y15" s="142">
        <f ca="1">X15-H13</f>
        <v>3</v>
      </c>
      <c r="Z15" s="300">
        <f>IF(Rates!D52="Yes",1,IF(Y15&gt;Administration!F29,0,1))</f>
        <v>1</v>
      </c>
      <c r="AM15" s="142" t="str">
        <f>Administration!G16</f>
        <v>Motor Lorry (Chinese)</v>
      </c>
      <c r="AU15" s="142">
        <f t="shared" ref="AU15:AU36" si="1">AU14+1</f>
        <v>1977</v>
      </c>
    </row>
    <row r="16" spans="1:60" s="142" customFormat="1" ht="16.5" customHeight="1" thickTop="1" thickBot="1" x14ac:dyDescent="0.3">
      <c r="B16" s="288"/>
      <c r="C16" s="136"/>
      <c r="D16" s="432"/>
      <c r="E16" s="906" t="str">
        <f ca="1">IF(Working!$C$69=0,"This Quotation system is not valid anymore",IF(C66-F69&lt;14,CONCATENATE("This quotation shall expire within ",C66-F69," days"),IF(AND(Rates!D79="No",O16=1,H14="No",(O57+Q57=1)),"Should Obtain 3 Tier Quotation","")))</f>
        <v/>
      </c>
      <c r="F16" s="906"/>
      <c r="G16" s="906"/>
      <c r="H16" s="906"/>
      <c r="I16" s="909" t="str">
        <f>IF(N16=0,"Please Get 3 Tier Quotation",IF(H8="","Enter Vehicle Type",IF(H9="","Enter Vehicle Usage",IF(H11="","Enter Vehicle Country of Make",IF(H12="","Enter Fuel Type",IF(H13="","Enter Year of Make",IF(H14="","Enter Lease Status",IF(L6="","Enter Proposer 2nd Name",""))))))))</f>
        <v/>
      </c>
      <c r="J16" s="909"/>
      <c r="K16" s="909"/>
      <c r="L16" s="909"/>
      <c r="M16" s="910"/>
      <c r="N16" s="234">
        <f>IF(AND(O6=0,O16=1,H14="No"),0,1)</f>
        <v>1</v>
      </c>
      <c r="O16" s="228">
        <f>IF(H11="Chinese",0,1)</f>
        <v>1</v>
      </c>
      <c r="P16" s="228"/>
      <c r="R16" s="230"/>
      <c r="S16" s="230"/>
      <c r="T16" s="391"/>
      <c r="Z16" s="229"/>
      <c r="AA16" s="139"/>
      <c r="AB16" s="139"/>
      <c r="AC16" s="139"/>
      <c r="AD16" s="139"/>
      <c r="AM16" s="142" t="str">
        <f>Administration!G17</f>
        <v>Others</v>
      </c>
      <c r="AU16" s="142">
        <f t="shared" si="1"/>
        <v>1978</v>
      </c>
    </row>
    <row r="17" spans="2:50" s="142" customFormat="1" ht="15" customHeight="1" thickTop="1" thickBot="1" x14ac:dyDescent="0.3">
      <c r="B17" s="288"/>
      <c r="C17" s="136"/>
      <c r="D17" s="6"/>
      <c r="E17" s="907"/>
      <c r="F17" s="907"/>
      <c r="G17" s="907"/>
      <c r="H17" s="907"/>
      <c r="I17" s="911"/>
      <c r="J17" s="911"/>
      <c r="K17" s="911"/>
      <c r="L17" s="911"/>
      <c r="M17" s="912"/>
      <c r="N17" s="898"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881"/>
      <c r="P17" s="228"/>
      <c r="R17" s="230"/>
      <c r="S17" s="230"/>
      <c r="T17" s="391"/>
      <c r="Z17" s="229"/>
      <c r="AM17" s="142">
        <f>Administration!G19</f>
        <v>0</v>
      </c>
      <c r="AU17" s="142">
        <f t="shared" si="1"/>
        <v>1979</v>
      </c>
    </row>
    <row r="18" spans="2:50" s="142" customFormat="1" ht="15" customHeight="1" thickBot="1" x14ac:dyDescent="0.3">
      <c r="B18" s="288"/>
      <c r="C18" s="136"/>
      <c r="D18" s="6"/>
      <c r="E18" s="444" t="s">
        <v>265</v>
      </c>
      <c r="F18" s="9"/>
      <c r="G18" s="9"/>
      <c r="H18" s="494"/>
      <c r="I18" s="562">
        <f>IF(K14=F112,1000,0)</f>
        <v>0</v>
      </c>
      <c r="J18" s="494"/>
      <c r="K18" s="9"/>
      <c r="L18" s="9"/>
      <c r="M18" s="193"/>
      <c r="N18" s="899"/>
      <c r="O18" s="883"/>
      <c r="P18" s="228"/>
      <c r="R18" s="230"/>
      <c r="S18" s="230"/>
      <c r="T18" s="391"/>
      <c r="Z18" s="229"/>
      <c r="AU18" s="142">
        <f t="shared" si="1"/>
        <v>1980</v>
      </c>
    </row>
    <row r="19" spans="2:50" s="142" customFormat="1" ht="15.6" thickBot="1" x14ac:dyDescent="0.3">
      <c r="B19" s="288"/>
      <c r="C19" s="136"/>
      <c r="D19" s="6"/>
      <c r="E19" s="338" t="s">
        <v>376</v>
      </c>
      <c r="F19" s="178"/>
      <c r="G19" s="178"/>
      <c r="H19" s="303"/>
      <c r="I19" s="187"/>
      <c r="J19" s="187"/>
      <c r="K19" s="9"/>
      <c r="L19" s="497">
        <v>0</v>
      </c>
      <c r="M19" s="194">
        <f ca="1">IF(AND($C$2="Yes",L19=1),N19*C69,(H15*N7%*R15*C69))*N3</f>
        <v>12250.000000000002</v>
      </c>
      <c r="N19" s="235">
        <v>0</v>
      </c>
      <c r="O19" s="228"/>
      <c r="P19" s="228"/>
      <c r="Q19" s="464">
        <v>0.01</v>
      </c>
      <c r="R19" s="230"/>
      <c r="S19" s="585"/>
      <c r="T19" s="618"/>
      <c r="U19" s="585"/>
      <c r="V19" s="585"/>
      <c r="W19" s="558"/>
      <c r="X19" s="558"/>
      <c r="Y19" s="558"/>
      <c r="Z19" s="619"/>
      <c r="AA19" s="558"/>
      <c r="AU19" s="142">
        <f t="shared" si="1"/>
        <v>1981</v>
      </c>
    </row>
    <row r="20" spans="2:50" s="142" customFormat="1" ht="15.9" customHeight="1" thickBot="1" x14ac:dyDescent="0.3">
      <c r="B20" s="288"/>
      <c r="C20" s="136"/>
      <c r="D20" s="320" t="s">
        <v>282</v>
      </c>
      <c r="E20" s="341" t="s">
        <v>9</v>
      </c>
      <c r="F20" s="266" t="s">
        <v>165</v>
      </c>
      <c r="G20" s="266"/>
      <c r="H20" s="557"/>
      <c r="I20" s="187"/>
      <c r="J20" s="187"/>
      <c r="K20" s="9"/>
      <c r="L20" s="497">
        <v>0</v>
      </c>
      <c r="M20" s="195">
        <f ca="1">IF(AND($C$2="Yes",L20=1),N20,(M19*H20%))</f>
        <v>0</v>
      </c>
      <c r="N20" s="235">
        <v>0</v>
      </c>
      <c r="O20" s="228"/>
      <c r="P20" s="228"/>
      <c r="Q20" s="464"/>
      <c r="R20" s="230"/>
      <c r="S20" s="585"/>
      <c r="T20" s="618"/>
      <c r="U20" s="585"/>
      <c r="V20" s="585"/>
      <c r="W20" s="558"/>
      <c r="X20" s="558"/>
      <c r="Y20" s="558"/>
      <c r="Z20" s="619"/>
      <c r="AA20" s="558"/>
      <c r="AM20" s="218"/>
      <c r="AU20" s="142">
        <f t="shared" si="1"/>
        <v>1982</v>
      </c>
    </row>
    <row r="21" spans="2:50" s="142" customFormat="1" ht="15.9" customHeight="1" thickBot="1" x14ac:dyDescent="0.35">
      <c r="B21" s="667" t="str">
        <f>IF(C21=0,"No",IF(C21=1,"Yes","Free"))</f>
        <v>Free</v>
      </c>
      <c r="C21" s="423">
        <f>IF(H14="Yes",2,0)</f>
        <v>2</v>
      </c>
      <c r="D21" s="320" t="s">
        <v>282</v>
      </c>
      <c r="E21" s="341" t="s">
        <v>9</v>
      </c>
      <c r="F21" s="266" t="s">
        <v>11</v>
      </c>
      <c r="G21" s="266"/>
      <c r="H21" s="199" t="str">
        <f>IF(B21="Free","Free",IF(B21="Yes","Charged",""))</f>
        <v>Free</v>
      </c>
      <c r="I21" s="187"/>
      <c r="J21" s="187"/>
      <c r="K21" s="9"/>
      <c r="L21" s="202"/>
      <c r="M21" s="188">
        <f ca="1">M19*Rates!K13%*Q21</f>
        <v>0</v>
      </c>
      <c r="N21" s="235"/>
      <c r="Q21" s="142">
        <f>IF(B21="Yes",1,0)</f>
        <v>0</v>
      </c>
      <c r="R21" s="392"/>
      <c r="S21" s="620"/>
      <c r="T21" s="585"/>
      <c r="U21" s="585"/>
      <c r="V21" s="585"/>
      <c r="W21" s="589"/>
      <c r="X21" s="589"/>
      <c r="Y21" s="589"/>
      <c r="Z21" s="589"/>
      <c r="AA21" s="589"/>
      <c r="AM21" s="218"/>
      <c r="AU21" s="142">
        <f t="shared" si="1"/>
        <v>1983</v>
      </c>
    </row>
    <row r="22" spans="2:50" s="142" customFormat="1" ht="15.9" customHeight="1" thickBot="1" x14ac:dyDescent="0.3">
      <c r="B22" s="5"/>
      <c r="C22" s="137"/>
      <c r="D22" s="320" t="s">
        <v>282</v>
      </c>
      <c r="E22" s="341" t="s">
        <v>9</v>
      </c>
      <c r="F22" s="266" t="s">
        <v>2</v>
      </c>
      <c r="G22" s="266"/>
      <c r="H22" s="602">
        <v>0</v>
      </c>
      <c r="I22" s="421">
        <f>IF(AND($C$2="Yes",L22=1),K22,H22)</f>
        <v>0</v>
      </c>
      <c r="J22" s="439"/>
      <c r="K22" s="668">
        <v>10000</v>
      </c>
      <c r="L22" s="497">
        <v>0</v>
      </c>
      <c r="M22" s="196">
        <f>IF(AND($C$2="Yes",L22=1),N22,-IF(I22=2000,MIN(Rates!K38/100*M19,Rates!J38),IF(I22=5000,MIN(Rates!J39,Rates!K39/100*M19),IF(I22=10000,MIN(Rates!K40/100*M19,Rates!J40)))))</f>
        <v>0</v>
      </c>
      <c r="N22" s="235">
        <v>0</v>
      </c>
      <c r="O22" s="232">
        <f>IF(I22&gt;0,1,0)</f>
        <v>0</v>
      </c>
      <c r="P22" s="232"/>
      <c r="Q22" s="465"/>
      <c r="R22" s="230"/>
      <c r="S22" s="585"/>
      <c r="T22" s="585"/>
      <c r="U22" s="585"/>
      <c r="V22" s="585"/>
      <c r="W22" s="621"/>
      <c r="X22" s="589"/>
      <c r="Y22" s="589"/>
      <c r="Z22" s="622">
        <f ca="1">M35+M36</f>
        <v>2800.1050000000014</v>
      </c>
      <c r="AA22" s="589"/>
      <c r="AM22" s="218"/>
      <c r="AU22" s="142">
        <f t="shared" si="1"/>
        <v>1984</v>
      </c>
    </row>
    <row r="23" spans="2:50" s="142" customFormat="1" ht="15.9" customHeight="1" thickBot="1" x14ac:dyDescent="0.3">
      <c r="B23" s="5"/>
      <c r="C23" s="137"/>
      <c r="D23" s="320" t="s">
        <v>282</v>
      </c>
      <c r="E23" s="341" t="s">
        <v>9</v>
      </c>
      <c r="F23" s="266" t="s">
        <v>3</v>
      </c>
      <c r="G23" s="266"/>
      <c r="H23" s="556">
        <v>77.141999999999996</v>
      </c>
      <c r="I23" s="920" t="str">
        <f ca="1">IF(AND(U23=0,M23&lt;0),"   (Special Rebate Allowed)",IF(U23=0,"   (Rebate Not Allowed)",IF(AND(H12="Hybrid",M23&lt;0),"N.B:- Hybrid Vehicle",IF(AND(H11="Korean",M23&lt;0),"N.B:- Korean Vehicle",""))))</f>
        <v/>
      </c>
      <c r="J23" s="921"/>
      <c r="K23" s="921"/>
      <c r="L23" s="921"/>
      <c r="M23" s="192">
        <f ca="1">IF(AND($C$2="Yes",O23=1),N23,IF(AND(U23=0,C24=1),-((M19+M21+M22)*I24%),-((M19+M21+M22)*H23%*U23)))</f>
        <v>-9449.8950000000004</v>
      </c>
      <c r="N23" s="235">
        <v>0</v>
      </c>
      <c r="O23" s="669">
        <v>0</v>
      </c>
      <c r="P23" s="490">
        <f ca="1">IF(M23&lt;0,1,0)</f>
        <v>1</v>
      </c>
      <c r="Q23" s="516">
        <f>Rates!C29</f>
        <v>75</v>
      </c>
      <c r="R23" s="517">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-700.02625000000035</v>
      </c>
      <c r="AA23" s="601"/>
      <c r="AB23" s="518"/>
      <c r="AC23" s="518"/>
      <c r="AD23" s="518"/>
      <c r="AE23" s="518"/>
      <c r="AM23" s="218"/>
      <c r="AU23" s="142">
        <f t="shared" si="1"/>
        <v>1985</v>
      </c>
    </row>
    <row r="24" spans="2:50" s="142" customFormat="1" ht="16.2" thickBot="1" x14ac:dyDescent="0.35">
      <c r="B24" s="5"/>
      <c r="C24" s="137">
        <f>IF(H24=D24,1,0)</f>
        <v>0</v>
      </c>
      <c r="D24" s="429" t="s">
        <v>402</v>
      </c>
      <c r="E24" s="179"/>
      <c r="F24" s="294"/>
      <c r="G24" s="428" t="str">
        <f>IF(U23=0,"Enter Password for Special Rebate =&gt;","")</f>
        <v/>
      </c>
      <c r="H24" s="521"/>
      <c r="I24" s="430">
        <v>15</v>
      </c>
      <c r="J24" s="430"/>
      <c r="K24" s="329"/>
      <c r="L24" s="329" t="s">
        <v>283</v>
      </c>
      <c r="M24" s="436">
        <f ca="1">SUM(M19:M23)</f>
        <v>2800.1050000000014</v>
      </c>
      <c r="N24" s="236"/>
      <c r="O24" s="232">
        <f ca="1">O23+M24</f>
        <v>2800.1050000000014</v>
      </c>
      <c r="P24" s="232"/>
      <c r="Q24" s="533"/>
      <c r="R24" s="533"/>
      <c r="S24" s="624"/>
      <c r="T24" s="624"/>
      <c r="U24" s="624"/>
      <c r="V24" s="624"/>
      <c r="W24" s="589"/>
      <c r="X24" s="589"/>
      <c r="Y24" s="589"/>
      <c r="Z24" s="625" t="s">
        <v>157</v>
      </c>
      <c r="AA24" s="589"/>
      <c r="AD24" s="378" t="s">
        <v>156</v>
      </c>
      <c r="AJ24" s="142">
        <v>0</v>
      </c>
      <c r="AM24" s="218"/>
      <c r="AU24" s="142">
        <f t="shared" si="1"/>
        <v>1986</v>
      </c>
    </row>
    <row r="25" spans="2:50" s="142" customFormat="1" ht="18" customHeight="1" thickBot="1" x14ac:dyDescent="0.35">
      <c r="B25" s="5"/>
      <c r="C25" s="137"/>
      <c r="D25" s="320" t="s">
        <v>282</v>
      </c>
      <c r="E25" s="341" t="s">
        <v>9</v>
      </c>
      <c r="F25" s="266" t="s">
        <v>324</v>
      </c>
      <c r="G25" s="76" t="s">
        <v>25</v>
      </c>
      <c r="H25" s="598">
        <f>Quote!R34</f>
        <v>0</v>
      </c>
      <c r="I25" s="916" t="s">
        <v>445</v>
      </c>
      <c r="J25" s="917"/>
      <c r="K25" s="918"/>
      <c r="L25" s="327">
        <f>IF(H15&gt;0,AD25,0)</f>
        <v>1</v>
      </c>
      <c r="M25" s="197">
        <f>(H25/25000)*110</f>
        <v>0</v>
      </c>
      <c r="N25" s="235">
        <v>0</v>
      </c>
      <c r="O25" s="233">
        <v>0</v>
      </c>
      <c r="P25" s="228">
        <f>IF(H25&gt;0,1,0)</f>
        <v>0</v>
      </c>
      <c r="Q25" s="228">
        <f>IF(L27&gt;0,1,0)</f>
        <v>1</v>
      </c>
      <c r="R25" s="233">
        <f>P25+Q25</f>
        <v>1</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70">
        <f>IF(AND(AA25=1,R25=2),MAX(H25,Rates!C40),IF(AND(AA25=1,R25&lt;2),Rates!C40,IF(AND(AA25=0,R25=2),H25,0)))</f>
        <v>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8"/>
      <c r="AU25" s="142">
        <f t="shared" si="1"/>
        <v>1987</v>
      </c>
    </row>
    <row r="26" spans="2:50" s="142" customFormat="1" ht="1.5" customHeight="1" thickBot="1" x14ac:dyDescent="0.3">
      <c r="B26" s="5"/>
      <c r="C26" s="137"/>
      <c r="D26" s="314"/>
      <c r="E26" s="496">
        <f>IF(I25="Full Seating Capacity",1,0)</f>
        <v>0</v>
      </c>
      <c r="F26" s="275" t="str">
        <f>IF(H25&gt;0,"Full Seating Capacity","")</f>
        <v/>
      </c>
      <c r="G26" s="496">
        <f>IF(OR(I25="Participant Only",I25="Participant &amp; Driver Only"),1,0)</f>
        <v>0</v>
      </c>
      <c r="H26" s="266" t="str">
        <f>IF(H25&gt;0,"for Participant","")</f>
        <v/>
      </c>
      <c r="I26" s="515">
        <f>IF(H15&gt;0,Z25,0)</f>
        <v>0</v>
      </c>
      <c r="J26" s="515"/>
      <c r="K26" s="309" t="str">
        <f>IF(H25&gt;0,"for Driver","")</f>
        <v/>
      </c>
      <c r="L26" s="496">
        <f>IF(OR(I25="Driver Only",I25="Participant &amp; Driver Only"),1,0)</f>
        <v>1</v>
      </c>
      <c r="M26" s="308"/>
      <c r="N26" s="237"/>
      <c r="O26" s="228" t="str">
        <f>IF(AND(E26=0,L25&gt;0),CONCATENATE(MIN(L25,L13)," Persons"),IF(E26=1,"Full Seating Capacity",IF(AND(G26=1,L26=1),"Participant &amp; Driver",IF(G26=1,"Participant only",IF(L26=1,"Driver only","")))))</f>
        <v>1 Persons</v>
      </c>
      <c r="P26" s="228"/>
      <c r="Q26" s="228"/>
      <c r="R26" s="233"/>
      <c r="S26" s="584"/>
      <c r="T26" s="584"/>
      <c r="U26" s="584"/>
      <c r="V26" s="584"/>
      <c r="W26" s="589"/>
      <c r="X26" s="589"/>
      <c r="Y26" s="589"/>
      <c r="Z26" s="670"/>
      <c r="AA26" s="589"/>
      <c r="AJ26" s="142">
        <f>AJ25+25000</f>
        <v>50000</v>
      </c>
      <c r="AM26" s="218"/>
      <c r="AU26" s="142">
        <f t="shared" si="1"/>
        <v>1988</v>
      </c>
      <c r="AX26" s="671"/>
    </row>
    <row r="27" spans="2:50" s="142" customFormat="1" ht="26.25" hidden="1" customHeight="1" thickBot="1" x14ac:dyDescent="0.3">
      <c r="B27" s="5"/>
      <c r="C27" s="137"/>
      <c r="D27" s="314"/>
      <c r="E27" s="294"/>
      <c r="F27" s="919" t="str">
        <f>IF(OR($R$25&gt;1,AA25=1),"If PAB for Terrorism is Required for paid Driver or workers, state their number","")</f>
        <v/>
      </c>
      <c r="G27" s="919"/>
      <c r="H27" s="919"/>
      <c r="I27" s="311">
        <v>0</v>
      </c>
      <c r="J27" s="366"/>
      <c r="K27" s="200"/>
      <c r="L27" s="311">
        <f>IF(E26=1,L13,IF(AND(G26=1,L26=1),2,IF(OR(G26=1,L26=1),1,0)))</f>
        <v>1</v>
      </c>
      <c r="M27" s="340"/>
      <c r="O27" s="228"/>
      <c r="P27" s="228"/>
      <c r="Q27" s="221"/>
      <c r="R27" s="379"/>
      <c r="S27" s="626"/>
      <c r="T27" s="626"/>
      <c r="U27" s="626"/>
      <c r="V27" s="626"/>
      <c r="W27" s="627"/>
      <c r="X27" s="627"/>
      <c r="Y27" s="589"/>
      <c r="Z27" s="670"/>
      <c r="AA27" s="589"/>
      <c r="AJ27" s="142">
        <f t="shared" ref="AJ27:AJ43" si="2">AJ26+25000</f>
        <v>75000</v>
      </c>
      <c r="AM27" s="218"/>
      <c r="AU27" s="142">
        <f t="shared" si="1"/>
        <v>1989</v>
      </c>
      <c r="AX27" s="671"/>
    </row>
    <row r="28" spans="2:50" s="142" customFormat="1" ht="20.25" hidden="1" customHeight="1" thickBot="1" x14ac:dyDescent="0.3">
      <c r="B28" s="5"/>
      <c r="C28" s="137"/>
      <c r="D28" s="314"/>
      <c r="E28" s="201"/>
      <c r="F28" s="919"/>
      <c r="G28" s="919"/>
      <c r="H28" s="919"/>
      <c r="I28" s="872" t="str">
        <f>IF(AND(H25=0,L25=0),"",IF(I27&gt;L25,"Invalid Entry",""))</f>
        <v/>
      </c>
      <c r="J28" s="872"/>
      <c r="K28" s="872"/>
      <c r="L28" s="294"/>
      <c r="M28" s="197"/>
      <c r="N28" s="238"/>
      <c r="O28" s="232"/>
      <c r="P28" s="232"/>
      <c r="Q28" s="379"/>
      <c r="R28" s="233"/>
      <c r="S28" s="584"/>
      <c r="T28" s="584"/>
      <c r="U28" s="584"/>
      <c r="V28" s="584"/>
      <c r="W28" s="589"/>
      <c r="X28" s="589"/>
      <c r="Y28" s="589"/>
      <c r="Z28" s="589">
        <f>IF(I27&gt;L25,L25,I27)</f>
        <v>0</v>
      </c>
      <c r="AA28" s="589"/>
      <c r="AJ28" s="142">
        <f t="shared" si="2"/>
        <v>100000</v>
      </c>
      <c r="AM28" s="218"/>
      <c r="AU28" s="142">
        <f t="shared" si="1"/>
        <v>1990</v>
      </c>
      <c r="AX28" s="671"/>
    </row>
    <row r="29" spans="2:50" s="142" customFormat="1" ht="20.25" customHeight="1" thickBot="1" x14ac:dyDescent="0.35">
      <c r="B29" s="5"/>
      <c r="C29" s="137"/>
      <c r="D29" s="320" t="s">
        <v>282</v>
      </c>
      <c r="E29" s="341" t="s">
        <v>9</v>
      </c>
      <c r="F29" s="77" t="s">
        <v>46</v>
      </c>
      <c r="G29" s="77"/>
      <c r="H29" s="600">
        <f>Quote!R36</f>
        <v>0</v>
      </c>
      <c r="I29" s="315" t="str">
        <f>IF(L13&gt;Q12,CONCATENATE(Q12-1," Passengers"),CONCATENATE(L13-1," passengers"))</f>
        <v>3 passengers</v>
      </c>
      <c r="J29" s="317"/>
      <c r="K29" s="561">
        <f>IF(AND(H8="Three Wheeler",K14=F112,H29&lt;20000),20000,H29)</f>
        <v>0</v>
      </c>
      <c r="L29" s="560"/>
      <c r="M29" s="186">
        <f>IF(AND($C$2="Yes",O29=1),N29,IF(K29=2000,Rates!K27,IF(K29=10000,Rates!M27,IF(K29=20000,Rates!K28,IF(K29=50000,Rates!M28,IF(K29=100000,Rates!K29,IF(K29=200000,Rates!M29,IF(K29=500000,Rates!K30,))))))))*T29*U2*R15*Y2*Z49*Y49*Q65*N3</f>
        <v>0</v>
      </c>
      <c r="N29" s="235">
        <v>0</v>
      </c>
      <c r="O29" s="669">
        <v>0</v>
      </c>
      <c r="P29" s="228">
        <f>IF(K29&gt;0,1,0)</f>
        <v>0</v>
      </c>
      <c r="Q29" s="228">
        <f>IF(I29&gt;0,1,0)</f>
        <v>1</v>
      </c>
      <c r="R29" s="233">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8"/>
      <c r="AU29" s="142">
        <f t="shared" si="1"/>
        <v>1991</v>
      </c>
      <c r="AX29" s="672"/>
    </row>
    <row r="30" spans="2:50" s="142" customFormat="1" ht="21" customHeight="1" thickBot="1" x14ac:dyDescent="0.3">
      <c r="B30" s="5"/>
      <c r="C30" s="344" t="s">
        <v>77</v>
      </c>
      <c r="D30" s="320" t="s">
        <v>282</v>
      </c>
      <c r="E30" s="341" t="s">
        <v>9</v>
      </c>
      <c r="F30" s="498" t="str">
        <f>IF(O31=0,"Goods Cover               (Not Provided)",IF(AND(C30="Yes",H30=0),"Goods Cover    - Enter Goods Value","Goods Cover              Goods Value-&gt;"))</f>
        <v>Goods Cover    - Enter Goods Value</v>
      </c>
      <c r="G30" s="294"/>
      <c r="H30" s="603">
        <v>0</v>
      </c>
      <c r="I30" s="893" t="s">
        <v>38</v>
      </c>
      <c r="J30" s="894"/>
      <c r="K30" s="673" t="s">
        <v>401</v>
      </c>
      <c r="L30" s="497">
        <v>0</v>
      </c>
      <c r="M30" s="188"/>
      <c r="N30" s="235">
        <v>0</v>
      </c>
      <c r="O30" s="228">
        <f>IF(AND(C30="Yes",H30&gt;0),1,0)</f>
        <v>0</v>
      </c>
      <c r="P30" s="228"/>
      <c r="Q30" s="218"/>
      <c r="S30" s="558"/>
      <c r="T30" s="558">
        <f>IF(C30="Yes",Rates!B33,0)</f>
        <v>5000</v>
      </c>
      <c r="U30" s="622">
        <f>IF(AND(O31=1,C30="Yes"),Rates!B31,0)</f>
        <v>1000000</v>
      </c>
      <c r="V30" s="622"/>
      <c r="W30" s="589"/>
      <c r="X30" s="589"/>
      <c r="Y30" s="589"/>
      <c r="Z30" s="589"/>
      <c r="AA30" s="589"/>
      <c r="AJ30" s="142">
        <f t="shared" si="2"/>
        <v>150000</v>
      </c>
      <c r="AM30" s="218"/>
      <c r="AU30" s="142">
        <f t="shared" si="1"/>
        <v>1992</v>
      </c>
    </row>
    <row r="31" spans="2:50" s="142" customFormat="1" ht="0.75" customHeight="1" thickBot="1" x14ac:dyDescent="0.3">
      <c r="B31" s="674">
        <v>1</v>
      </c>
      <c r="C31" s="474">
        <v>1</v>
      </c>
      <c r="D31" s="313"/>
      <c r="E31" s="343" t="str">
        <f>IF(AND(H30&gt;0,O31&gt;0),"Select Nature of Goods","")</f>
        <v/>
      </c>
      <c r="F31" s="294"/>
      <c r="G31" s="204" t="s">
        <v>9</v>
      </c>
      <c r="H31" s="328" t="str">
        <f>IF(AND(H30&gt;0,O31=1),"Non Hazardous","")</f>
        <v/>
      </c>
      <c r="I31" s="310">
        <f>H30*Rates!K53%*T31*O30*O31</f>
        <v>0</v>
      </c>
      <c r="J31" s="675"/>
      <c r="K31" s="675"/>
      <c r="L31" s="675"/>
      <c r="M31" s="191"/>
      <c r="N31" s="239"/>
      <c r="O31" s="142">
        <f>IF(OR(H8=Administration!C9,H8=Administration!C11,H8=Administration!C12,H8=Administration!CY1548),1,IF(Rates!D47="Yes",1,0))</f>
        <v>1</v>
      </c>
      <c r="Q31" s="142">
        <f>B31</f>
        <v>1</v>
      </c>
      <c r="R31" s="142">
        <f>IF(Q31+Q32=3,0,1)</f>
        <v>1</v>
      </c>
      <c r="S31" s="558"/>
      <c r="T31" s="558">
        <f>IF((E32+E33)=0,1,0)</f>
        <v>0</v>
      </c>
      <c r="U31" s="589">
        <f>IF(T31=1,1,0)</f>
        <v>0</v>
      </c>
      <c r="V31" s="589"/>
      <c r="W31" s="589"/>
      <c r="X31" s="589"/>
      <c r="Y31" s="589"/>
      <c r="Z31" s="589"/>
      <c r="AA31" s="589"/>
      <c r="AJ31" s="142">
        <f t="shared" si="2"/>
        <v>175000</v>
      </c>
      <c r="AM31" s="218"/>
      <c r="AU31" s="142">
        <f t="shared" si="1"/>
        <v>1993</v>
      </c>
      <c r="AX31" s="672" t="s">
        <v>390</v>
      </c>
    </row>
    <row r="32" spans="2:50" s="142" customFormat="1" ht="23.25" hidden="1" customHeight="1" thickBot="1" x14ac:dyDescent="0.3">
      <c r="B32" s="5"/>
      <c r="D32" s="313"/>
      <c r="E32" s="497">
        <f>IF(I30="Hazardous",1,0)</f>
        <v>0</v>
      </c>
      <c r="F32" s="294"/>
      <c r="G32" s="204" t="s">
        <v>9</v>
      </c>
      <c r="H32" s="328" t="str">
        <f>IF(AND(H30&gt;0,O31=1),"Hazardous","")</f>
        <v/>
      </c>
      <c r="I32" s="310">
        <f>H30*Rates!K54%*Q32*O30*O31</f>
        <v>0</v>
      </c>
      <c r="J32" s="675"/>
      <c r="K32" s="675"/>
      <c r="L32" s="675"/>
      <c r="M32" s="191"/>
      <c r="N32" s="239"/>
      <c r="Q32" s="142">
        <f>IF(Q33=1,0,E32)</f>
        <v>0</v>
      </c>
      <c r="S32" s="558"/>
      <c r="T32" s="558" t="str">
        <f>IF(AND(E33=1,H30&gt;0,C30="Yes"),"Extra Hazardous",U32)</f>
        <v>-</v>
      </c>
      <c r="U32" s="558" t="str">
        <f>IF(AND(H30&gt;0,E32=1,C30="Yes"),"Hazardous",W32)</f>
        <v>-</v>
      </c>
      <c r="V32" s="558"/>
      <c r="W32" s="558" t="str">
        <f>IF(AND(H30&gt;0,C30="Yes"),"Non Hazardous","-")</f>
        <v>-</v>
      </c>
      <c r="X32" s="558"/>
      <c r="Y32" s="558"/>
      <c r="Z32" s="558"/>
      <c r="AA32" s="558"/>
      <c r="AJ32" s="142">
        <f t="shared" si="2"/>
        <v>200000</v>
      </c>
      <c r="AM32" s="218"/>
      <c r="AU32" s="142">
        <f t="shared" si="1"/>
        <v>1994</v>
      </c>
      <c r="AX32" s="672" t="s">
        <v>383</v>
      </c>
    </row>
    <row r="33" spans="2:50" s="142" customFormat="1" ht="18" hidden="1" customHeight="1" thickTop="1" thickBot="1" x14ac:dyDescent="0.3">
      <c r="B33" s="5"/>
      <c r="D33" s="313"/>
      <c r="E33" s="497">
        <f>IF(I30="Extra Hazardous",1,0)</f>
        <v>1</v>
      </c>
      <c r="F33" s="294"/>
      <c r="G33" s="204" t="s">
        <v>9</v>
      </c>
      <c r="H33" s="328" t="str">
        <f>IF(AND(H30&gt;0,O31=1),"Extra Hazardous","")</f>
        <v/>
      </c>
      <c r="I33" s="310">
        <f>H30*Rates!K55%*E33*O30*O31</f>
        <v>0</v>
      </c>
      <c r="J33" s="675"/>
      <c r="K33" s="675"/>
      <c r="L33" s="675"/>
      <c r="M33" s="191"/>
      <c r="N33" s="880"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881"/>
      <c r="Q33" s="142">
        <f>E33</f>
        <v>1</v>
      </c>
      <c r="S33" s="558"/>
      <c r="T33" s="558"/>
      <c r="U33" s="558"/>
      <c r="V33" s="558"/>
      <c r="W33" s="558"/>
      <c r="X33" s="558"/>
      <c r="Y33" s="558"/>
      <c r="Z33" s="558"/>
      <c r="AA33" s="558"/>
      <c r="AJ33" s="142">
        <f t="shared" si="2"/>
        <v>225000</v>
      </c>
      <c r="AM33" s="218"/>
      <c r="AU33" s="142">
        <f t="shared" si="1"/>
        <v>1995</v>
      </c>
      <c r="AX33" s="672" t="s">
        <v>391</v>
      </c>
    </row>
    <row r="34" spans="2:50" s="142" customFormat="1" ht="18" customHeight="1" thickBot="1" x14ac:dyDescent="0.3">
      <c r="B34" s="5"/>
      <c r="D34" s="313"/>
      <c r="E34" s="497">
        <f>IF(K30="With Fire",1,0)</f>
        <v>1</v>
      </c>
      <c r="F34" s="269" t="str">
        <f>IF(AND(H30&gt;0,O31=1),"Select to include Damage by Fire","")</f>
        <v/>
      </c>
      <c r="G34" s="204" t="s">
        <v>9</v>
      </c>
      <c r="H34" s="328" t="str">
        <f>IF(AND(H30&gt;0,O31=1),"Fire","")</f>
        <v/>
      </c>
      <c r="I34" s="310">
        <f>H30*E34*Rates!K56%*O30*O31</f>
        <v>0</v>
      </c>
      <c r="J34" s="675"/>
      <c r="K34" s="675"/>
      <c r="L34" s="675"/>
      <c r="M34" s="191"/>
      <c r="N34" s="882"/>
      <c r="O34" s="883"/>
      <c r="S34" s="558"/>
      <c r="T34" s="558"/>
      <c r="U34" s="558"/>
      <c r="V34" s="558"/>
      <c r="W34" s="558"/>
      <c r="X34" s="558"/>
      <c r="Y34" s="558"/>
      <c r="Z34" s="558"/>
      <c r="AA34" s="558"/>
      <c r="AJ34" s="142">
        <f t="shared" si="2"/>
        <v>250000</v>
      </c>
      <c r="AM34" s="218"/>
      <c r="AU34" s="535">
        <f t="shared" si="1"/>
        <v>1996</v>
      </c>
    </row>
    <row r="35" spans="2:50" s="142" customFormat="1" ht="16.8" thickTop="1" thickBot="1" x14ac:dyDescent="0.35">
      <c r="B35" s="5"/>
      <c r="C35" s="136"/>
      <c r="D35" s="499"/>
      <c r="E35" s="500"/>
      <c r="F35" s="501"/>
      <c r="G35" s="502"/>
      <c r="H35" s="503">
        <f>IF(H36=0,H37,H36)</f>
        <v>25</v>
      </c>
      <c r="I35" s="504"/>
      <c r="J35" s="504"/>
      <c r="K35" s="505"/>
      <c r="L35" s="505" t="s">
        <v>284</v>
      </c>
      <c r="M35" s="506">
        <f ca="1">M24+M25+M30+M29</f>
        <v>2800.1050000000014</v>
      </c>
      <c r="N35" s="236"/>
      <c r="O35" s="228"/>
      <c r="P35" s="228"/>
      <c r="Q35" s="240"/>
      <c r="AJ35" s="142">
        <f t="shared" si="2"/>
        <v>275000</v>
      </c>
      <c r="AM35" s="218"/>
      <c r="AU35" s="535">
        <f t="shared" si="1"/>
        <v>1997</v>
      </c>
    </row>
    <row r="36" spans="2:50" s="142" customFormat="1" ht="15.9" customHeight="1" thickBot="1" x14ac:dyDescent="0.35">
      <c r="B36" s="5"/>
      <c r="C36" s="137" t="str">
        <f>IF(H38="Upfront NCB","NCB (No Claim Bonus)","No Claim Bonus (NCB)")</f>
        <v>No Claim Bonus (NCB)</v>
      </c>
      <c r="D36" s="320" t="s">
        <v>282</v>
      </c>
      <c r="E36" s="341" t="s">
        <v>9</v>
      </c>
      <c r="F36" s="266" t="s">
        <v>318</v>
      </c>
      <c r="G36" s="373">
        <f>H36+H37</f>
        <v>25</v>
      </c>
      <c r="H36" s="676">
        <f>Quote!T34</f>
        <v>0</v>
      </c>
      <c r="I36" s="897" t="str">
        <f>IF(H36&gt;R36,CONCATENATE("NCB ALLOWED - ",R36),IF(H36&gt;0,"Earned NCB - NOT Upfront NCB",IF(AND(M8=Administration!C19,H9=Administration!C20),"NCB Not Allowed","")))</f>
        <v/>
      </c>
      <c r="J36" s="886"/>
      <c r="K36" s="886"/>
      <c r="L36" s="497">
        <v>0</v>
      </c>
      <c r="M36" s="192">
        <f ca="1">IF(AND($C$2="Yes",L36=1),N36,(-M35/1*MIN(H36%,R36%)*Y2))</f>
        <v>0</v>
      </c>
      <c r="N36" s="677">
        <v>0</v>
      </c>
      <c r="O36" s="228">
        <f ca="1">IF(OR(AND(H36&gt;0%,M36&lt;0),M37&lt;0),1,0)</f>
        <v>1</v>
      </c>
      <c r="P36" s="228"/>
      <c r="Q36" s="487"/>
      <c r="R36" s="241">
        <f>IF(T47=0,35,IF(U57=1,75,65))</f>
        <v>65</v>
      </c>
      <c r="S36" s="241"/>
      <c r="T36" s="230"/>
      <c r="U36" s="230"/>
      <c r="V36" s="230"/>
      <c r="W36" s="141"/>
      <c r="X36" s="141"/>
      <c r="Y36" s="141"/>
      <c r="Z36" s="141"/>
      <c r="AJ36" s="142">
        <f t="shared" si="2"/>
        <v>300000</v>
      </c>
      <c r="AU36" s="535">
        <f t="shared" si="1"/>
        <v>1998</v>
      </c>
      <c r="AX36" s="678"/>
    </row>
    <row r="37" spans="2:50" s="142" customFormat="1" ht="15.9" customHeight="1" thickBot="1" x14ac:dyDescent="0.35">
      <c r="B37" s="5"/>
      <c r="C37" s="137"/>
      <c r="D37" s="320"/>
      <c r="E37" s="507" t="s">
        <v>9</v>
      </c>
      <c r="F37" s="266" t="s">
        <v>319</v>
      </c>
      <c r="G37" s="656">
        <f>IF(H36+H37&gt;35,35-H36,H37)</f>
        <v>25</v>
      </c>
      <c r="H37" s="555">
        <v>25</v>
      </c>
      <c r="I37" s="895" t="str">
        <f>IF(G37&lt;&gt;H37,CONCATENATE(G37,"% NCB Allowed (Max - 35%)"),"")</f>
        <v/>
      </c>
      <c r="J37" s="896"/>
      <c r="K37" s="896"/>
      <c r="L37" s="497">
        <v>0</v>
      </c>
      <c r="M37" s="455">
        <f ca="1">IF(AND($C$2="Yes",L37=1),Q37,(-M35/1*G37%))</f>
        <v>-700.02625000000035</v>
      </c>
      <c r="N37" s="677">
        <v>-121</v>
      </c>
      <c r="O37" s="228"/>
      <c r="P37" s="228"/>
      <c r="Q37" s="487"/>
      <c r="R37" s="241">
        <f>IF(H36+H37&gt;R36,0,1)</f>
        <v>1</v>
      </c>
      <c r="S37" s="241"/>
      <c r="T37" s="230"/>
      <c r="U37" s="230"/>
      <c r="V37" s="230"/>
      <c r="W37" s="141"/>
      <c r="X37" s="141"/>
      <c r="Y37" s="141"/>
      <c r="Z37" s="141"/>
      <c r="AU37" s="535">
        <f t="shared" ref="AU37:AU42" si="3">AU36+1</f>
        <v>1999</v>
      </c>
      <c r="AX37" s="678"/>
    </row>
    <row r="38" spans="2:50" s="142" customFormat="1" ht="15" customHeight="1" thickBot="1" x14ac:dyDescent="0.3">
      <c r="B38" s="5"/>
      <c r="C38" s="136"/>
      <c r="D38" s="508"/>
      <c r="E38" s="509"/>
      <c r="F38" s="501"/>
      <c r="G38" s="510"/>
      <c r="H38" s="511" t="s">
        <v>318</v>
      </c>
      <c r="I38" s="512" t="s">
        <v>396</v>
      </c>
      <c r="J38" s="513"/>
      <c r="K38" s="514"/>
      <c r="L38" s="505" t="s">
        <v>285</v>
      </c>
      <c r="M38" s="506">
        <f ca="1">(M35+M36+M37)*C69</f>
        <v>2100.078750000001</v>
      </c>
      <c r="N38" s="236"/>
      <c r="O38" s="242">
        <f ca="1">M35+M36</f>
        <v>2800.1050000000014</v>
      </c>
      <c r="P38" s="142">
        <f>IF(O44=1,Rates!K4,Rates!K3)</f>
        <v>0.25</v>
      </c>
      <c r="Q38" s="142">
        <f>IF(B40="Yes",1,0)</f>
        <v>1</v>
      </c>
      <c r="R38" s="488"/>
      <c r="S38" s="488"/>
      <c r="T38" s="488"/>
      <c r="U38" s="488"/>
      <c r="V38" s="488"/>
      <c r="W38" s="141"/>
      <c r="X38" s="141"/>
      <c r="Y38" s="141"/>
      <c r="Z38" s="141"/>
      <c r="AA38" s="558"/>
      <c r="AB38" s="558"/>
      <c r="AC38" s="558"/>
      <c r="AD38" s="558"/>
      <c r="AE38" s="558"/>
      <c r="AF38" s="558"/>
      <c r="AG38" s="558"/>
      <c r="AH38" s="558"/>
      <c r="AJ38" s="142">
        <f>AJ36+25000</f>
        <v>325000</v>
      </c>
      <c r="AU38" s="535">
        <f t="shared" si="3"/>
        <v>2000</v>
      </c>
      <c r="AX38" s="678"/>
    </row>
    <row r="39" spans="2:50" s="142" customFormat="1" ht="15" customHeight="1" thickBot="1" x14ac:dyDescent="0.35">
      <c r="B39" s="667" t="str">
        <f>IF(C39=1,"Yes","No")</f>
        <v>Yes</v>
      </c>
      <c r="C39" s="530">
        <v>1</v>
      </c>
      <c r="D39" s="320" t="s">
        <v>282</v>
      </c>
      <c r="E39" s="341" t="s">
        <v>9</v>
      </c>
      <c r="F39" s="266" t="s">
        <v>286</v>
      </c>
      <c r="G39" s="266"/>
      <c r="H39" s="220"/>
      <c r="I39" s="187"/>
      <c r="J39" s="187"/>
      <c r="K39" s="9"/>
      <c r="L39" s="497">
        <v>0</v>
      </c>
      <c r="M39" s="188">
        <f ca="1">IF(AND($C$2="Yes",L39=1),N39,IF(B39="Yes",M19*Rates!K11%,0))</f>
        <v>1225.0000000000002</v>
      </c>
      <c r="N39" s="235">
        <v>0</v>
      </c>
      <c r="O39" s="142">
        <f>IF(B40="Yes",1,0)</f>
        <v>1</v>
      </c>
      <c r="P39" s="142">
        <f>IF(O44=1,Rates!K6,Rates!K5)</f>
        <v>6.25E-2</v>
      </c>
      <c r="Q39" s="142">
        <f>IF(B41="Yes",1,0)</f>
        <v>1</v>
      </c>
      <c r="R39" s="488"/>
      <c r="S39" s="488"/>
      <c r="T39" s="488"/>
      <c r="U39" s="488"/>
      <c r="V39" s="488"/>
      <c r="W39" s="141"/>
      <c r="X39" s="141"/>
      <c r="Y39" s="141"/>
      <c r="Z39" s="141"/>
      <c r="AA39" s="558"/>
      <c r="AB39" s="558"/>
      <c r="AC39" s="558"/>
      <c r="AD39" s="558"/>
      <c r="AE39" s="558"/>
      <c r="AF39" s="558"/>
      <c r="AG39" s="558"/>
      <c r="AH39" s="558"/>
      <c r="AJ39" s="142">
        <f t="shared" si="2"/>
        <v>350000</v>
      </c>
      <c r="AU39" s="535">
        <f t="shared" si="3"/>
        <v>2001</v>
      </c>
      <c r="AX39" s="678"/>
    </row>
    <row r="40" spans="2:50" s="142" customFormat="1" ht="15.9" customHeight="1" thickBot="1" x14ac:dyDescent="0.3">
      <c r="B40" s="667" t="str">
        <f>IF(C40=1,"Yes","No")</f>
        <v>Yes</v>
      </c>
      <c r="C40" s="530">
        <v>1</v>
      </c>
      <c r="D40" s="320" t="s">
        <v>282</v>
      </c>
      <c r="E40" s="341" t="s">
        <v>9</v>
      </c>
      <c r="F40" s="266" t="s">
        <v>13</v>
      </c>
      <c r="G40" s="266"/>
      <c r="H40" s="187"/>
      <c r="I40" s="187"/>
      <c r="J40" s="187"/>
      <c r="K40" s="9"/>
      <c r="L40" s="497">
        <v>0</v>
      </c>
      <c r="M40" s="188">
        <f>IF(AND($C$2="Yes",L40=1),N40,(Q38*P38%*H15*U2*Z2*N4))</f>
        <v>1750</v>
      </c>
      <c r="N40" s="235">
        <v>0</v>
      </c>
      <c r="O40" s="885"/>
      <c r="P40" s="885"/>
      <c r="Q40" s="885"/>
      <c r="R40" s="885"/>
      <c r="S40" s="885"/>
      <c r="T40" s="885"/>
      <c r="U40" s="885"/>
      <c r="V40" s="885"/>
      <c r="AA40" s="558"/>
      <c r="AB40" s="558"/>
      <c r="AC40" s="558"/>
      <c r="AD40" s="558"/>
      <c r="AE40" s="558"/>
      <c r="AF40" s="558"/>
      <c r="AG40" s="558"/>
      <c r="AH40" s="558"/>
      <c r="AJ40" s="142">
        <f t="shared" si="2"/>
        <v>375000</v>
      </c>
      <c r="AU40" s="535">
        <f t="shared" si="3"/>
        <v>2002</v>
      </c>
      <c r="AX40" s="678"/>
    </row>
    <row r="41" spans="2:50" s="142" customFormat="1" ht="15.9" customHeight="1" thickBot="1" x14ac:dyDescent="0.3">
      <c r="B41" s="667" t="str">
        <f>IF(C42=1,"Yes","No")</f>
        <v>Yes</v>
      </c>
      <c r="C41" s="136"/>
      <c r="D41" s="440">
        <f>IF(OR($R$25&gt;1,AA25=1),1,0)</f>
        <v>0</v>
      </c>
      <c r="E41" s="497">
        <v>1</v>
      </c>
      <c r="F41" s="266" t="str">
        <f>IF(AND($C$40=1,D41=1),CONCATENATE("     PAB by SRCC (Rs.",Y42,")"),"")</f>
        <v/>
      </c>
      <c r="G41" s="497">
        <v>1</v>
      </c>
      <c r="H41" s="441" t="str">
        <f>IF(AND($C$40=1,M30&gt;0),"   Goods Cover by SRCC","")</f>
        <v/>
      </c>
      <c r="I41" s="203"/>
      <c r="J41" s="497">
        <v>1</v>
      </c>
      <c r="K41" s="442" t="str">
        <f>IF(AND($C$40=1,OR(H50&gt;0,H51&gt;0)),"WCT by SRCC","")</f>
        <v/>
      </c>
      <c r="L41" s="497">
        <v>1</v>
      </c>
      <c r="M41" s="188">
        <v>0</v>
      </c>
      <c r="N41" s="235">
        <v>0</v>
      </c>
      <c r="O41" s="885"/>
      <c r="P41" s="885"/>
      <c r="Q41" s="885"/>
      <c r="R41" s="885"/>
      <c r="S41" s="885"/>
      <c r="T41" s="885"/>
      <c r="U41" s="885"/>
      <c r="V41" s="885"/>
      <c r="X41" s="473" t="s">
        <v>18</v>
      </c>
      <c r="Y41" s="473" t="s">
        <v>16</v>
      </c>
      <c r="Z41" s="473" t="s">
        <v>17</v>
      </c>
      <c r="AA41" s="592"/>
      <c r="AB41" s="593" t="s">
        <v>146</v>
      </c>
      <c r="AC41" s="594" t="s">
        <v>149</v>
      </c>
      <c r="AD41" s="595" t="s">
        <v>150</v>
      </c>
      <c r="AE41" s="594" t="s">
        <v>149</v>
      </c>
      <c r="AF41" s="558"/>
      <c r="AG41" s="558" t="s">
        <v>152</v>
      </c>
      <c r="AH41" s="558" t="s">
        <v>151</v>
      </c>
      <c r="AJ41" s="142">
        <f t="shared" si="2"/>
        <v>400000</v>
      </c>
      <c r="AU41" s="535">
        <f t="shared" si="3"/>
        <v>2003</v>
      </c>
    </row>
    <row r="42" spans="2:50" s="142" customFormat="1" ht="18.75" customHeight="1" thickBot="1" x14ac:dyDescent="0.3">
      <c r="B42" s="118"/>
      <c r="C42" s="679">
        <f>IF(Quote!T20="No",0,1)</f>
        <v>1</v>
      </c>
      <c r="D42" s="320" t="s">
        <v>282</v>
      </c>
      <c r="E42" s="341" t="s">
        <v>9</v>
      </c>
      <c r="F42" s="266" t="s">
        <v>377</v>
      </c>
      <c r="G42" s="266"/>
      <c r="H42" s="443" t="str">
        <f>IF(X42&gt;0,CONCATENATE("    (Rs.",X42,")"),"")</f>
        <v/>
      </c>
      <c r="I42" s="187"/>
      <c r="J42" s="187"/>
      <c r="K42" s="443" t="str">
        <f>IF(Z42&gt;0,CONCATENATE("  (Rs.",FIXED(Z42),")"),"")</f>
        <v/>
      </c>
      <c r="L42" s="497">
        <v>0</v>
      </c>
      <c r="M42" s="188">
        <f>IF(AND($C$2="Yes",L42=1),N41,(H15*P39%*Q39*U2*Q38*Z2*N4))</f>
        <v>437.5</v>
      </c>
      <c r="N42" s="680">
        <v>0</v>
      </c>
      <c r="O42" s="489"/>
      <c r="Q42" s="466" t="str">
        <f>IF(G41=1,"Yes","No")</f>
        <v>Yes</v>
      </c>
      <c r="R42" s="467"/>
      <c r="T42" s="243" t="str">
        <f>IF(E41=1,"Yes","No")</f>
        <v>Yes</v>
      </c>
      <c r="U42" s="459"/>
      <c r="W42" s="233" t="str">
        <f>IF(J41=1,"Yes","No")</f>
        <v>Yes</v>
      </c>
      <c r="X42" s="244">
        <f>IF(AND(B40="Yes",Q42="Yes",C30="Yes"),H30*Rates!Q8%,0)*Z49*O31</f>
        <v>0</v>
      </c>
      <c r="Y42" s="244">
        <f>IF(AND(B40="Yes",T42="Yes"),AE42,0)</f>
        <v>0</v>
      </c>
      <c r="Z42" s="244">
        <f>IF(AND(B40="Yes",W42="Yes"),(M50+M51)*Rates!Q9%,0)</f>
        <v>0</v>
      </c>
      <c r="AA42" s="596"/>
      <c r="AB42" s="597">
        <f>IF(Y48="Commercial Vehicle Policy",1,0)</f>
        <v>1</v>
      </c>
      <c r="AC42" s="597">
        <f>IF(OR(Y48="Private car policy",Y48="Motor Cycle Policy"),1,0)</f>
        <v>0</v>
      </c>
      <c r="AD42" s="558">
        <f>IF(AND(M8=Administration!C10,H9=Administration!C23),1,0)</f>
        <v>0</v>
      </c>
      <c r="AE42" s="558">
        <f>IF(AC42=1,I26*L25*Rates!Q6%,AF42)</f>
        <v>0</v>
      </c>
      <c r="AF42" s="558">
        <f>AG42+AH42</f>
        <v>0</v>
      </c>
      <c r="AG42" s="558">
        <f>Z28*I26*Rates!Q6%</f>
        <v>0</v>
      </c>
      <c r="AH42" s="558">
        <f>IF(AD42=1,(L25-Z28)*Z25*Rates!Q7%,(L25-Z28)*Z25*Rates!Q6%)</f>
        <v>0</v>
      </c>
      <c r="AJ42" s="142">
        <f>AJ41+25000</f>
        <v>425000</v>
      </c>
      <c r="AU42" s="535">
        <f t="shared" si="3"/>
        <v>2004</v>
      </c>
      <c r="AX42" s="678"/>
    </row>
    <row r="43" spans="2:50" s="142" customFormat="1" ht="15.9" customHeight="1" x14ac:dyDescent="0.25">
      <c r="B43" s="118"/>
      <c r="C43" s="136"/>
      <c r="D43" s="312"/>
      <c r="E43" s="497">
        <v>0</v>
      </c>
      <c r="F43" s="266" t="str">
        <f>IF(AND($C$40=1,C42=1,D41=1),CONCATENATE("     PAB by TC (Rs.",Y43,")"),"")</f>
        <v/>
      </c>
      <c r="G43" s="497">
        <v>1</v>
      </c>
      <c r="H43" s="441" t="str">
        <f>IF(AND($C$40=1,C42=1,M30&gt;0),"   Goods Cover by TC","")</f>
        <v/>
      </c>
      <c r="I43" s="203"/>
      <c r="J43" s="497">
        <v>1</v>
      </c>
      <c r="K43" s="442" t="str">
        <f>IF(AND($C$40=1,C42=1,OR(H50&gt;0,H51&gt;0)),"WCT by TC","")</f>
        <v/>
      </c>
      <c r="L43" s="497">
        <v>0</v>
      </c>
      <c r="M43" s="188">
        <f>IF(AND($C$2="Yes",L43=1),N43,(SUM(X43:Z43)*U2*R15*Y2))</f>
        <v>0</v>
      </c>
      <c r="N43" s="235">
        <v>0</v>
      </c>
      <c r="O43" s="489"/>
      <c r="Q43" s="466" t="str">
        <f>IF(G43=1,"Yes","No")</f>
        <v>Yes</v>
      </c>
      <c r="R43" s="468"/>
      <c r="T43" s="243" t="str">
        <f>IF(E43=1,"Yes","No")</f>
        <v>No</v>
      </c>
      <c r="U43" s="469"/>
      <c r="W43" s="233" t="str">
        <f>IF(J43=1,"Yes","No")</f>
        <v>Yes</v>
      </c>
      <c r="X43" s="244">
        <f>IF(AND(B40="Yes",B41="Yes",Q42="Yes",Q43="Yes",C30="Yes"),H30*Rates!R8%,0)*Z49*O31</f>
        <v>0</v>
      </c>
      <c r="Y43" s="244">
        <f>IF(AND(B40="Yes",B41="Yes",T42="Yes",T43="Yes"),AE43,0)</f>
        <v>0</v>
      </c>
      <c r="Z43" s="244">
        <f>IF(AND(B40="Yes",B41="Yes",W42="Yes",W43="Yes"),(M50+M51)*Rates!R9%,0)</f>
        <v>0</v>
      </c>
      <c r="AA43" s="596"/>
      <c r="AB43" s="597"/>
      <c r="AC43" s="597"/>
      <c r="AD43" s="558"/>
      <c r="AE43" s="558">
        <f>IF(AC42=1,I26*L25*Rates!R6%,AF43)</f>
        <v>0</v>
      </c>
      <c r="AF43" s="558">
        <f>AG43+AH43</f>
        <v>0</v>
      </c>
      <c r="AG43" s="558">
        <f>Z28*I26*Rates!R4%</f>
        <v>0</v>
      </c>
      <c r="AH43" s="558">
        <f>IF(AD42=1,Rates!R7,(L25-Z28)*Z25*Rates!R5%)</f>
        <v>0</v>
      </c>
      <c r="AJ43" s="142">
        <f t="shared" si="2"/>
        <v>450000</v>
      </c>
      <c r="AU43" s="535">
        <f t="shared" ref="AU43:AU84" ca="1" si="4">IF(AU42&gt;=$AW$46,"",AU42+1)</f>
        <v>2005</v>
      </c>
      <c r="AX43" s="678"/>
    </row>
    <row r="44" spans="2:50" s="142" customFormat="1" ht="15.9" customHeight="1" x14ac:dyDescent="0.25">
      <c r="B44" s="118"/>
      <c r="C44" s="136"/>
      <c r="D44" s="320" t="s">
        <v>282</v>
      </c>
      <c r="E44" s="341" t="s">
        <v>9</v>
      </c>
      <c r="F44" s="266" t="s">
        <v>124</v>
      </c>
      <c r="G44" s="266"/>
      <c r="H44" s="443" t="str">
        <f>IF(X43&gt;0,CONCATENATE("    (Rs.",X43,")"),"")</f>
        <v/>
      </c>
      <c r="I44" s="187"/>
      <c r="J44" s="187"/>
      <c r="K44" s="443" t="str">
        <f>IF(Z43&gt;0,CONCATENATE("  (Rs.",FIXED(Z43),")"),"")</f>
        <v/>
      </c>
      <c r="L44" s="497">
        <v>0</v>
      </c>
      <c r="M44" s="188">
        <f ca="1">IF(AND($C$2="Yes",L44=1),M19*N44%,(M19*Rates!K14%*O44*R44))</f>
        <v>3675.0000000000005</v>
      </c>
      <c r="N44" s="681">
        <v>0</v>
      </c>
      <c r="O44" s="489">
        <f>IF(OR(H9=Administration!C21,H9=Administration!C22),1,Q44)</f>
        <v>1</v>
      </c>
      <c r="P44" s="233"/>
      <c r="Q44" s="233">
        <f>IF(AND(M8=Administration!C10,H9=Administration!C23),1,0)</f>
        <v>0</v>
      </c>
      <c r="R44" s="230">
        <f>IF(Rates!M14="Free",0,1)</f>
        <v>1</v>
      </c>
      <c r="S44" s="230"/>
      <c r="T44" s="470"/>
      <c r="U44" s="470"/>
      <c r="V44" s="230"/>
      <c r="W44" s="141"/>
      <c r="X44" s="471"/>
      <c r="Y44" s="471"/>
      <c r="Z44" s="231"/>
      <c r="AA44" s="558"/>
      <c r="AB44" s="558"/>
      <c r="AC44" s="558"/>
      <c r="AD44" s="558"/>
      <c r="AE44" s="558"/>
      <c r="AF44" s="558"/>
      <c r="AG44" s="558"/>
      <c r="AH44" s="558"/>
      <c r="AJ44" s="142">
        <f>AJ43+25000</f>
        <v>475000</v>
      </c>
      <c r="AU44" s="535">
        <f t="shared" ca="1" si="4"/>
        <v>2006</v>
      </c>
      <c r="AX44" s="678"/>
    </row>
    <row r="45" spans="2:50" s="142" customFormat="1" ht="15" customHeight="1" thickBot="1" x14ac:dyDescent="0.3">
      <c r="B45" s="118" t="str">
        <f>IF(C47=1,"Yes","No")</f>
        <v>No</v>
      </c>
      <c r="C45" s="582">
        <v>0</v>
      </c>
      <c r="D45" s="320" t="s">
        <v>282</v>
      </c>
      <c r="E45" s="341" t="s">
        <v>9</v>
      </c>
      <c r="F45" s="266" t="s">
        <v>448</v>
      </c>
      <c r="G45" s="266"/>
      <c r="H45" s="187"/>
      <c r="I45" s="187"/>
      <c r="J45" s="187"/>
      <c r="K45" s="9"/>
      <c r="L45" s="497">
        <v>0</v>
      </c>
      <c r="M45" s="188"/>
      <c r="N45" s="682">
        <v>0</v>
      </c>
      <c r="O45" s="583">
        <f>C45</f>
        <v>0</v>
      </c>
      <c r="P45" s="584"/>
      <c r="Q45" s="584"/>
      <c r="R45" s="585">
        <f>IF(Rates!M15="Free",0,1)</f>
        <v>1</v>
      </c>
      <c r="S45" s="585"/>
      <c r="T45" s="586"/>
      <c r="U45" s="586"/>
      <c r="V45" s="230"/>
      <c r="W45" s="141"/>
      <c r="X45" s="141"/>
      <c r="Y45" s="141"/>
      <c r="AA45" s="558"/>
      <c r="AB45" s="558"/>
      <c r="AC45" s="558"/>
      <c r="AD45" s="589"/>
      <c r="AE45" s="589"/>
      <c r="AF45" s="589"/>
      <c r="AG45" s="589"/>
      <c r="AH45" s="589"/>
      <c r="AI45" s="141"/>
      <c r="AJ45" s="142">
        <f>IF(AJ44=500000,"",AJ44+25000)</f>
        <v>500000</v>
      </c>
      <c r="AK45" s="141"/>
      <c r="AL45" s="141"/>
      <c r="AN45" s="141"/>
      <c r="AO45" s="141"/>
      <c r="AP45" s="141"/>
      <c r="AQ45" s="141"/>
      <c r="AR45" s="141"/>
      <c r="AS45" s="141"/>
      <c r="AU45" s="535">
        <f t="shared" ca="1" si="4"/>
        <v>2007</v>
      </c>
      <c r="AX45" s="678"/>
    </row>
    <row r="46" spans="2:50" s="142" customFormat="1" ht="15.75" customHeight="1" thickBot="1" x14ac:dyDescent="0.3">
      <c r="B46" s="667" t="str">
        <f>IF(C46=1,"Yes","No")</f>
        <v>No</v>
      </c>
      <c r="C46" s="599">
        <v>0</v>
      </c>
      <c r="D46" s="320" t="s">
        <v>282</v>
      </c>
      <c r="E46" s="341" t="s">
        <v>9</v>
      </c>
      <c r="F46" s="266" t="s">
        <v>277</v>
      </c>
      <c r="G46" s="266"/>
      <c r="H46" s="886" t="str">
        <f>IF(U57=1,"Free Cover",IF(AND(B46="Yes",Q48=1,Q46=0,U46=0),"Only for Private Dual Purpose Vehicles",""))</f>
        <v/>
      </c>
      <c r="I46" s="886"/>
      <c r="J46" s="886"/>
      <c r="K46" s="886"/>
      <c r="L46" s="497">
        <v>0</v>
      </c>
      <c r="M46" s="188">
        <f ca="1">IF(AND($C$2="Yes",L46=1),N46,(M19*Rates!K19%*T46))</f>
        <v>0</v>
      </c>
      <c r="N46" s="683">
        <v>0</v>
      </c>
      <c r="O46" s="558">
        <f>IF(B46="Yes",1,0)</f>
        <v>0</v>
      </c>
      <c r="P46" s="558"/>
      <c r="Q46" s="558">
        <f>IF(AND(M8=Administration!C9,H9=Administration!C20),1,U46)</f>
        <v>0</v>
      </c>
      <c r="R46" s="587">
        <f>O46+Q46</f>
        <v>0</v>
      </c>
      <c r="S46" s="587"/>
      <c r="T46" s="587">
        <f>IF(R46=2,1,0)</f>
        <v>0</v>
      </c>
      <c r="U46" s="587">
        <f>IF(AND(Rates!O19="Yes",Q48=1),1,0)</f>
        <v>0</v>
      </c>
      <c r="V46" s="240"/>
      <c r="W46" s="141"/>
      <c r="X46" s="141"/>
      <c r="Y46" s="141"/>
      <c r="Z46" s="141"/>
      <c r="AA46" s="558"/>
      <c r="AB46" s="558"/>
      <c r="AC46" s="558"/>
      <c r="AD46" s="589"/>
      <c r="AE46" s="589"/>
      <c r="AF46" s="589"/>
      <c r="AG46" s="589"/>
      <c r="AH46" s="589"/>
      <c r="AI46" s="141"/>
      <c r="AK46" s="141"/>
      <c r="AL46" s="141"/>
      <c r="AN46" s="141"/>
      <c r="AO46" s="141"/>
      <c r="AP46" s="141"/>
      <c r="AQ46" s="141"/>
      <c r="AR46" s="141"/>
      <c r="AS46" s="141"/>
      <c r="AU46" s="535">
        <f t="shared" ca="1" si="4"/>
        <v>2008</v>
      </c>
      <c r="AW46" s="142">
        <f ca="1">YEAR(F69)</f>
        <v>2024</v>
      </c>
      <c r="AX46" s="678"/>
    </row>
    <row r="47" spans="2:50" s="142" customFormat="1" ht="15.75" customHeight="1" thickBot="1" x14ac:dyDescent="0.3">
      <c r="B47" s="118"/>
      <c r="C47" s="136"/>
      <c r="D47" s="320" t="s">
        <v>282</v>
      </c>
      <c r="E47" s="341" t="s">
        <v>9</v>
      </c>
      <c r="F47" s="266" t="s">
        <v>446</v>
      </c>
      <c r="G47" s="266"/>
      <c r="H47" s="721">
        <v>300000</v>
      </c>
      <c r="I47" s="187" t="s">
        <v>109</v>
      </c>
      <c r="J47" s="187"/>
      <c r="K47" s="616">
        <f>IF(AND(H47&gt;0,T47=0),"Not Applicable",0)</f>
        <v>0</v>
      </c>
      <c r="L47" s="497">
        <v>1</v>
      </c>
      <c r="M47" s="186">
        <v>0</v>
      </c>
      <c r="N47" s="683">
        <v>0</v>
      </c>
      <c r="O47" s="588">
        <f>IF(H47&gt;0,1,0)</f>
        <v>1</v>
      </c>
      <c r="P47" s="588"/>
      <c r="Q47" s="584"/>
      <c r="R47" s="585"/>
      <c r="S47" s="585"/>
      <c r="T47" s="589">
        <f>IF(OR(M8=Administration!C13,M8=Administration!C14,),0,1)</f>
        <v>1</v>
      </c>
      <c r="U47" s="585"/>
      <c r="V47" s="230"/>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5">
        <f t="shared" ca="1" si="4"/>
        <v>2009</v>
      </c>
      <c r="AX47" s="678"/>
    </row>
    <row r="48" spans="2:50" s="142" customFormat="1" ht="15.9" customHeight="1" thickBot="1" x14ac:dyDescent="0.3">
      <c r="B48" s="118"/>
      <c r="C48" s="136"/>
      <c r="D48" s="320" t="s">
        <v>282</v>
      </c>
      <c r="E48" s="341" t="s">
        <v>9</v>
      </c>
      <c r="F48" s="266" t="s">
        <v>6</v>
      </c>
      <c r="G48" s="266"/>
      <c r="H48" s="697">
        <f>IF(Quote!R33&lt;&gt;"",Quote!R33,100000)</f>
        <v>300000</v>
      </c>
      <c r="I48" s="187" t="s">
        <v>108</v>
      </c>
      <c r="J48" s="187"/>
      <c r="K48" s="339">
        <f>IF(AND(Q48=0,H48&gt;0),"Free Unlimited Cover",0)</f>
        <v>0</v>
      </c>
      <c r="L48" s="497">
        <v>0</v>
      </c>
      <c r="M48" s="186">
        <f>IF(AND($C$2="Yes",L48=1),N48,IF(H48&lt;100000,0,IF(H48=100000,Rates!K17*R48,IF(H48&lt;=300000,Rates!K18*R48,IF(H48&lt;=500000,Rates!M17*R48,IF(H48&lt;=1000000,Rates!M18*R48,IF(H48&lt;=2000000,1200*R48,H48*0.1%)))))))*U2*Q48*R15*Z2*Q65*N3</f>
        <v>700</v>
      </c>
      <c r="N48" s="683">
        <v>0</v>
      </c>
      <c r="O48" s="588">
        <f>IF(H48&gt;1,1,0)</f>
        <v>1</v>
      </c>
      <c r="P48" s="588"/>
      <c r="Q48" s="590">
        <f>IF(O57+Q57=1,0,1)</f>
        <v>1</v>
      </c>
      <c r="R48" s="585">
        <f>IF(AND(H48&gt;=100000,Q48=1),1,0)</f>
        <v>1</v>
      </c>
      <c r="S48" s="585"/>
      <c r="T48" s="589">
        <f>IF(OR(Q48=0,H48&gt;0),1,0)</f>
        <v>1</v>
      </c>
      <c r="U48" s="585"/>
      <c r="V48" s="230"/>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5">
        <f t="shared" ca="1" si="4"/>
        <v>2010</v>
      </c>
      <c r="AX48" s="678"/>
    </row>
    <row r="49" spans="2:52" s="142" customFormat="1" ht="15" customHeight="1" thickBot="1" x14ac:dyDescent="0.3">
      <c r="B49" s="118"/>
      <c r="C49" s="136"/>
      <c r="D49" s="320" t="s">
        <v>282</v>
      </c>
      <c r="E49" s="341" t="s">
        <v>9</v>
      </c>
      <c r="F49" s="266" t="s">
        <v>12</v>
      </c>
      <c r="G49" s="266"/>
      <c r="H49" s="697">
        <f>Quote!R35</f>
        <v>0</v>
      </c>
      <c r="I49" s="888" t="str">
        <f>IF(Q49&gt;0,CONCATENATE("Free Cover of Rs.",Q49,"/-"),"")</f>
        <v>Free Cover of Rs.1000/-</v>
      </c>
      <c r="J49" s="889"/>
      <c r="K49" s="889"/>
      <c r="L49" s="497">
        <v>0</v>
      </c>
      <c r="M49" s="186">
        <f>IF(AND($C$2="Yes",L49=1),N49,((H49*Rates!K32%-R49)*U2*R15*Y2*Z2))*N3</f>
        <v>0</v>
      </c>
      <c r="N49" s="683">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5">
        <f t="shared" ca="1" si="4"/>
        <v>2011</v>
      </c>
      <c r="AX49" s="678"/>
    </row>
    <row r="50" spans="2:52" s="142" customFormat="1" ht="15.75" customHeight="1" thickBot="1" x14ac:dyDescent="0.3">
      <c r="B50" s="118"/>
      <c r="C50" s="136"/>
      <c r="D50" s="320" t="s">
        <v>282</v>
      </c>
      <c r="E50" s="341" t="s">
        <v>9</v>
      </c>
      <c r="F50" s="301" t="s">
        <v>111</v>
      </c>
      <c r="G50" s="301"/>
      <c r="H50" s="609">
        <v>0</v>
      </c>
      <c r="I50" s="187" t="s">
        <v>20</v>
      </c>
      <c r="J50" s="187"/>
      <c r="K50" s="615"/>
      <c r="L50" s="497">
        <v>0</v>
      </c>
      <c r="M50" s="186">
        <f>IF(AND($C$2="Yes",L50=1),N50,(H50*R50*U2*R15*Y2))*N3</f>
        <v>0</v>
      </c>
      <c r="N50" s="235">
        <v>0</v>
      </c>
      <c r="O50" s="228">
        <f>IF(H50&gt;0,1,0)</f>
        <v>0</v>
      </c>
      <c r="P50" s="228"/>
      <c r="Q50" s="141">
        <f>IF((O50+O51)&gt;0,1,0)</f>
        <v>0</v>
      </c>
      <c r="R50" s="230">
        <f>IF(O57+Q57=1,Rates!K23,Rates!K24)</f>
        <v>600</v>
      </c>
      <c r="S50" s="230"/>
      <c r="T50" s="230"/>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5">
        <f t="shared" ca="1" si="4"/>
        <v>2012</v>
      </c>
      <c r="AX50" s="678"/>
    </row>
    <row r="51" spans="2:52" s="142" customFormat="1" ht="1.5" customHeight="1" thickBot="1" x14ac:dyDescent="0.3">
      <c r="B51" s="118"/>
      <c r="C51" s="136"/>
      <c r="D51" s="320" t="s">
        <v>282</v>
      </c>
      <c r="E51" s="341" t="s">
        <v>9</v>
      </c>
      <c r="F51" s="266" t="s">
        <v>19</v>
      </c>
      <c r="G51" s="266"/>
      <c r="H51" s="610">
        <v>0</v>
      </c>
      <c r="I51" s="187" t="s">
        <v>21</v>
      </c>
      <c r="J51" s="187"/>
      <c r="K51" s="198"/>
      <c r="L51" s="497">
        <v>0</v>
      </c>
      <c r="M51" s="186">
        <f>IF(AND($C$2="Yes",L51=1),N51,(H51*Rates!K25*U2*R15*Y2*Z49*Y49))*N3</f>
        <v>0</v>
      </c>
      <c r="N51" s="235">
        <v>0</v>
      </c>
      <c r="O51" s="228">
        <f>IF(H51&gt;0,1,0)</f>
        <v>0</v>
      </c>
      <c r="P51" s="228"/>
      <c r="Q51" s="233">
        <f>IF(OR(H50&gt;0,H51&gt;0),1,0)</f>
        <v>0</v>
      </c>
      <c r="R51" s="230"/>
      <c r="S51" s="230"/>
      <c r="T51" s="230"/>
      <c r="U51" s="230"/>
      <c r="V51" s="230"/>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5">
        <f t="shared" ca="1" si="4"/>
        <v>2013</v>
      </c>
      <c r="AX51" s="678"/>
    </row>
    <row r="52" spans="2:52" s="142" customFormat="1" ht="20.25" customHeight="1" thickBot="1" x14ac:dyDescent="0.3">
      <c r="B52" s="684" t="str">
        <f>Rates!M21</f>
        <v>Charge</v>
      </c>
      <c r="C52" s="136"/>
      <c r="D52" s="320" t="s">
        <v>282</v>
      </c>
      <c r="E52" s="341" t="s">
        <v>9</v>
      </c>
      <c r="F52" s="266" t="s">
        <v>447</v>
      </c>
      <c r="G52" s="611">
        <v>1</v>
      </c>
      <c r="H52" s="614">
        <v>7500</v>
      </c>
      <c r="I52" s="890" t="str">
        <f>IF(AND(G52=0,K50&gt;0),"Enter Number of Air Bags",IF(AND(K50&gt;0,T47=0),"Not Applicable",IF(AND(Q52=0,T47=1,K50&gt;0),"Free Cover",IF(R52=0,"Free Cover - Front Seat Bags","Value of 2 Front Dashboard Airbgs"))))</f>
        <v>Value of 2 Front Dashboard Airbgs</v>
      </c>
      <c r="J52" s="890"/>
      <c r="K52" s="890"/>
      <c r="L52" s="497">
        <v>1</v>
      </c>
      <c r="M52" s="186">
        <v>0</v>
      </c>
      <c r="N52" s="235">
        <v>0</v>
      </c>
      <c r="O52" s="228">
        <f>IF(OR(O53=1,M53&gt;0),1,0)</f>
        <v>0</v>
      </c>
      <c r="P52" s="228">
        <f>IF(G52&gt;0,1,0)</f>
        <v>1</v>
      </c>
      <c r="Q52" s="233">
        <f>IF(Rates!M21="Free",0,1)</f>
        <v>1</v>
      </c>
      <c r="R52" s="230">
        <f>IF(AND(H9=Administration!C20,S52=0),0,1)</f>
        <v>1</v>
      </c>
      <c r="S52" s="230">
        <f>IF(OR(M8="Motor Car",M8="Jeep",M8="Dual Purpose"),0,1)</f>
        <v>1</v>
      </c>
      <c r="T52" s="230"/>
      <c r="U52" s="230"/>
      <c r="V52" s="230"/>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5">
        <f t="shared" ca="1" si="4"/>
        <v>2014</v>
      </c>
      <c r="AV52" s="141"/>
      <c r="AW52" s="268"/>
      <c r="AX52" s="678"/>
      <c r="AY52" s="141"/>
      <c r="AZ52" s="141"/>
    </row>
    <row r="53" spans="2:52" s="142" customFormat="1" ht="18" customHeight="1" thickBot="1" x14ac:dyDescent="0.3">
      <c r="B53" s="685"/>
      <c r="C53" s="136"/>
      <c r="D53" s="320"/>
      <c r="E53" s="374"/>
      <c r="F53" s="266"/>
      <c r="G53" s="686">
        <v>0</v>
      </c>
      <c r="H53" s="687">
        <v>0</v>
      </c>
      <c r="I53" s="653" t="str">
        <f>IF(AND(G53=0,H53&gt;0),"Enter Number of Air Bags",IF(AND(H53&gt;0,T47=0),"Not Applicable",IF(AND(Q52=0,T47=1,H53&gt;0),"Free Cover","Value of Rear Seat Airbags")))</f>
        <v>Value of Rear Seat Airbags</v>
      </c>
      <c r="J53" s="372"/>
      <c r="K53" s="372"/>
      <c r="L53" s="497">
        <v>0</v>
      </c>
      <c r="M53" s="186">
        <f>IF(AND($C$2="Yes",L53=1),N53*P53,(H53*Rates!K21%*U2*T47/2*Q52*R15*Y2*P53))*N3</f>
        <v>0</v>
      </c>
      <c r="N53" s="235">
        <v>0</v>
      </c>
      <c r="O53" s="228">
        <f>IF(AND(G52&gt;0,K50&gt;1),1,0)</f>
        <v>0</v>
      </c>
      <c r="P53" s="228">
        <f>IF(G53&gt;0,1,0)</f>
        <v>0</v>
      </c>
      <c r="Q53" s="233">
        <f>IF(M53&gt;0,1,0)</f>
        <v>0</v>
      </c>
      <c r="R53" s="230">
        <f>IF(AND(O53=1,Q53=1),G52+G53,IF(AND(O53=1,Q53=0),G52,IF(AND(O53=0,Q53=1),G53,0)))</f>
        <v>0</v>
      </c>
      <c r="S53" s="230"/>
      <c r="T53" s="230"/>
      <c r="U53" s="230"/>
      <c r="V53" s="230"/>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5">
        <f t="shared" ca="1" si="4"/>
        <v>2015</v>
      </c>
      <c r="AV53" s="141"/>
      <c r="AW53" s="141"/>
      <c r="AX53" s="558"/>
      <c r="AY53" s="141"/>
      <c r="AZ53" s="141"/>
    </row>
    <row r="54" spans="2:52" s="142" customFormat="1" ht="15.9" customHeight="1" thickBot="1" x14ac:dyDescent="0.3">
      <c r="B54" s="118"/>
      <c r="C54" s="136"/>
      <c r="D54" s="320" t="s">
        <v>282</v>
      </c>
      <c r="E54" s="341" t="s">
        <v>9</v>
      </c>
      <c r="F54" s="266" t="s">
        <v>8</v>
      </c>
      <c r="G54" s="266"/>
      <c r="H54" s="688">
        <v>0</v>
      </c>
      <c r="I54" s="187" t="s">
        <v>110</v>
      </c>
      <c r="J54" s="187"/>
      <c r="K54" s="9"/>
      <c r="L54" s="497">
        <v>0</v>
      </c>
      <c r="M54" s="186">
        <f>IF(AND($C$2="Yes",L54=1),N54,(H54*Q54*U2*R15*Y2))*N3</f>
        <v>0</v>
      </c>
      <c r="N54" s="235">
        <v>0</v>
      </c>
      <c r="O54" s="228">
        <f>IF(H54&gt;0,1,0)</f>
        <v>0</v>
      </c>
      <c r="P54" s="228"/>
      <c r="Q54" s="233">
        <f>IF(O57+Q57=1,Rates!K34,IF(T47=0,Rates!K35,Rates!K36))</f>
        <v>200</v>
      </c>
      <c r="R54" s="230"/>
      <c r="S54" s="230"/>
      <c r="T54" s="230"/>
      <c r="U54" s="230"/>
      <c r="V54" s="230"/>
      <c r="W54" s="141"/>
      <c r="X54" s="141"/>
      <c r="Y54" s="141"/>
      <c r="Z54" s="141"/>
      <c r="AA54" s="141"/>
      <c r="AD54" s="141"/>
      <c r="AE54" s="141"/>
      <c r="AF54" s="141"/>
      <c r="AG54" s="141"/>
      <c r="AH54" s="141"/>
      <c r="AI54" s="141"/>
      <c r="AK54" s="141"/>
      <c r="AL54" s="141"/>
      <c r="AN54" s="141"/>
      <c r="AO54" s="141"/>
      <c r="AP54" s="141"/>
      <c r="AQ54" s="141"/>
      <c r="AR54" s="141"/>
      <c r="AS54" s="141"/>
      <c r="AT54" s="141"/>
      <c r="AU54" s="535">
        <f t="shared" ca="1" si="4"/>
        <v>2016</v>
      </c>
      <c r="AV54" s="141"/>
      <c r="AW54" s="141"/>
      <c r="AX54" s="678"/>
      <c r="AY54" s="141"/>
      <c r="AZ54" s="141"/>
    </row>
    <row r="55" spans="2:52" s="142" customFormat="1" ht="15" customHeight="1" thickBot="1" x14ac:dyDescent="0.3">
      <c r="B55" s="667" t="str">
        <f>IF(C55=1,"Yes","No")</f>
        <v>No</v>
      </c>
      <c r="C55" s="599">
        <v>0</v>
      </c>
      <c r="D55" s="320" t="s">
        <v>282</v>
      </c>
      <c r="E55" s="341" t="s">
        <v>9</v>
      </c>
      <c r="F55" s="726" t="s">
        <v>532</v>
      </c>
      <c r="G55" s="266"/>
      <c r="H55" s="187"/>
      <c r="I55" s="187"/>
      <c r="J55" s="187"/>
      <c r="K55" s="9"/>
      <c r="L55" s="497">
        <v>0</v>
      </c>
      <c r="M55" s="186">
        <v>1090</v>
      </c>
      <c r="N55" s="689">
        <v>0</v>
      </c>
      <c r="O55" s="518"/>
      <c r="P55" s="518"/>
      <c r="Q55" s="518">
        <f>IF(B55="Yes",1,0)</f>
        <v>0</v>
      </c>
      <c r="R55" s="517"/>
      <c r="S55" s="517"/>
      <c r="T55" s="517"/>
      <c r="U55" s="517"/>
      <c r="V55" s="517"/>
      <c r="W55" s="518"/>
      <c r="X55" s="518"/>
      <c r="Y55" s="518"/>
      <c r="Z55" s="518"/>
      <c r="AA55" s="518"/>
      <c r="AB55" s="518"/>
      <c r="AC55" s="518"/>
      <c r="AD55" s="518"/>
      <c r="AE55" s="518"/>
      <c r="AF55" s="518"/>
      <c r="AG55" s="518"/>
      <c r="AH55" s="518"/>
      <c r="AI55" s="518"/>
      <c r="AK55" s="141"/>
      <c r="AL55" s="141"/>
      <c r="AN55" s="141"/>
      <c r="AO55" s="141"/>
      <c r="AP55" s="141"/>
      <c r="AQ55" s="141"/>
      <c r="AR55" s="141"/>
      <c r="AS55" s="141"/>
      <c r="AT55" s="141"/>
      <c r="AU55" s="535">
        <f t="shared" ca="1" si="4"/>
        <v>2017</v>
      </c>
      <c r="AV55" s="141"/>
      <c r="AW55" s="141"/>
      <c r="AX55" s="678"/>
      <c r="AY55" s="141"/>
      <c r="AZ55" s="141"/>
    </row>
    <row r="56" spans="2:52" s="142" customFormat="1" ht="21.75" customHeight="1" thickBot="1" x14ac:dyDescent="0.3">
      <c r="B56" s="667" t="str">
        <f>IF(C56=1,"Yes","No")</f>
        <v>No</v>
      </c>
      <c r="C56" s="599">
        <v>0</v>
      </c>
      <c r="D56" s="320" t="s">
        <v>282</v>
      </c>
      <c r="E56" s="341" t="s">
        <v>9</v>
      </c>
      <c r="F56" s="266" t="s">
        <v>132</v>
      </c>
      <c r="G56" s="266"/>
      <c r="H56" s="187"/>
      <c r="I56" s="302" t="str">
        <f>IF(AND(Rates!D43="No",B56="Yes"),"Provided only for Private Cars","")</f>
        <v/>
      </c>
      <c r="J56" s="302"/>
      <c r="K56" s="769">
        <f ca="1">K61+250</f>
        <v>524.43946875000006</v>
      </c>
      <c r="L56" s="497">
        <v>0</v>
      </c>
      <c r="M56" s="188">
        <f ca="1">IF(AND($C$2="Yes",L56=1),N56,(M19*O56*R56%*Q61))</f>
        <v>0</v>
      </c>
      <c r="N56" s="689">
        <v>0</v>
      </c>
      <c r="O56" s="518">
        <f>IF(OR(R57=2,R61=1),1,0)</f>
        <v>0</v>
      </c>
      <c r="P56" s="518"/>
      <c r="Q56" s="518">
        <f>IF(B56="Yes",1,0)</f>
        <v>0</v>
      </c>
      <c r="R56" s="517">
        <f>IF(H35&lt;25,Rates!K42,T56)</f>
        <v>5.25</v>
      </c>
      <c r="S56" s="517"/>
      <c r="T56" s="517">
        <f>IF(AND(H35&gt;=25,H35&lt;30),Rates!K43,U56)</f>
        <v>5.25</v>
      </c>
      <c r="U56" s="517">
        <f>IF(AND(H35&lt;38.33,H35&gt;=30),Rates!K44,W56)</f>
        <v>4.5</v>
      </c>
      <c r="V56" s="517"/>
      <c r="W56" s="517">
        <f>IF(AND(H35&gt;=38.33,H35&lt;45),Rates!K45,X56)</f>
        <v>4.5</v>
      </c>
      <c r="X56" s="517">
        <f>IF(AND(H35&gt;=45,H35&lt;55),Rates!K46,Y56)</f>
        <v>4.5</v>
      </c>
      <c r="Y56" s="517">
        <f>IF(AND(H35&gt;=55,H35&lt;60),Rates!K47,Z56)</f>
        <v>4.5</v>
      </c>
      <c r="Z56" s="517">
        <f>IF(AND(H35&gt;=60,H35&lt;65),Rates!K48,AA56)</f>
        <v>4.5</v>
      </c>
      <c r="AA56" s="517">
        <f>IF(AND(H35&gt;=65,H35&lt;70),Rates!K49,AB56)</f>
        <v>4.5</v>
      </c>
      <c r="AB56" s="517">
        <f>IF(AND(H35&gt;=70,H35&lt;75),Rates!K50,AC56)</f>
        <v>4.5</v>
      </c>
      <c r="AC56" s="517">
        <f>IF(H35&gt;=75,Rates!K51,AD56)</f>
        <v>4.5</v>
      </c>
      <c r="AD56" s="518">
        <v>4.5</v>
      </c>
      <c r="AE56" s="518"/>
      <c r="AF56" s="518"/>
      <c r="AG56" s="518"/>
      <c r="AH56" s="518"/>
      <c r="AI56" s="518"/>
      <c r="AK56" s="141"/>
      <c r="AL56" s="141"/>
      <c r="AN56" s="141"/>
      <c r="AO56" s="141"/>
      <c r="AP56" s="141"/>
      <c r="AQ56" s="141"/>
      <c r="AR56" s="141"/>
      <c r="AS56" s="141"/>
      <c r="AT56" s="141"/>
      <c r="AU56" s="535">
        <f t="shared" ca="1" si="4"/>
        <v>2018</v>
      </c>
      <c r="AV56" s="141"/>
      <c r="AW56" s="141"/>
      <c r="AX56" s="678"/>
      <c r="AY56" s="141"/>
      <c r="AZ56" s="141"/>
    </row>
    <row r="57" spans="2:52" s="142" customFormat="1" ht="18.75" hidden="1" customHeight="1" x14ac:dyDescent="0.25">
      <c r="B57" s="118"/>
      <c r="C57" s="136"/>
      <c r="D57" s="6"/>
      <c r="E57" s="342" t="s">
        <v>9</v>
      </c>
      <c r="F57" s="75" t="str">
        <f>IF(AND(M8=Administration!C10,H9=Administration!C23,R15=1),"Unlimited Third Party Property Damage &amp; Passenger Liability Cover",".")</f>
        <v>.</v>
      </c>
      <c r="G57" s="75"/>
      <c r="H57" s="189"/>
      <c r="I57" s="187"/>
      <c r="J57" s="187"/>
      <c r="K57" s="9"/>
      <c r="L57" s="497">
        <v>0</v>
      </c>
      <c r="M57" s="186">
        <f>IF(AND($C$2="Yes",L57=1),N57,IF(AND(M8=Administration!C10,H9=Administration!C23),2000,0)*U2*R15)*N3</f>
        <v>0</v>
      </c>
      <c r="N57" s="689">
        <v>0</v>
      </c>
      <c r="O57" s="519">
        <f>IF(AND(M8=Administration!C7,H9=Administration!C20),1,0)</f>
        <v>0</v>
      </c>
      <c r="P57" s="519"/>
      <c r="Q57" s="519">
        <f>IF(AND(M8=Administration!C8,H9=Administration!C20),1,0)</f>
        <v>0</v>
      </c>
      <c r="R57" s="520">
        <f>Q56+Q57+O57</f>
        <v>0</v>
      </c>
      <c r="S57" s="520"/>
      <c r="T57" s="519">
        <f>IF(AND(M8=Administration!C12,H9=Administration!C20),1,0)</f>
        <v>0</v>
      </c>
      <c r="U57" s="517">
        <f>IF(O57+Q57=1,1,0)</f>
        <v>0</v>
      </c>
      <c r="V57" s="517"/>
      <c r="W57" s="518">
        <f>IF(AND(M8=Administration!C9,H9=Administration!C20),1,0)</f>
        <v>0</v>
      </c>
      <c r="X57" s="544"/>
      <c r="Y57" s="544"/>
      <c r="Z57" s="544"/>
      <c r="AA57" s="544"/>
      <c r="AB57" s="518"/>
      <c r="AC57" s="518"/>
      <c r="AD57" s="518"/>
      <c r="AE57" s="518"/>
      <c r="AF57" s="518"/>
      <c r="AG57" s="518"/>
      <c r="AH57" s="518"/>
      <c r="AI57" s="518"/>
      <c r="AK57" s="141"/>
      <c r="AL57" s="141"/>
      <c r="AN57" s="141"/>
      <c r="AO57" s="141"/>
      <c r="AP57" s="141"/>
      <c r="AQ57" s="141"/>
      <c r="AR57" s="141"/>
      <c r="AS57" s="141"/>
      <c r="AT57" s="141"/>
      <c r="AU57" s="535">
        <f t="shared" ca="1" si="4"/>
        <v>2019</v>
      </c>
      <c r="AV57" s="141"/>
      <c r="AW57" s="141"/>
      <c r="AX57" s="678"/>
      <c r="AY57" s="141"/>
      <c r="AZ57" s="141"/>
    </row>
    <row r="58" spans="2:52" s="142" customFormat="1" ht="20.25" hidden="1" customHeight="1" thickBot="1" x14ac:dyDescent="0.3">
      <c r="B58" s="118"/>
      <c r="C58" s="530">
        <v>0</v>
      </c>
      <c r="D58" s="6"/>
      <c r="E58" s="342" t="s">
        <v>9</v>
      </c>
      <c r="F58" s="879"/>
      <c r="G58" s="879"/>
      <c r="H58" s="306" t="str">
        <f>IF(AND(C58=1,F58=""),"Enter Name of Cover","Additional Cover 1")</f>
        <v>Additional Cover 1</v>
      </c>
      <c r="I58" s="187"/>
      <c r="J58" s="187"/>
      <c r="K58" s="9"/>
      <c r="L58" s="497">
        <v>0</v>
      </c>
      <c r="M58" s="190">
        <f>IF(AND(C58=1,F58&lt;&gt;""),N58,0)</f>
        <v>0</v>
      </c>
      <c r="N58" s="531">
        <v>0</v>
      </c>
      <c r="O58" s="304">
        <f>IF(AND(C58=1,N58&lt;&gt;0,F58&lt;&gt;""),1,0)</f>
        <v>0</v>
      </c>
      <c r="P58" s="304"/>
      <c r="Q58" s="304"/>
      <c r="R58" s="245"/>
      <c r="S58" s="481"/>
      <c r="T58" s="480"/>
      <c r="U58" s="478"/>
      <c r="V58" s="478"/>
      <c r="W58" s="139"/>
      <c r="X58" s="139"/>
      <c r="Y58" s="139"/>
      <c r="Z58" s="139"/>
      <c r="AA58" s="139"/>
      <c r="AB58" s="139"/>
      <c r="AC58" s="139"/>
      <c r="AD58" s="479"/>
      <c r="AE58" s="479"/>
      <c r="AF58" s="479"/>
      <c r="AG58" s="479"/>
      <c r="AH58" s="479"/>
      <c r="AI58" s="479"/>
      <c r="AJ58" s="139"/>
      <c r="AK58" s="479"/>
      <c r="AL58" s="479"/>
      <c r="AM58" s="139"/>
      <c r="AN58" s="479"/>
      <c r="AO58" s="479"/>
      <c r="AP58" s="141"/>
      <c r="AQ58" s="141"/>
      <c r="AR58" s="141"/>
      <c r="AS58" s="141"/>
      <c r="AT58" s="141"/>
      <c r="AU58" s="535">
        <f t="shared" ca="1" si="4"/>
        <v>2020</v>
      </c>
      <c r="AV58" s="141"/>
      <c r="AW58" s="141"/>
      <c r="AX58" s="678"/>
      <c r="AY58" s="141"/>
      <c r="AZ58" s="141"/>
    </row>
    <row r="59" spans="2:52" s="142" customFormat="1" ht="17.25" hidden="1" customHeight="1" thickBot="1" x14ac:dyDescent="0.3">
      <c r="B59" s="118"/>
      <c r="C59" s="530">
        <v>0</v>
      </c>
      <c r="D59" s="6"/>
      <c r="E59" s="342" t="s">
        <v>9</v>
      </c>
      <c r="F59" s="879"/>
      <c r="G59" s="879"/>
      <c r="H59" s="306" t="str">
        <f>IF(AND(C59=1,F59=""),"Enter Name of Cover","Additional Cover 2")</f>
        <v>Additional Cover 2</v>
      </c>
      <c r="I59" s="187"/>
      <c r="J59" s="187"/>
      <c r="K59" s="9"/>
      <c r="L59" s="497">
        <v>0</v>
      </c>
      <c r="M59" s="190">
        <f>IF(AND(C59=1,F59&lt;&gt;""),N59,0)</f>
        <v>0</v>
      </c>
      <c r="N59" s="531">
        <v>0</v>
      </c>
      <c r="O59" s="304">
        <f>IF(AND(C59=1,N59&lt;&gt;0,F59&lt;&gt;""),1,0)</f>
        <v>0</v>
      </c>
      <c r="P59" s="304"/>
      <c r="Q59" s="304"/>
      <c r="R59" s="245"/>
      <c r="S59" s="481"/>
      <c r="T59" s="480"/>
      <c r="U59" s="478"/>
      <c r="V59" s="478"/>
      <c r="W59" s="139"/>
      <c r="X59" s="139"/>
      <c r="Y59" s="139"/>
      <c r="Z59" s="139"/>
      <c r="AA59" s="139"/>
      <c r="AB59" s="139"/>
      <c r="AC59" s="139"/>
      <c r="AD59" s="479"/>
      <c r="AE59" s="479"/>
      <c r="AF59" s="479"/>
      <c r="AG59" s="479"/>
      <c r="AH59" s="479"/>
      <c r="AI59" s="479"/>
      <c r="AJ59" s="139"/>
      <c r="AK59" s="479"/>
      <c r="AL59" s="479"/>
      <c r="AM59" s="139"/>
      <c r="AN59" s="479"/>
      <c r="AO59" s="479"/>
      <c r="AP59" s="141"/>
      <c r="AQ59" s="141"/>
      <c r="AR59" s="141"/>
      <c r="AS59" s="141"/>
      <c r="AT59" s="141"/>
      <c r="AU59" s="535">
        <f t="shared" ca="1" si="4"/>
        <v>2021</v>
      </c>
      <c r="AV59" s="141"/>
      <c r="AW59" s="141"/>
      <c r="AX59" s="678"/>
      <c r="AY59" s="141"/>
      <c r="AZ59" s="141"/>
    </row>
    <row r="60" spans="2:52" s="142" customFormat="1" ht="18" hidden="1" customHeight="1" thickBot="1" x14ac:dyDescent="0.3">
      <c r="B60" s="118"/>
      <c r="C60" s="530">
        <v>0</v>
      </c>
      <c r="D60" s="445"/>
      <c r="E60" s="446" t="s">
        <v>9</v>
      </c>
      <c r="F60" s="447" t="s">
        <v>168</v>
      </c>
      <c r="G60" s="447"/>
      <c r="H60" s="448"/>
      <c r="I60" s="449"/>
      <c r="J60" s="449"/>
      <c r="K60" s="450"/>
      <c r="L60" s="451"/>
      <c r="M60" s="190">
        <f>IF(AND(Working!H8="Three Wheeler",Working!B12="Above 5 yrs",Rates!D81="Yes",C60=1,N60&gt;Rates!F81,H13&lt;2009),N60,IF(AND(Working!H8="Three Wheeler",Working!B12="Above 5 yrs",Rates!D81="Yes",H13&lt;2009),Rates!F81,IF(C60=1,N60,0)))</f>
        <v>0</v>
      </c>
      <c r="N60" s="531">
        <v>0</v>
      </c>
      <c r="P60" s="304"/>
      <c r="Q60" s="304"/>
      <c r="R60" s="245"/>
      <c r="S60" s="481"/>
      <c r="T60" s="480"/>
      <c r="U60" s="478"/>
      <c r="V60" s="478"/>
      <c r="W60" s="139"/>
      <c r="X60" s="139"/>
      <c r="Y60" s="139"/>
      <c r="Z60" s="139"/>
      <c r="AA60" s="139"/>
      <c r="AB60" s="139"/>
      <c r="AC60" s="139"/>
      <c r="AD60" s="479"/>
      <c r="AE60" s="479"/>
      <c r="AF60" s="479"/>
      <c r="AG60" s="479"/>
      <c r="AH60" s="479"/>
      <c r="AI60" s="479"/>
      <c r="AJ60" s="139"/>
      <c r="AK60" s="479"/>
      <c r="AL60" s="479"/>
      <c r="AM60" s="139"/>
      <c r="AN60" s="479"/>
      <c r="AO60" s="479"/>
      <c r="AP60" s="141"/>
      <c r="AQ60" s="141"/>
      <c r="AR60" s="141"/>
      <c r="AS60" s="141"/>
      <c r="AT60" s="141"/>
      <c r="AU60" s="535">
        <f t="shared" ca="1" si="4"/>
        <v>2022</v>
      </c>
      <c r="AV60" s="141"/>
      <c r="AW60" s="141"/>
      <c r="AX60" s="678"/>
      <c r="AY60" s="141"/>
      <c r="AZ60" s="141"/>
    </row>
    <row r="61" spans="2:52" s="142" customFormat="1" ht="19.5" customHeight="1" x14ac:dyDescent="0.25">
      <c r="B61" s="118"/>
      <c r="C61" s="136"/>
      <c r="D61" s="6"/>
      <c r="E61" s="873"/>
      <c r="F61" s="874"/>
      <c r="G61" s="9"/>
      <c r="H61" s="73" t="s">
        <v>10</v>
      </c>
      <c r="I61" s="294"/>
      <c r="J61" s="73"/>
      <c r="K61" s="768">
        <f ca="1">M61*K62%</f>
        <v>274.43946875000006</v>
      </c>
      <c r="L61" s="184"/>
      <c r="M61" s="437">
        <f ca="1">SUM(M38:M60)*C69*U2</f>
        <v>10977.578750000002</v>
      </c>
      <c r="N61" s="206"/>
      <c r="O61" s="305">
        <f ca="1">M61-M40-M42-M41-M43</f>
        <v>8790.0787500000024</v>
      </c>
      <c r="P61" s="305"/>
      <c r="Q61" s="233">
        <f>IF(Rates!D45="Yes",0,1)</f>
        <v>1</v>
      </c>
      <c r="R61" s="230">
        <f>IF(AND(Rates!D43="Yes",B56="Yes"),1,0)</f>
        <v>0</v>
      </c>
      <c r="S61" s="478"/>
      <c r="T61" s="478"/>
      <c r="U61" s="478"/>
      <c r="V61" s="478"/>
      <c r="W61" s="139"/>
      <c r="X61" s="139"/>
      <c r="Y61" s="139"/>
      <c r="Z61" s="139"/>
      <c r="AA61" s="139"/>
      <c r="AB61" s="139"/>
      <c r="AC61" s="139"/>
      <c r="AD61" s="479"/>
      <c r="AE61" s="479"/>
      <c r="AF61" s="479"/>
      <c r="AG61" s="479"/>
      <c r="AH61" s="479"/>
      <c r="AI61" s="479"/>
      <c r="AJ61" s="139"/>
      <c r="AK61" s="479"/>
      <c r="AL61" s="479"/>
      <c r="AM61" s="139"/>
      <c r="AN61" s="479"/>
      <c r="AO61" s="479"/>
      <c r="AP61" s="141"/>
      <c r="AQ61" s="141"/>
      <c r="AR61" s="141"/>
      <c r="AS61" s="141"/>
      <c r="AT61" s="141"/>
      <c r="AU61" s="535">
        <f t="shared" ca="1" si="4"/>
        <v>2023</v>
      </c>
      <c r="AV61" s="141"/>
      <c r="AW61" s="141"/>
      <c r="AX61" s="678"/>
      <c r="AY61" s="141"/>
      <c r="AZ61" s="141"/>
    </row>
    <row r="62" spans="2:52" s="142" customFormat="1" ht="15.75" customHeight="1" x14ac:dyDescent="0.25">
      <c r="B62" s="118"/>
      <c r="C62" s="136"/>
      <c r="D62" s="6"/>
      <c r="E62" s="873"/>
      <c r="F62" s="874"/>
      <c r="G62" s="9"/>
      <c r="H62" s="74" t="s">
        <v>133</v>
      </c>
      <c r="I62" s="294"/>
      <c r="J62" s="74"/>
      <c r="K62" s="78">
        <f>Rates!D19</f>
        <v>2.5</v>
      </c>
      <c r="L62" s="185" t="s">
        <v>55</v>
      </c>
      <c r="M62" s="256">
        <f ca="1">IF(((M61*K62%)+250)&lt;750,750,(M61*K62)+250)</f>
        <v>750</v>
      </c>
      <c r="N62" s="207"/>
      <c r="Q62" s="233"/>
      <c r="R62" s="230"/>
      <c r="S62" s="230"/>
      <c r="T62" s="230"/>
      <c r="U62" s="241">
        <f>O57+Q57+W57</f>
        <v>0</v>
      </c>
      <c r="V62" s="241"/>
      <c r="AD62" s="141"/>
      <c r="AE62" s="141"/>
      <c r="AF62" s="141"/>
      <c r="AG62" s="141"/>
      <c r="AH62" s="141"/>
      <c r="AI62" s="141"/>
      <c r="AK62" s="141"/>
      <c r="AL62" s="141"/>
      <c r="AM62" s="218"/>
      <c r="AN62" s="141"/>
      <c r="AO62" s="141"/>
      <c r="AP62" s="141"/>
      <c r="AQ62" s="141"/>
      <c r="AR62" s="141"/>
      <c r="AS62" s="141"/>
      <c r="AT62" s="141"/>
      <c r="AU62" s="535">
        <f t="shared" ca="1" si="4"/>
        <v>2024</v>
      </c>
      <c r="AV62" s="141"/>
      <c r="AW62" s="141"/>
      <c r="AX62" s="678"/>
      <c r="AY62" s="141"/>
      <c r="AZ62" s="141"/>
    </row>
    <row r="63" spans="2:52" s="142" customFormat="1" ht="21" hidden="1" customHeight="1" x14ac:dyDescent="0.25">
      <c r="B63" s="118"/>
      <c r="C63" s="136"/>
      <c r="D63" s="6"/>
      <c r="E63" s="873"/>
      <c r="F63" s="874"/>
      <c r="G63" s="9"/>
      <c r="H63" s="11"/>
      <c r="I63" s="294"/>
      <c r="J63" s="11"/>
      <c r="K63" s="9"/>
      <c r="L63" s="184"/>
      <c r="M63" s="186"/>
      <c r="N63" s="207"/>
      <c r="O63" s="228"/>
      <c r="P63" s="228"/>
      <c r="Q63" s="233"/>
      <c r="R63" s="230"/>
      <c r="S63" s="230"/>
      <c r="T63" s="230"/>
      <c r="U63" s="230"/>
      <c r="V63" s="230"/>
      <c r="AD63" s="141"/>
      <c r="AE63" s="141"/>
      <c r="AF63" s="141"/>
      <c r="AG63" s="141"/>
      <c r="AH63" s="141"/>
      <c r="AI63" s="141"/>
      <c r="AK63" s="141"/>
      <c r="AL63" s="141"/>
      <c r="AM63" s="218"/>
      <c r="AN63" s="141"/>
      <c r="AO63" s="141"/>
      <c r="AP63" s="141"/>
      <c r="AQ63" s="141"/>
      <c r="AR63" s="141"/>
      <c r="AS63" s="141"/>
      <c r="AT63" s="141"/>
      <c r="AU63" s="535" t="str">
        <f t="shared" ca="1" si="4"/>
        <v/>
      </c>
      <c r="AV63" s="141"/>
      <c r="AW63" s="141"/>
      <c r="AX63" s="678"/>
      <c r="AY63" s="141"/>
      <c r="AZ63" s="141"/>
    </row>
    <row r="64" spans="2:52" s="142" customFormat="1" ht="15.75" customHeight="1" x14ac:dyDescent="0.25">
      <c r="B64" s="118"/>
      <c r="C64" s="136"/>
      <c r="D64" s="6"/>
      <c r="E64" s="873"/>
      <c r="F64" s="874"/>
      <c r="G64" s="9"/>
      <c r="H64" s="74" t="s">
        <v>552</v>
      </c>
      <c r="I64" s="294"/>
      <c r="J64" s="74"/>
      <c r="K64" s="767">
        <v>2.5</v>
      </c>
      <c r="L64" s="185" t="s">
        <v>55</v>
      </c>
      <c r="M64" s="186">
        <f ca="1">M61*K64%</f>
        <v>274.43946875000006</v>
      </c>
      <c r="N64" s="207"/>
      <c r="O64" s="228"/>
      <c r="P64" s="228"/>
      <c r="Q64" s="233"/>
      <c r="R64" s="617">
        <v>1</v>
      </c>
      <c r="S64" s="230"/>
      <c r="T64" s="230"/>
      <c r="U64" s="230"/>
      <c r="V64" s="230"/>
      <c r="AD64" s="141"/>
      <c r="AE64" s="141"/>
      <c r="AF64" s="141"/>
      <c r="AG64" s="141"/>
      <c r="AH64" s="141"/>
      <c r="AI64" s="141"/>
      <c r="AK64" s="141"/>
      <c r="AL64" s="141"/>
      <c r="AM64" s="218"/>
      <c r="AN64" s="141"/>
      <c r="AO64" s="141"/>
      <c r="AP64" s="141"/>
      <c r="AQ64" s="141"/>
      <c r="AR64" s="141"/>
      <c r="AS64" s="141"/>
      <c r="AT64" s="141"/>
      <c r="AU64" s="535" t="str">
        <f t="shared" ca="1" si="4"/>
        <v/>
      </c>
      <c r="AV64" s="141"/>
      <c r="AW64" s="141"/>
      <c r="AX64" s="678"/>
      <c r="AY64" s="141"/>
      <c r="AZ64" s="141"/>
    </row>
    <row r="65" spans="1:52" s="142" customFormat="1" ht="15.6" thickBot="1" x14ac:dyDescent="0.3">
      <c r="B65" s="118"/>
      <c r="C65" s="136"/>
      <c r="D65" s="6"/>
      <c r="E65" s="873"/>
      <c r="F65" s="874"/>
      <c r="G65" s="9"/>
      <c r="H65" s="74" t="s">
        <v>1</v>
      </c>
      <c r="I65" s="294"/>
      <c r="J65" s="74"/>
      <c r="K65" s="78">
        <f>Rates!D21</f>
        <v>15</v>
      </c>
      <c r="L65" s="185" t="s">
        <v>55</v>
      </c>
      <c r="M65" s="186">
        <f ca="1">SUM(M61:M64)*Rates!D21%</f>
        <v>1800.3027328125004</v>
      </c>
      <c r="N65" s="207"/>
      <c r="O65" s="228"/>
      <c r="P65" s="228"/>
      <c r="Q65" s="142">
        <f>IF(AND(M8=Administration!C10,H9=Administration!C23),0,1)</f>
        <v>1</v>
      </c>
      <c r="R65" s="245"/>
      <c r="S65" s="245"/>
      <c r="W65" s="472"/>
      <c r="AD65" s="141"/>
      <c r="AE65" s="141"/>
      <c r="AF65" s="141"/>
      <c r="AG65" s="141"/>
      <c r="AH65" s="141"/>
      <c r="AI65" s="141"/>
      <c r="AK65" s="141"/>
      <c r="AL65" s="141"/>
      <c r="AM65" s="218"/>
      <c r="AN65" s="141"/>
      <c r="AO65" s="141"/>
      <c r="AP65" s="141"/>
      <c r="AQ65" s="141"/>
      <c r="AR65" s="141"/>
      <c r="AS65" s="141"/>
      <c r="AT65" s="141"/>
      <c r="AU65" s="535" t="str">
        <f t="shared" ca="1" si="4"/>
        <v/>
      </c>
      <c r="AV65" s="141"/>
      <c r="AW65" s="141"/>
      <c r="AX65" s="678"/>
      <c r="AY65" s="141"/>
      <c r="AZ65" s="141"/>
    </row>
    <row r="66" spans="1:52" s="142" customFormat="1" ht="25.5" customHeight="1" thickTop="1" thickBot="1" x14ac:dyDescent="0.35">
      <c r="B66" s="118"/>
      <c r="C66" s="307">
        <f>Administration!I3</f>
        <v>45413</v>
      </c>
      <c r="D66" s="6"/>
      <c r="E66" s="875"/>
      <c r="F66" s="876"/>
      <c r="G66" s="9"/>
      <c r="H66" s="73" t="s">
        <v>379</v>
      </c>
      <c r="I66" s="294"/>
      <c r="J66" s="73"/>
      <c r="K66" s="9"/>
      <c r="L66" s="184"/>
      <c r="M66" s="114">
        <f ca="1">SUM(M61:M65)*C69*U2</f>
        <v>13802.320951562504</v>
      </c>
      <c r="N66" s="89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892"/>
      <c r="P66" s="296"/>
      <c r="Q66" s="137"/>
      <c r="AD66" s="141"/>
      <c r="AE66" s="141"/>
      <c r="AF66" s="141"/>
      <c r="AG66" s="141"/>
      <c r="AH66" s="141"/>
      <c r="AI66" s="141"/>
      <c r="AK66" s="141"/>
      <c r="AL66" s="141"/>
      <c r="AM66" s="218"/>
      <c r="AN66" s="141"/>
      <c r="AO66" s="141"/>
      <c r="AP66" s="141"/>
      <c r="AQ66" s="141"/>
      <c r="AR66" s="141"/>
      <c r="AS66" s="141"/>
      <c r="AT66" s="141"/>
      <c r="AU66" s="535" t="str">
        <f t="shared" ca="1" si="4"/>
        <v/>
      </c>
      <c r="AV66" s="141"/>
      <c r="AW66" s="141"/>
      <c r="AX66" s="678"/>
      <c r="AY66" s="141"/>
      <c r="AZ66" s="141"/>
    </row>
    <row r="67" spans="1:52" s="142" customFormat="1" ht="12.75" hidden="1" customHeight="1" x14ac:dyDescent="0.25">
      <c r="B67" s="118"/>
      <c r="C67" s="137"/>
      <c r="D67" s="6"/>
      <c r="E67" s="12"/>
      <c r="F67" s="12"/>
      <c r="G67" s="12"/>
      <c r="H67" s="12"/>
      <c r="I67" s="12"/>
      <c r="J67" s="12"/>
      <c r="K67" s="12"/>
      <c r="L67" s="12"/>
      <c r="M67" s="13"/>
      <c r="N67" s="209"/>
      <c r="O67" s="210"/>
      <c r="P67" s="225"/>
      <c r="AD67" s="141"/>
      <c r="AE67" s="141"/>
      <c r="AF67" s="141"/>
      <c r="AG67" s="141"/>
      <c r="AH67" s="141"/>
      <c r="AI67" s="141"/>
      <c r="AK67" s="141"/>
      <c r="AL67" s="141"/>
      <c r="AM67" s="218"/>
      <c r="AN67" s="141"/>
      <c r="AO67" s="141"/>
      <c r="AP67" s="141"/>
      <c r="AQ67" s="141"/>
      <c r="AR67" s="141"/>
      <c r="AS67" s="141"/>
      <c r="AT67" s="141"/>
      <c r="AU67" s="535" t="str">
        <f t="shared" ca="1" si="4"/>
        <v/>
      </c>
      <c r="AV67" s="141"/>
      <c r="AW67" s="141"/>
      <c r="AX67" s="678"/>
      <c r="AY67" s="141"/>
      <c r="AZ67" s="141"/>
    </row>
    <row r="68" spans="1:52" s="142" customFormat="1" ht="12.75" hidden="1" customHeight="1" x14ac:dyDescent="0.25">
      <c r="B68" s="118"/>
      <c r="C68" s="137"/>
      <c r="D68" s="6"/>
      <c r="E68" s="12"/>
      <c r="F68" s="12"/>
      <c r="G68" s="12"/>
      <c r="H68" s="12"/>
      <c r="I68" s="12"/>
      <c r="J68" s="12"/>
      <c r="K68" s="12"/>
      <c r="L68" s="12"/>
      <c r="M68" s="13"/>
      <c r="N68" s="211"/>
      <c r="O68" s="102"/>
      <c r="P68" s="224"/>
      <c r="AD68" s="141"/>
      <c r="AE68" s="141"/>
      <c r="AF68" s="141"/>
      <c r="AG68" s="141"/>
      <c r="AH68" s="141"/>
      <c r="AI68" s="141"/>
      <c r="AK68" s="141"/>
      <c r="AL68" s="141"/>
      <c r="AM68" s="218"/>
      <c r="AN68" s="141"/>
      <c r="AO68" s="141"/>
      <c r="AP68" s="141"/>
      <c r="AQ68" s="141"/>
      <c r="AR68" s="141"/>
      <c r="AS68" s="141"/>
      <c r="AT68" s="141"/>
      <c r="AU68" s="535" t="str">
        <f t="shared" ca="1" si="4"/>
        <v/>
      </c>
      <c r="AV68" s="141"/>
      <c r="AW68" s="141"/>
      <c r="AX68" s="678"/>
      <c r="AY68" s="141"/>
      <c r="AZ68" s="141"/>
    </row>
    <row r="69" spans="1:52" s="142" customFormat="1" ht="15.75" customHeight="1" thickTop="1" x14ac:dyDescent="0.4">
      <c r="B69" s="118"/>
      <c r="C69" s="137">
        <f ca="1">IF(C66&gt;F69,1,0)</f>
        <v>1</v>
      </c>
      <c r="D69" s="6"/>
      <c r="E69" s="12"/>
      <c r="F69" s="180">
        <f ca="1">TODAY()</f>
        <v>45348</v>
      </c>
      <c r="G69" s="180"/>
      <c r="H69" s="12"/>
      <c r="I69" s="12"/>
      <c r="J69" s="12"/>
      <c r="K69" s="12"/>
      <c r="L69" s="12"/>
      <c r="M69" s="887"/>
      <c r="N69" s="690"/>
      <c r="O69" s="213"/>
      <c r="P69" s="246"/>
      <c r="Q69" s="137"/>
      <c r="AD69" s="141"/>
      <c r="AE69" s="141"/>
      <c r="AF69" s="141"/>
      <c r="AG69" s="141"/>
      <c r="AH69" s="141"/>
      <c r="AI69" s="141"/>
      <c r="AK69" s="141"/>
      <c r="AL69" s="141"/>
      <c r="AM69" s="218"/>
      <c r="AN69" s="141"/>
      <c r="AO69" s="141"/>
      <c r="AP69" s="141"/>
      <c r="AQ69" s="141"/>
      <c r="AR69" s="141"/>
      <c r="AS69" s="141"/>
      <c r="AT69" s="141"/>
      <c r="AU69" s="535" t="str">
        <f t="shared" ca="1" si="4"/>
        <v/>
      </c>
      <c r="AV69" s="141"/>
      <c r="AW69" s="141"/>
      <c r="AX69" s="678"/>
      <c r="AY69" s="141"/>
      <c r="AZ69" s="141"/>
    </row>
    <row r="70" spans="1:52" s="142" customFormat="1" ht="6.75" customHeight="1" x14ac:dyDescent="0.4">
      <c r="B70" s="118"/>
      <c r="C70" s="136"/>
      <c r="D70" s="6"/>
      <c r="E70" s="14"/>
      <c r="F70" s="877" t="str">
        <f>IF(O70=1,"Hiring",IF(O70=3,"Rent A Vehicle",IF(O70=0,"Private")))</f>
        <v>Private</v>
      </c>
      <c r="G70" s="877"/>
      <c r="H70" s="877"/>
      <c r="I70" s="14"/>
      <c r="J70" s="14"/>
      <c r="K70" s="14"/>
      <c r="L70" s="14"/>
      <c r="M70" s="887"/>
      <c r="N70" s="690"/>
      <c r="O70" s="228">
        <f>Q45+Q44</f>
        <v>0</v>
      </c>
      <c r="P70" s="228"/>
      <c r="Q70" s="142" t="s">
        <v>40</v>
      </c>
      <c r="R70" s="142" t="s">
        <v>7</v>
      </c>
      <c r="T70" s="142" t="s">
        <v>44</v>
      </c>
      <c r="AD70" s="141"/>
      <c r="AE70" s="141"/>
      <c r="AF70" s="141"/>
      <c r="AG70" s="141"/>
      <c r="AH70" s="141"/>
      <c r="AI70" s="141"/>
      <c r="AK70" s="141"/>
      <c r="AL70" s="141"/>
      <c r="AM70" s="218"/>
      <c r="AN70" s="141"/>
      <c r="AO70" s="141"/>
      <c r="AP70" s="141"/>
      <c r="AQ70" s="141"/>
      <c r="AR70" s="141"/>
      <c r="AS70" s="141"/>
      <c r="AT70" s="141"/>
      <c r="AU70" s="535" t="str">
        <f t="shared" ca="1" si="4"/>
        <v/>
      </c>
      <c r="AV70" s="141"/>
      <c r="AW70" s="141"/>
      <c r="AX70" s="678"/>
      <c r="AY70" s="141"/>
      <c r="AZ70" s="141"/>
    </row>
    <row r="71" spans="1:52" s="142" customFormat="1" ht="13.5" customHeight="1" thickBot="1" x14ac:dyDescent="0.3">
      <c r="B71" s="118"/>
      <c r="C71" s="136"/>
      <c r="D71" s="181"/>
      <c r="E71" s="182"/>
      <c r="F71" s="878"/>
      <c r="G71" s="878"/>
      <c r="H71" s="878"/>
      <c r="I71" s="182"/>
      <c r="J71" s="182"/>
      <c r="K71" s="182"/>
      <c r="L71" s="182"/>
      <c r="M71" s="183"/>
      <c r="N71" s="212"/>
      <c r="O71" s="205"/>
      <c r="P71" s="224"/>
      <c r="AD71" s="141"/>
      <c r="AE71" s="141"/>
      <c r="AF71" s="141"/>
      <c r="AG71" s="141"/>
      <c r="AH71" s="141"/>
      <c r="AI71" s="141"/>
      <c r="AK71" s="141"/>
      <c r="AL71" s="141"/>
      <c r="AM71" s="218"/>
      <c r="AN71" s="141"/>
      <c r="AO71" s="141"/>
      <c r="AP71" s="141"/>
      <c r="AQ71" s="141"/>
      <c r="AR71" s="141"/>
      <c r="AS71" s="141"/>
      <c r="AT71" s="141"/>
      <c r="AU71" s="535" t="str">
        <f t="shared" ca="1" si="4"/>
        <v/>
      </c>
      <c r="AV71" s="141"/>
      <c r="AW71" s="141"/>
      <c r="AX71" s="678"/>
      <c r="AY71" s="141"/>
      <c r="AZ71" s="141"/>
    </row>
    <row r="72" spans="1:52" s="138" customFormat="1" ht="14.4" hidden="1" thickTop="1" x14ac:dyDescent="0.25">
      <c r="A72" s="218"/>
      <c r="B72" s="222"/>
      <c r="C72" s="218"/>
      <c r="D72" s="297" t="s">
        <v>14</v>
      </c>
      <c r="E72" s="218"/>
      <c r="F72" s="221"/>
      <c r="G72" s="221"/>
      <c r="H72" s="221"/>
      <c r="I72" s="221"/>
      <c r="J72" s="221"/>
      <c r="K72" s="221"/>
      <c r="L72" s="218"/>
      <c r="M72" s="218"/>
      <c r="N72" s="139"/>
      <c r="O72" s="205"/>
      <c r="P72" s="224"/>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8"/>
      <c r="AN72" s="141"/>
      <c r="AO72" s="141"/>
      <c r="AP72" s="141"/>
      <c r="AQ72" s="141"/>
      <c r="AR72" s="141"/>
      <c r="AS72" s="141"/>
      <c r="AT72" s="141"/>
      <c r="AU72" s="535" t="str">
        <f t="shared" ca="1" si="4"/>
        <v/>
      </c>
      <c r="AV72" s="141"/>
      <c r="AW72" s="141"/>
      <c r="AX72" s="678"/>
      <c r="AY72" s="141"/>
      <c r="AZ72" s="141"/>
    </row>
    <row r="73" spans="1:52" s="138" customFormat="1" ht="22.5" hidden="1" customHeight="1" x14ac:dyDescent="0.25">
      <c r="A73" s="218"/>
      <c r="B73" s="223"/>
      <c r="C73" s="218"/>
      <c r="D73" s="142"/>
      <c r="E73" s="142"/>
      <c r="F73" s="142"/>
      <c r="G73" s="142"/>
      <c r="H73" s="142"/>
      <c r="I73" s="142"/>
      <c r="J73" s="142"/>
      <c r="K73" s="142"/>
      <c r="L73" s="142"/>
      <c r="M73" s="535"/>
      <c r="N73" s="535"/>
      <c r="O73" s="535"/>
      <c r="P73" s="535"/>
      <c r="Q73" s="535"/>
      <c r="R73" s="535"/>
      <c r="S73" s="535"/>
      <c r="T73" s="535"/>
      <c r="U73" s="142"/>
      <c r="V73" s="142"/>
      <c r="W73" s="142"/>
      <c r="X73" s="142"/>
      <c r="Y73" s="142"/>
      <c r="Z73" s="142"/>
      <c r="AA73" s="142"/>
      <c r="AB73" s="142"/>
      <c r="AC73" s="142"/>
      <c r="AD73" s="141"/>
      <c r="AE73" s="141"/>
      <c r="AF73" s="141"/>
      <c r="AG73" s="141"/>
      <c r="AH73" s="141"/>
      <c r="AI73" s="141"/>
      <c r="AJ73" s="142"/>
      <c r="AK73" s="141"/>
      <c r="AL73" s="141"/>
      <c r="AM73" s="218"/>
      <c r="AN73" s="141"/>
      <c r="AO73" s="141"/>
      <c r="AP73" s="141"/>
      <c r="AQ73" s="141"/>
      <c r="AR73" s="141"/>
      <c r="AS73" s="141"/>
      <c r="AT73" s="141"/>
      <c r="AU73" s="535" t="str">
        <f t="shared" ca="1" si="4"/>
        <v/>
      </c>
      <c r="AV73" s="141"/>
      <c r="AW73" s="141"/>
      <c r="AY73" s="141"/>
      <c r="AZ73" s="141"/>
    </row>
    <row r="74" spans="1:52" s="138" customFormat="1" hidden="1" x14ac:dyDescent="0.25">
      <c r="A74" s="218"/>
      <c r="B74" s="223"/>
      <c r="C74" s="218"/>
      <c r="D74" s="142" t="s">
        <v>77</v>
      </c>
      <c r="E74" s="142" t="s">
        <v>77</v>
      </c>
      <c r="F74" s="142"/>
      <c r="G74" s="142"/>
      <c r="H74" s="142"/>
      <c r="I74" s="142"/>
      <c r="J74" s="142"/>
      <c r="K74" s="142"/>
      <c r="L74" s="142"/>
      <c r="M74" s="535"/>
      <c r="N74" s="535"/>
      <c r="O74" s="535"/>
      <c r="P74" s="535"/>
      <c r="Q74" s="535"/>
      <c r="R74" s="535"/>
      <c r="S74" s="535"/>
      <c r="T74" s="535"/>
      <c r="U74" s="142"/>
      <c r="V74" s="142"/>
      <c r="W74" s="142"/>
      <c r="X74" s="142"/>
      <c r="Y74" s="142"/>
      <c r="Z74" s="142"/>
      <c r="AA74" s="142"/>
      <c r="AB74" s="142"/>
      <c r="AC74" s="142"/>
      <c r="AD74" s="141"/>
      <c r="AE74" s="141"/>
      <c r="AF74" s="141"/>
      <c r="AG74" s="141"/>
      <c r="AH74" s="141"/>
      <c r="AI74" s="141"/>
      <c r="AJ74" s="142"/>
      <c r="AK74" s="141"/>
      <c r="AL74" s="141"/>
      <c r="AM74" s="218"/>
      <c r="AN74" s="141"/>
      <c r="AO74" s="141"/>
      <c r="AP74" s="141"/>
      <c r="AQ74" s="141"/>
      <c r="AR74" s="141"/>
      <c r="AS74" s="141"/>
      <c r="AT74" s="141"/>
      <c r="AU74" s="535" t="str">
        <f t="shared" ca="1" si="4"/>
        <v/>
      </c>
      <c r="AV74" s="141"/>
      <c r="AW74" s="141"/>
      <c r="AX74" s="484"/>
      <c r="AY74" s="141"/>
      <c r="AZ74" s="141"/>
    </row>
    <row r="75" spans="1:52" s="138" customFormat="1" hidden="1" x14ac:dyDescent="0.25">
      <c r="A75" s="218"/>
      <c r="B75" s="223"/>
      <c r="C75" s="218"/>
      <c r="D75" s="142" t="s">
        <v>113</v>
      </c>
      <c r="E75" s="142" t="s">
        <v>113</v>
      </c>
      <c r="F75" s="142"/>
      <c r="G75" s="142"/>
      <c r="H75" s="142"/>
      <c r="I75" s="142"/>
      <c r="J75" s="142"/>
      <c r="K75" s="142"/>
      <c r="L75" s="142"/>
      <c r="M75" s="535"/>
      <c r="N75" s="518"/>
      <c r="O75" s="518"/>
      <c r="P75" s="518"/>
      <c r="Q75" s="518"/>
      <c r="R75" s="518"/>
      <c r="S75" s="518"/>
      <c r="T75" s="518"/>
      <c r="U75" s="142"/>
      <c r="V75" s="142"/>
      <c r="W75" s="142"/>
      <c r="X75" s="142"/>
      <c r="Y75" s="142"/>
      <c r="Z75" s="142"/>
      <c r="AA75" s="142"/>
      <c r="AB75" s="142"/>
      <c r="AC75" s="142"/>
      <c r="AD75" s="141"/>
      <c r="AE75" s="141"/>
      <c r="AF75" s="141"/>
      <c r="AG75" s="141"/>
      <c r="AH75" s="141"/>
      <c r="AI75" s="141"/>
      <c r="AJ75" s="142"/>
      <c r="AK75" s="141"/>
      <c r="AL75" s="141"/>
      <c r="AM75" s="218"/>
      <c r="AN75" s="141"/>
      <c r="AO75" s="141"/>
      <c r="AP75" s="141"/>
      <c r="AQ75" s="141"/>
      <c r="AR75" s="141"/>
      <c r="AS75" s="141"/>
      <c r="AT75" s="141"/>
      <c r="AU75" s="535" t="str">
        <f t="shared" ca="1" si="4"/>
        <v/>
      </c>
      <c r="AV75" s="141"/>
      <c r="AW75" s="141"/>
      <c r="AX75" s="484"/>
      <c r="AY75" s="141"/>
      <c r="AZ75" s="141"/>
    </row>
    <row r="76" spans="1:52" s="138" customFormat="1" hidden="1" x14ac:dyDescent="0.25">
      <c r="A76" s="218"/>
      <c r="B76" s="223"/>
      <c r="C76" s="218"/>
      <c r="D76" s="142">
        <v>1</v>
      </c>
      <c r="E76" s="142"/>
      <c r="F76" s="142"/>
      <c r="G76" s="142"/>
      <c r="H76" s="142"/>
      <c r="I76" s="142"/>
      <c r="J76" s="142"/>
      <c r="K76" s="142"/>
      <c r="L76" s="142"/>
      <c r="M76" s="535"/>
      <c r="N76" s="518"/>
      <c r="O76" s="537" t="s">
        <v>222</v>
      </c>
      <c r="P76" s="518"/>
      <c r="Q76" s="518"/>
      <c r="R76" s="518"/>
      <c r="S76" s="518"/>
      <c r="T76" s="518"/>
      <c r="U76" s="142"/>
      <c r="V76" s="142"/>
      <c r="W76" s="142"/>
      <c r="X76" s="142"/>
      <c r="Y76" s="142"/>
      <c r="Z76" s="142"/>
      <c r="AA76" s="142"/>
      <c r="AB76" s="142"/>
      <c r="AC76" s="142"/>
      <c r="AD76" s="141"/>
      <c r="AE76" s="141"/>
      <c r="AF76" s="141"/>
      <c r="AG76" s="141"/>
      <c r="AH76" s="141"/>
      <c r="AI76" s="141"/>
      <c r="AJ76" s="142"/>
      <c r="AK76" s="141"/>
      <c r="AL76" s="141"/>
      <c r="AM76" s="218"/>
      <c r="AN76" s="141"/>
      <c r="AO76" s="141"/>
      <c r="AP76" s="141"/>
      <c r="AQ76" s="141"/>
      <c r="AR76" s="141"/>
      <c r="AS76" s="141"/>
      <c r="AT76" s="141"/>
      <c r="AU76" s="535" t="str">
        <f t="shared" ca="1" si="4"/>
        <v/>
      </c>
      <c r="AV76" s="141"/>
      <c r="AW76" s="141"/>
      <c r="AX76" s="484"/>
      <c r="AY76" s="141"/>
      <c r="AZ76" s="141"/>
    </row>
    <row r="77" spans="1:52" s="138" customFormat="1" ht="25.5" hidden="1" customHeight="1" x14ac:dyDescent="0.25">
      <c r="A77" s="218"/>
      <c r="B77" s="223"/>
      <c r="C77" s="218"/>
      <c r="D77" s="142" t="s">
        <v>77</v>
      </c>
      <c r="E77" s="142" t="s">
        <v>77</v>
      </c>
      <c r="F77" s="142"/>
      <c r="G77" s="142"/>
      <c r="H77" s="142"/>
      <c r="I77" s="142"/>
      <c r="J77" s="142"/>
      <c r="K77" s="142"/>
      <c r="L77" s="142"/>
      <c r="M77" s="535"/>
      <c r="N77" s="518"/>
      <c r="O77" s="518" t="s">
        <v>223</v>
      </c>
      <c r="P77" s="518"/>
      <c r="Q77" s="518"/>
      <c r="R77" s="518">
        <f ca="1">IF(AND(Y15&gt;10,Y15&lt;15),Rates!K59,IF(AND(Y15&gt;=15,Y15&lt;20),Rates!K60,IF(Y15&lt;11,0,Working!I20)))</f>
        <v>0</v>
      </c>
      <c r="S77" s="518"/>
      <c r="T77" s="518"/>
      <c r="U77" s="142"/>
      <c r="V77" s="142"/>
      <c r="W77" s="142"/>
      <c r="X77" s="142"/>
      <c r="Y77" s="142"/>
      <c r="Z77" s="142"/>
      <c r="AA77" s="142"/>
      <c r="AB77" s="142"/>
      <c r="AC77" s="142"/>
      <c r="AD77" s="141"/>
      <c r="AE77" s="141"/>
      <c r="AF77" s="141"/>
      <c r="AG77" s="141"/>
      <c r="AH77" s="141"/>
      <c r="AI77" s="141"/>
      <c r="AJ77" s="142"/>
      <c r="AK77" s="141"/>
      <c r="AL77" s="141"/>
      <c r="AM77" s="218"/>
      <c r="AN77" s="141"/>
      <c r="AO77" s="141"/>
      <c r="AP77" s="141"/>
      <c r="AQ77" s="141"/>
      <c r="AR77" s="141"/>
      <c r="AS77" s="141"/>
      <c r="AT77" s="141"/>
      <c r="AU77" s="535" t="str">
        <f t="shared" ca="1" si="4"/>
        <v/>
      </c>
      <c r="AV77" s="141"/>
      <c r="AW77" s="141"/>
      <c r="AX77" s="484"/>
      <c r="AY77" s="141"/>
      <c r="AZ77" s="141"/>
    </row>
    <row r="78" spans="1:52" s="138" customFormat="1" hidden="1" x14ac:dyDescent="0.25">
      <c r="A78" s="218"/>
      <c r="B78" s="223"/>
      <c r="C78" s="218"/>
      <c r="D78" s="142" t="s">
        <v>113</v>
      </c>
      <c r="E78" s="142" t="s">
        <v>113</v>
      </c>
      <c r="F78" s="142"/>
      <c r="G78" s="142"/>
      <c r="H78" s="142"/>
      <c r="I78" s="142"/>
      <c r="J78" s="142"/>
      <c r="K78" s="142"/>
      <c r="L78" s="142"/>
      <c r="M78" s="535"/>
      <c r="N78" s="518"/>
      <c r="O78" s="518" t="s">
        <v>40</v>
      </c>
      <c r="P78" s="518"/>
      <c r="Q78" s="518"/>
      <c r="R78" s="518">
        <f>IF(OR(H9=Administration!C21,Working!H9=Administration!C22),Rates!K61,0)</f>
        <v>0</v>
      </c>
      <c r="S78" s="518"/>
      <c r="T78" s="518"/>
      <c r="U78" s="142"/>
      <c r="V78" s="142"/>
      <c r="W78" s="142"/>
      <c r="X78" s="142"/>
      <c r="Y78" s="142"/>
      <c r="Z78" s="142"/>
      <c r="AA78" s="142"/>
      <c r="AB78" s="142"/>
      <c r="AC78" s="142"/>
      <c r="AD78" s="141"/>
      <c r="AE78" s="141"/>
      <c r="AF78" s="141"/>
      <c r="AG78" s="141"/>
      <c r="AH78" s="141"/>
      <c r="AI78" s="141"/>
      <c r="AJ78" s="142"/>
      <c r="AK78" s="141"/>
      <c r="AL78" s="141"/>
      <c r="AM78" s="218"/>
      <c r="AN78" s="141"/>
      <c r="AO78" s="141"/>
      <c r="AP78" s="141"/>
      <c r="AQ78" s="141"/>
      <c r="AR78" s="141"/>
      <c r="AS78" s="141"/>
      <c r="AT78" s="141"/>
      <c r="AU78" s="535" t="str">
        <f t="shared" ca="1" si="4"/>
        <v/>
      </c>
      <c r="AV78" s="141"/>
      <c r="AW78" s="141"/>
      <c r="AX78" s="484"/>
      <c r="AY78" s="141"/>
      <c r="AZ78" s="141"/>
    </row>
    <row r="79" spans="1:52" s="138" customFormat="1" hidden="1" x14ac:dyDescent="0.25">
      <c r="A79" s="218"/>
      <c r="B79" s="223"/>
      <c r="C79" s="218"/>
      <c r="D79" s="142"/>
      <c r="E79" s="142"/>
      <c r="F79" s="142"/>
      <c r="G79" s="142"/>
      <c r="H79" s="142"/>
      <c r="I79" s="142"/>
      <c r="J79" s="142"/>
      <c r="K79" s="142"/>
      <c r="L79" s="142"/>
      <c r="M79" s="535"/>
      <c r="N79" s="518"/>
      <c r="O79" s="518" t="s">
        <v>41</v>
      </c>
      <c r="P79" s="518"/>
      <c r="Q79" s="518"/>
      <c r="R79" s="518">
        <f>IF(H9="Rent A vehicle",Rates!K62,0)</f>
        <v>0</v>
      </c>
      <c r="S79" s="518"/>
      <c r="T79" s="518"/>
      <c r="U79" s="142"/>
      <c r="V79" s="142"/>
      <c r="W79" s="142"/>
      <c r="X79" s="142"/>
      <c r="Y79" s="142"/>
      <c r="Z79" s="142"/>
      <c r="AA79" s="142"/>
      <c r="AB79" s="142"/>
      <c r="AC79" s="142"/>
      <c r="AD79" s="141"/>
      <c r="AE79" s="141"/>
      <c r="AF79" s="141"/>
      <c r="AG79" s="141"/>
      <c r="AH79" s="141"/>
      <c r="AI79" s="141"/>
      <c r="AJ79" s="142"/>
      <c r="AK79" s="141"/>
      <c r="AL79" s="141"/>
      <c r="AM79" s="218"/>
      <c r="AN79" s="141"/>
      <c r="AO79" s="141"/>
      <c r="AP79" s="141"/>
      <c r="AQ79" s="141"/>
      <c r="AR79" s="141"/>
      <c r="AS79" s="141"/>
      <c r="AT79" s="141"/>
      <c r="AU79" s="535" t="str">
        <f t="shared" ca="1" si="4"/>
        <v/>
      </c>
      <c r="AV79" s="141"/>
      <c r="AW79" s="141"/>
      <c r="AX79" s="484"/>
      <c r="AY79" s="141"/>
      <c r="AZ79" s="141"/>
    </row>
    <row r="80" spans="1:52" s="138" customFormat="1" hidden="1" x14ac:dyDescent="0.25">
      <c r="A80" s="218"/>
      <c r="B80" s="223"/>
      <c r="C80" s="218"/>
      <c r="D80" s="142" t="s">
        <v>77</v>
      </c>
      <c r="E80" s="142" t="s">
        <v>77</v>
      </c>
      <c r="F80" s="142"/>
      <c r="G80" s="142"/>
      <c r="H80" s="142"/>
      <c r="I80" s="142"/>
      <c r="J80" s="142"/>
      <c r="K80" s="142"/>
      <c r="L80" s="142"/>
      <c r="M80" s="535"/>
      <c r="N80" s="518"/>
      <c r="O80" s="517" t="s">
        <v>275</v>
      </c>
      <c r="P80" s="518"/>
      <c r="Q80" s="518"/>
      <c r="R80" s="538">
        <f ca="1">SUM(R77:R79)</f>
        <v>0</v>
      </c>
      <c r="S80" s="518"/>
      <c r="T80" s="518"/>
      <c r="U80" s="142"/>
      <c r="V80" s="142"/>
      <c r="W80" s="142"/>
      <c r="X80" s="142"/>
      <c r="Y80" s="142"/>
      <c r="Z80" s="142"/>
      <c r="AA80" s="142"/>
      <c r="AB80" s="142"/>
      <c r="AC80" s="142"/>
      <c r="AD80" s="141"/>
      <c r="AE80" s="141"/>
      <c r="AF80" s="141"/>
      <c r="AG80" s="141"/>
      <c r="AH80" s="141"/>
      <c r="AI80" s="141"/>
      <c r="AJ80" s="142"/>
      <c r="AK80" s="141"/>
      <c r="AL80" s="141"/>
      <c r="AM80" s="218"/>
      <c r="AN80" s="141"/>
      <c r="AO80" s="141"/>
      <c r="AP80" s="141"/>
      <c r="AQ80" s="141"/>
      <c r="AR80" s="141"/>
      <c r="AS80" s="141"/>
      <c r="AT80" s="141"/>
      <c r="AU80" s="535" t="str">
        <f t="shared" ca="1" si="4"/>
        <v/>
      </c>
      <c r="AV80" s="141"/>
      <c r="AW80" s="141"/>
      <c r="AX80" s="484"/>
      <c r="AY80" s="141"/>
      <c r="AZ80" s="141"/>
    </row>
    <row r="81" spans="1:52" s="138" customFormat="1" hidden="1" x14ac:dyDescent="0.25">
      <c r="A81" s="218"/>
      <c r="B81" s="223"/>
      <c r="C81" s="218"/>
      <c r="D81" s="142" t="s">
        <v>113</v>
      </c>
      <c r="E81" s="142" t="s">
        <v>113</v>
      </c>
      <c r="F81" s="142"/>
      <c r="G81" s="142"/>
      <c r="H81" s="142"/>
      <c r="I81" s="142"/>
      <c r="J81" s="142"/>
      <c r="K81" s="142"/>
      <c r="L81" s="142"/>
      <c r="M81" s="535"/>
      <c r="N81" s="518"/>
      <c r="O81" s="518"/>
      <c r="P81" s="518"/>
      <c r="Q81" s="518"/>
      <c r="R81" s="518"/>
      <c r="S81" s="518"/>
      <c r="T81" s="518"/>
      <c r="U81" s="142"/>
      <c r="V81" s="142"/>
      <c r="W81" s="142"/>
      <c r="X81" s="142"/>
      <c r="Y81" s="142"/>
      <c r="Z81" s="142"/>
      <c r="AA81" s="142"/>
      <c r="AB81" s="142"/>
      <c r="AC81" s="142"/>
      <c r="AD81" s="141"/>
      <c r="AE81" s="141"/>
      <c r="AF81" s="141"/>
      <c r="AG81" s="141"/>
      <c r="AH81" s="141"/>
      <c r="AI81" s="141"/>
      <c r="AJ81" s="142"/>
      <c r="AK81" s="141"/>
      <c r="AL81" s="141"/>
      <c r="AM81" s="218"/>
      <c r="AN81" s="141"/>
      <c r="AO81" s="141"/>
      <c r="AP81" s="141"/>
      <c r="AQ81" s="141"/>
      <c r="AR81" s="141"/>
      <c r="AS81" s="141"/>
      <c r="AT81" s="141"/>
      <c r="AU81" s="535" t="str">
        <f t="shared" ca="1" si="4"/>
        <v/>
      </c>
      <c r="AV81" s="141"/>
      <c r="AW81" s="141"/>
      <c r="AX81" s="484"/>
      <c r="AY81" s="141"/>
      <c r="AZ81" s="141"/>
    </row>
    <row r="82" spans="1:52" s="138" customFormat="1" hidden="1" x14ac:dyDescent="0.25">
      <c r="A82" s="218"/>
      <c r="B82" s="223"/>
      <c r="C82" s="218"/>
      <c r="D82" s="142"/>
      <c r="E82" s="142"/>
      <c r="F82" s="142"/>
      <c r="G82" s="142"/>
      <c r="H82" s="142"/>
      <c r="I82" s="142"/>
      <c r="J82" s="142"/>
      <c r="K82" s="142"/>
      <c r="L82" s="142"/>
      <c r="M82" s="535"/>
      <c r="N82" s="518"/>
      <c r="O82" s="518" t="s">
        <v>59</v>
      </c>
      <c r="P82" s="518"/>
      <c r="Q82" s="518"/>
      <c r="R82" s="518">
        <f>IF(M8=Administration!C13,Rates!K66,IF(Working!M8=Administration!C14,Rates!K67,0))</f>
        <v>0</v>
      </c>
      <c r="S82" s="518"/>
      <c r="T82" s="518"/>
      <c r="U82" s="142"/>
      <c r="V82" s="142"/>
      <c r="W82" s="142"/>
      <c r="X82" s="142"/>
      <c r="Y82" s="142"/>
      <c r="Z82" s="142"/>
      <c r="AA82" s="142"/>
      <c r="AB82" s="142"/>
      <c r="AC82" s="142"/>
      <c r="AD82" s="141"/>
      <c r="AE82" s="141"/>
      <c r="AF82" s="141"/>
      <c r="AG82" s="141"/>
      <c r="AH82" s="141"/>
      <c r="AI82" s="141"/>
      <c r="AJ82" s="142"/>
      <c r="AK82" s="141"/>
      <c r="AL82" s="141"/>
      <c r="AM82" s="218"/>
      <c r="AN82" s="141"/>
      <c r="AO82" s="141"/>
      <c r="AP82" s="141"/>
      <c r="AQ82" s="141"/>
      <c r="AR82" s="141"/>
      <c r="AS82" s="141"/>
      <c r="AT82" s="141"/>
      <c r="AU82" s="535" t="str">
        <f t="shared" ca="1" si="4"/>
        <v/>
      </c>
      <c r="AV82" s="141"/>
      <c r="AW82" s="141"/>
      <c r="AX82" s="484"/>
      <c r="AY82" s="141"/>
      <c r="AZ82" s="141"/>
    </row>
    <row r="83" spans="1:52" s="138" customFormat="1" hidden="1" x14ac:dyDescent="0.25">
      <c r="A83" s="218"/>
      <c r="B83" s="223"/>
      <c r="C83" s="218"/>
      <c r="D83" s="142"/>
      <c r="E83" s="142"/>
      <c r="F83" s="142"/>
      <c r="G83" s="142"/>
      <c r="H83" s="142"/>
      <c r="I83" s="142"/>
      <c r="J83" s="142"/>
      <c r="K83" s="142"/>
      <c r="L83" s="142"/>
      <c r="M83" s="535"/>
      <c r="N83" s="518"/>
      <c r="O83" s="518" t="s">
        <v>209</v>
      </c>
      <c r="P83" s="518"/>
      <c r="Q83" s="518"/>
      <c r="R83" s="518">
        <f>IF(M8=Administration!C9,Rates!K69,0)</f>
        <v>0</v>
      </c>
      <c r="S83" s="518"/>
      <c r="T83" s="518"/>
      <c r="U83" s="142"/>
      <c r="V83" s="142"/>
      <c r="W83" s="142"/>
      <c r="X83" s="142"/>
      <c r="Y83" s="142"/>
      <c r="Z83" s="142"/>
      <c r="AA83" s="142"/>
      <c r="AB83" s="142"/>
      <c r="AC83" s="142"/>
      <c r="AD83" s="141"/>
      <c r="AE83" s="141"/>
      <c r="AF83" s="141"/>
      <c r="AG83" s="141"/>
      <c r="AH83" s="141"/>
      <c r="AI83" s="141"/>
      <c r="AJ83" s="142"/>
      <c r="AK83" s="141"/>
      <c r="AL83" s="141"/>
      <c r="AM83" s="218"/>
      <c r="AN83" s="141"/>
      <c r="AO83" s="141"/>
      <c r="AP83" s="141"/>
      <c r="AQ83" s="141"/>
      <c r="AR83" s="141"/>
      <c r="AS83" s="141"/>
      <c r="AT83" s="141"/>
      <c r="AU83" s="535" t="str">
        <f t="shared" ca="1" si="4"/>
        <v/>
      </c>
      <c r="AV83" s="141"/>
      <c r="AW83" s="141"/>
      <c r="AX83" s="484"/>
      <c r="AY83" s="141"/>
      <c r="AZ83" s="141"/>
    </row>
    <row r="84" spans="1:52" s="138" customFormat="1" hidden="1" x14ac:dyDescent="0.25">
      <c r="A84" s="218"/>
      <c r="B84" s="223"/>
      <c r="C84" s="218"/>
      <c r="D84" s="142"/>
      <c r="E84" s="142"/>
      <c r="F84" s="142"/>
      <c r="G84" s="142"/>
      <c r="H84" s="142"/>
      <c r="I84" s="142"/>
      <c r="J84" s="142"/>
      <c r="K84" s="142"/>
      <c r="L84" s="142"/>
      <c r="M84" s="535"/>
      <c r="N84" s="518"/>
      <c r="O84" s="518" t="s">
        <v>270</v>
      </c>
      <c r="P84" s="518"/>
      <c r="Q84" s="518"/>
      <c r="R84" s="518">
        <f>IF(M8=Administration!C7,Rates!K70,0)</f>
        <v>0</v>
      </c>
      <c r="S84" s="518"/>
      <c r="T84" s="518"/>
      <c r="U84" s="142"/>
      <c r="V84" s="142"/>
      <c r="W84" s="142"/>
      <c r="X84" s="142"/>
      <c r="Y84" s="142"/>
      <c r="Z84" s="142"/>
      <c r="AA84" s="142"/>
      <c r="AB84" s="142"/>
      <c r="AC84" s="142"/>
      <c r="AD84" s="141"/>
      <c r="AE84" s="141"/>
      <c r="AF84" s="141"/>
      <c r="AG84" s="141"/>
      <c r="AH84" s="141"/>
      <c r="AI84" s="141"/>
      <c r="AJ84" s="142"/>
      <c r="AK84" s="141"/>
      <c r="AL84" s="141"/>
      <c r="AM84" s="218"/>
      <c r="AN84" s="141"/>
      <c r="AO84" s="141"/>
      <c r="AP84" s="141"/>
      <c r="AQ84" s="141"/>
      <c r="AR84" s="141"/>
      <c r="AS84" s="141"/>
      <c r="AT84" s="141"/>
      <c r="AU84" s="535" t="str">
        <f t="shared" ca="1" si="4"/>
        <v/>
      </c>
      <c r="AV84" s="141"/>
      <c r="AW84" s="141"/>
      <c r="AX84" s="484"/>
      <c r="AY84" s="141"/>
      <c r="AZ84" s="141"/>
    </row>
    <row r="85" spans="1:52" s="138" customFormat="1" hidden="1" x14ac:dyDescent="0.25">
      <c r="A85" s="218"/>
      <c r="B85" s="223"/>
      <c r="C85" s="218"/>
      <c r="D85" s="142"/>
      <c r="E85" s="142"/>
      <c r="F85" s="142"/>
      <c r="G85" s="142"/>
      <c r="H85" s="142"/>
      <c r="I85" s="142"/>
      <c r="J85" s="142"/>
      <c r="K85" s="142"/>
      <c r="L85" s="142"/>
      <c r="M85" s="535"/>
      <c r="N85" s="518"/>
      <c r="O85" s="518" t="s">
        <v>271</v>
      </c>
      <c r="P85" s="518"/>
      <c r="Q85" s="518"/>
      <c r="R85" s="518">
        <f>IF(M8=Administration!C8,Rates!K71,0)</f>
        <v>0</v>
      </c>
      <c r="S85" s="518"/>
      <c r="T85" s="518"/>
      <c r="U85" s="142"/>
      <c r="V85" s="142"/>
      <c r="W85" s="142"/>
      <c r="X85" s="142"/>
      <c r="Y85" s="142"/>
      <c r="Z85" s="142"/>
      <c r="AA85" s="142"/>
      <c r="AB85" s="142"/>
      <c r="AC85" s="142"/>
      <c r="AD85" s="141"/>
      <c r="AE85" s="141"/>
      <c r="AF85" s="141"/>
      <c r="AG85" s="141"/>
      <c r="AH85" s="141"/>
      <c r="AI85" s="141"/>
      <c r="AJ85" s="142"/>
      <c r="AK85" s="141"/>
      <c r="AL85" s="141"/>
      <c r="AM85" s="218"/>
      <c r="AN85" s="141"/>
      <c r="AO85" s="141"/>
      <c r="AP85" s="141"/>
      <c r="AQ85" s="141"/>
      <c r="AR85" s="141"/>
      <c r="AS85" s="141"/>
      <c r="AT85" s="141"/>
      <c r="AU85" s="535" t="e">
        <f t="shared" ref="AU85:AU105" ca="1" si="5">AU84+1</f>
        <v>#VALUE!</v>
      </c>
      <c r="AV85" s="141"/>
      <c r="AW85" s="141"/>
      <c r="AX85" s="484"/>
      <c r="AY85" s="141"/>
      <c r="AZ85" s="141"/>
    </row>
    <row r="86" spans="1:52" s="138" customFormat="1" hidden="1" x14ac:dyDescent="0.25">
      <c r="A86" s="218"/>
      <c r="B86" s="223"/>
      <c r="C86" s="218"/>
      <c r="D86" s="142"/>
      <c r="E86" s="142"/>
      <c r="F86" s="142"/>
      <c r="G86" s="142"/>
      <c r="H86" s="142"/>
      <c r="I86" s="142"/>
      <c r="J86" s="142"/>
      <c r="K86" s="142"/>
      <c r="L86" s="142"/>
      <c r="M86" s="535"/>
      <c r="N86" s="518"/>
      <c r="O86" s="518" t="s">
        <v>272</v>
      </c>
      <c r="P86" s="518"/>
      <c r="Q86" s="518"/>
      <c r="R86" s="518">
        <f>IF(M8=Administration!C16,Rates!K72,0)</f>
        <v>0</v>
      </c>
      <c r="S86" s="518"/>
      <c r="T86" s="518"/>
      <c r="U86" s="142"/>
      <c r="V86" s="142"/>
      <c r="W86" s="142"/>
      <c r="X86" s="142"/>
      <c r="Y86" s="142"/>
      <c r="Z86" s="142"/>
      <c r="AA86" s="142"/>
      <c r="AB86" s="142"/>
      <c r="AC86" s="142"/>
      <c r="AD86" s="141"/>
      <c r="AE86" s="141"/>
      <c r="AF86" s="141"/>
      <c r="AG86" s="141"/>
      <c r="AH86" s="141"/>
      <c r="AI86" s="141"/>
      <c r="AJ86" s="142"/>
      <c r="AK86" s="141"/>
      <c r="AL86" s="141"/>
      <c r="AM86" s="218"/>
      <c r="AN86" s="141"/>
      <c r="AO86" s="141"/>
      <c r="AP86" s="141"/>
      <c r="AQ86" s="141"/>
      <c r="AR86" s="141"/>
      <c r="AS86" s="141"/>
      <c r="AT86" s="141"/>
      <c r="AU86" s="535" t="e">
        <f t="shared" ca="1" si="5"/>
        <v>#VALUE!</v>
      </c>
      <c r="AV86" s="141"/>
      <c r="AW86" s="141"/>
      <c r="AX86" s="484"/>
      <c r="AY86" s="141"/>
      <c r="AZ86" s="141"/>
    </row>
    <row r="87" spans="1:52" s="138" customFormat="1" hidden="1" x14ac:dyDescent="0.25">
      <c r="A87" s="218"/>
      <c r="B87" s="223"/>
      <c r="C87" s="218"/>
      <c r="D87" s="142"/>
      <c r="E87" s="142"/>
      <c r="F87" s="142"/>
      <c r="G87" s="142"/>
      <c r="H87" s="142"/>
      <c r="I87" s="142"/>
      <c r="J87" s="142"/>
      <c r="K87" s="142"/>
      <c r="L87" s="142"/>
      <c r="M87" s="535"/>
      <c r="N87" s="518"/>
      <c r="O87" s="518" t="s">
        <v>358</v>
      </c>
      <c r="P87" s="518"/>
      <c r="Q87" s="518"/>
      <c r="R87" s="518">
        <f>IF(M8=Administration!C11,Rates!K73,0)</f>
        <v>0</v>
      </c>
      <c r="S87" s="518"/>
      <c r="T87" s="518"/>
      <c r="U87" s="142"/>
      <c r="V87" s="142"/>
      <c r="W87" s="142"/>
      <c r="X87" s="142"/>
      <c r="Y87" s="142"/>
      <c r="Z87" s="142"/>
      <c r="AA87" s="142"/>
      <c r="AB87" s="142"/>
      <c r="AC87" s="142"/>
      <c r="AD87" s="141"/>
      <c r="AE87" s="141"/>
      <c r="AF87" s="141"/>
      <c r="AG87" s="141"/>
      <c r="AH87" s="141"/>
      <c r="AI87" s="141"/>
      <c r="AJ87" s="142"/>
      <c r="AK87" s="141"/>
      <c r="AL87" s="141"/>
      <c r="AM87" s="218"/>
      <c r="AN87" s="141"/>
      <c r="AO87" s="141"/>
      <c r="AP87" s="141"/>
      <c r="AQ87" s="141"/>
      <c r="AR87" s="141"/>
      <c r="AS87" s="141"/>
      <c r="AT87" s="141"/>
      <c r="AU87" s="535" t="e">
        <f t="shared" ca="1" si="5"/>
        <v>#VALUE!</v>
      </c>
      <c r="AV87" s="141"/>
      <c r="AW87" s="141"/>
      <c r="AX87" s="484"/>
      <c r="AY87" s="141"/>
      <c r="AZ87" s="141"/>
    </row>
    <row r="88" spans="1:52" s="138" customFormat="1" hidden="1" x14ac:dyDescent="0.25">
      <c r="A88" s="218"/>
      <c r="B88" s="223"/>
      <c r="C88" s="218"/>
      <c r="D88" s="142"/>
      <c r="E88" s="142"/>
      <c r="F88" s="142"/>
      <c r="G88" s="142"/>
      <c r="H88" s="142"/>
      <c r="I88" s="142"/>
      <c r="J88" s="142"/>
      <c r="K88" s="142"/>
      <c r="L88" s="142"/>
      <c r="M88" s="535"/>
      <c r="N88" s="518"/>
      <c r="O88" s="518" t="s">
        <v>210</v>
      </c>
      <c r="P88" s="518"/>
      <c r="Q88" s="518"/>
      <c r="R88" s="518">
        <f>IF(M8=Administration!C10,Rates!K74,0)</f>
        <v>0</v>
      </c>
      <c r="S88" s="518"/>
      <c r="T88" s="518"/>
      <c r="U88" s="142"/>
      <c r="V88" s="142"/>
      <c r="W88" s="142"/>
      <c r="X88" s="142"/>
      <c r="Y88" s="142"/>
      <c r="Z88" s="142"/>
      <c r="AA88" s="142"/>
      <c r="AB88" s="142"/>
      <c r="AC88" s="142"/>
      <c r="AD88" s="141"/>
      <c r="AE88" s="141"/>
      <c r="AF88" s="141"/>
      <c r="AG88" s="141"/>
      <c r="AH88" s="141"/>
      <c r="AI88" s="141"/>
      <c r="AJ88" s="142"/>
      <c r="AK88" s="141"/>
      <c r="AL88" s="141"/>
      <c r="AM88" s="218"/>
      <c r="AN88" s="141"/>
      <c r="AO88" s="141"/>
      <c r="AP88" s="141"/>
      <c r="AQ88" s="141"/>
      <c r="AR88" s="141"/>
      <c r="AS88" s="141"/>
      <c r="AT88" s="141"/>
      <c r="AU88" s="535" t="e">
        <f t="shared" ca="1" si="5"/>
        <v>#VALUE!</v>
      </c>
      <c r="AV88" s="141"/>
      <c r="AW88" s="141"/>
      <c r="AX88" s="484"/>
      <c r="AY88" s="141"/>
      <c r="AZ88" s="141"/>
    </row>
    <row r="89" spans="1:52" s="138" customFormat="1" hidden="1" x14ac:dyDescent="0.25">
      <c r="A89" s="218"/>
      <c r="B89" s="223"/>
      <c r="C89" s="218"/>
      <c r="D89" s="142"/>
      <c r="E89" s="142"/>
      <c r="F89" s="142"/>
      <c r="G89" s="142"/>
      <c r="H89" s="142"/>
      <c r="I89" s="142"/>
      <c r="J89" s="142"/>
      <c r="K89" s="142"/>
      <c r="L89" s="142"/>
      <c r="M89" s="535"/>
      <c r="N89" s="518"/>
      <c r="O89" s="518" t="s">
        <v>214</v>
      </c>
      <c r="P89" s="518"/>
      <c r="Q89" s="518"/>
      <c r="R89" s="518">
        <f>IF(M8=Administration!C15,Rates!K75,0)</f>
        <v>0</v>
      </c>
      <c r="S89" s="518"/>
      <c r="T89" s="518"/>
      <c r="U89" s="142"/>
      <c r="V89" s="142"/>
      <c r="W89" s="142"/>
      <c r="X89" s="142"/>
      <c r="Y89" s="142"/>
      <c r="Z89" s="142"/>
      <c r="AA89" s="142"/>
      <c r="AB89" s="142"/>
      <c r="AC89" s="142"/>
      <c r="AD89" s="141"/>
      <c r="AE89" s="141"/>
      <c r="AF89" s="141"/>
      <c r="AG89" s="141"/>
      <c r="AH89" s="141"/>
      <c r="AI89" s="141"/>
      <c r="AJ89" s="142"/>
      <c r="AK89" s="141"/>
      <c r="AL89" s="141"/>
      <c r="AM89" s="218"/>
      <c r="AN89" s="141"/>
      <c r="AO89" s="141"/>
      <c r="AP89" s="141"/>
      <c r="AQ89" s="141"/>
      <c r="AR89" s="141"/>
      <c r="AS89" s="141"/>
      <c r="AT89" s="141"/>
      <c r="AU89" s="535" t="e">
        <f t="shared" ca="1" si="5"/>
        <v>#VALUE!</v>
      </c>
      <c r="AV89" s="141"/>
      <c r="AW89" s="141"/>
      <c r="AX89" s="484"/>
      <c r="AY89" s="141"/>
      <c r="AZ89" s="141"/>
    </row>
    <row r="90" spans="1:52" s="138" customFormat="1" hidden="1" x14ac:dyDescent="0.25">
      <c r="A90" s="142"/>
      <c r="B90" s="4"/>
      <c r="C90" s="218"/>
      <c r="D90" s="142"/>
      <c r="E90" s="142"/>
      <c r="F90" s="142"/>
      <c r="G90" s="142"/>
      <c r="H90" s="142"/>
      <c r="I90" s="142"/>
      <c r="J90" s="142"/>
      <c r="K90" s="142"/>
      <c r="L90" s="142"/>
      <c r="M90" s="535"/>
      <c r="N90" s="518"/>
      <c r="O90" s="518" t="s">
        <v>211</v>
      </c>
      <c r="P90" s="518"/>
      <c r="Q90" s="518"/>
      <c r="R90" s="518">
        <f>IF(M8=Administration!C12,Rates!K76,0)</f>
        <v>3000</v>
      </c>
      <c r="S90" s="518"/>
      <c r="T90" s="518"/>
      <c r="U90" s="142"/>
      <c r="V90" s="142"/>
      <c r="W90" s="142"/>
      <c r="X90" s="142"/>
      <c r="Y90" s="142"/>
      <c r="Z90" s="142"/>
      <c r="AA90" s="142"/>
      <c r="AB90" s="142"/>
      <c r="AC90" s="142"/>
      <c r="AD90" s="141"/>
      <c r="AE90" s="141"/>
      <c r="AF90" s="141"/>
      <c r="AG90" s="141"/>
      <c r="AH90" s="141"/>
      <c r="AI90" s="141"/>
      <c r="AJ90" s="142"/>
      <c r="AK90" s="141"/>
      <c r="AL90" s="141"/>
      <c r="AM90" s="218"/>
      <c r="AN90" s="141"/>
      <c r="AO90" s="141"/>
      <c r="AP90" s="141"/>
      <c r="AQ90" s="141"/>
      <c r="AR90" s="141"/>
      <c r="AS90" s="141"/>
      <c r="AT90" s="141"/>
      <c r="AU90" s="535" t="e">
        <f t="shared" ca="1" si="5"/>
        <v>#VALUE!</v>
      </c>
      <c r="AV90" s="141"/>
      <c r="AW90" s="141"/>
      <c r="AX90" s="484"/>
      <c r="AY90" s="141"/>
      <c r="AZ90" s="141"/>
    </row>
    <row r="91" spans="1:52" s="138" customFormat="1" hidden="1" x14ac:dyDescent="0.25">
      <c r="A91" s="142"/>
      <c r="B91" s="4"/>
      <c r="C91" s="218"/>
      <c r="D91" s="142"/>
      <c r="E91" s="142"/>
      <c r="F91" s="142"/>
      <c r="G91" s="142"/>
      <c r="H91" s="142"/>
      <c r="I91" s="142"/>
      <c r="J91" s="142"/>
      <c r="K91" s="142"/>
      <c r="L91" s="142"/>
      <c r="M91" s="535"/>
      <c r="N91" s="518"/>
      <c r="O91" s="517" t="s">
        <v>266</v>
      </c>
      <c r="P91" s="518"/>
      <c r="Q91" s="518"/>
      <c r="R91" s="539">
        <f ca="1">R80+SUM(R82:R90)+R95</f>
        <v>3000</v>
      </c>
      <c r="S91" s="518"/>
      <c r="T91" s="518"/>
      <c r="U91" s="142"/>
      <c r="V91" s="142"/>
      <c r="W91" s="142"/>
      <c r="X91" s="142"/>
      <c r="Y91" s="142"/>
      <c r="Z91" s="142"/>
      <c r="AA91" s="142"/>
      <c r="AB91" s="142"/>
      <c r="AC91" s="142"/>
      <c r="AD91" s="141"/>
      <c r="AE91" s="141"/>
      <c r="AF91" s="141"/>
      <c r="AG91" s="141"/>
      <c r="AH91" s="141"/>
      <c r="AI91" s="141"/>
      <c r="AJ91" s="142"/>
      <c r="AK91" s="141"/>
      <c r="AL91" s="141"/>
      <c r="AM91" s="218"/>
      <c r="AN91" s="141"/>
      <c r="AO91" s="141"/>
      <c r="AP91" s="141"/>
      <c r="AQ91" s="141"/>
      <c r="AR91" s="141"/>
      <c r="AS91" s="141"/>
      <c r="AT91" s="141"/>
      <c r="AU91" s="535" t="e">
        <f t="shared" ca="1" si="5"/>
        <v>#VALUE!</v>
      </c>
      <c r="AV91" s="141"/>
      <c r="AW91" s="141"/>
      <c r="AX91" s="484"/>
      <c r="AY91" s="141"/>
      <c r="AZ91" s="141"/>
    </row>
    <row r="92" spans="1:52" s="138" customFormat="1" hidden="1" x14ac:dyDescent="0.25">
      <c r="A92" s="142"/>
      <c r="B92" s="4"/>
      <c r="C92" s="218"/>
      <c r="D92" s="142"/>
      <c r="E92" s="142"/>
      <c r="F92" s="142"/>
      <c r="G92" s="142"/>
      <c r="H92" s="142"/>
      <c r="I92" s="142"/>
      <c r="J92" s="142"/>
      <c r="K92" s="142"/>
      <c r="L92" s="142"/>
      <c r="M92" s="535"/>
      <c r="N92" s="518"/>
      <c r="O92" s="518"/>
      <c r="P92" s="518"/>
      <c r="Q92" s="518"/>
      <c r="R92" s="518">
        <f ca="1">IF(AND(I18&gt;R91,I18&lt;H15/2),I18,R91)</f>
        <v>3000</v>
      </c>
      <c r="S92" s="518"/>
      <c r="T92" s="518"/>
      <c r="U92" s="142"/>
      <c r="V92" s="142"/>
      <c r="W92" s="142"/>
      <c r="X92" s="142"/>
      <c r="Y92" s="142"/>
      <c r="Z92" s="142"/>
      <c r="AA92" s="142"/>
      <c r="AB92" s="142"/>
      <c r="AC92" s="142"/>
      <c r="AD92" s="141"/>
      <c r="AE92" s="141"/>
      <c r="AF92" s="141"/>
      <c r="AG92" s="141"/>
      <c r="AH92" s="141"/>
      <c r="AI92" s="141"/>
      <c r="AJ92" s="142"/>
      <c r="AK92" s="141"/>
      <c r="AL92" s="141"/>
      <c r="AM92" s="218"/>
      <c r="AN92" s="141"/>
      <c r="AO92" s="141"/>
      <c r="AP92" s="141"/>
      <c r="AQ92" s="141"/>
      <c r="AR92" s="141"/>
      <c r="AS92" s="141"/>
      <c r="AT92" s="141"/>
      <c r="AU92" s="142" t="e">
        <f t="shared" ca="1" si="5"/>
        <v>#VALUE!</v>
      </c>
      <c r="AV92" s="141"/>
      <c r="AW92" s="141"/>
      <c r="AX92" s="484"/>
      <c r="AY92" s="141"/>
      <c r="AZ92" s="141"/>
    </row>
    <row r="93" spans="1:52" s="138" customFormat="1" hidden="1" x14ac:dyDescent="0.25">
      <c r="A93" s="142"/>
      <c r="B93" s="4"/>
      <c r="D93" s="142"/>
      <c r="E93" s="142"/>
      <c r="F93" s="671" t="s">
        <v>393</v>
      </c>
      <c r="G93" s="142"/>
      <c r="H93" s="142"/>
      <c r="I93" s="142"/>
      <c r="J93" s="142"/>
      <c r="K93" s="142"/>
      <c r="L93" s="142"/>
      <c r="M93" s="535"/>
      <c r="N93" s="518"/>
      <c r="O93" s="518"/>
      <c r="P93" s="518"/>
      <c r="Q93" s="518"/>
      <c r="R93" s="518"/>
      <c r="S93" s="518"/>
      <c r="T93" s="518"/>
      <c r="U93" s="142"/>
      <c r="V93" s="142"/>
      <c r="W93" s="142"/>
      <c r="X93" s="142"/>
      <c r="Y93" s="142"/>
      <c r="Z93" s="142"/>
      <c r="AA93" s="142"/>
      <c r="AB93" s="142"/>
      <c r="AC93" s="142"/>
      <c r="AD93" s="141"/>
      <c r="AE93" s="141"/>
      <c r="AF93" s="141"/>
      <c r="AG93" s="141"/>
      <c r="AH93" s="141"/>
      <c r="AI93" s="141"/>
      <c r="AJ93" s="142"/>
      <c r="AK93" s="141"/>
      <c r="AL93" s="141"/>
      <c r="AM93" s="218"/>
      <c r="AN93" s="141"/>
      <c r="AO93" s="141"/>
      <c r="AP93" s="141"/>
      <c r="AQ93" s="141"/>
      <c r="AR93" s="141"/>
      <c r="AS93" s="141"/>
      <c r="AT93" s="141"/>
      <c r="AU93" s="142" t="e">
        <f t="shared" ca="1" si="5"/>
        <v>#VALUE!</v>
      </c>
      <c r="AV93" s="141"/>
      <c r="AW93" s="141"/>
      <c r="AX93" s="484"/>
      <c r="AY93" s="141"/>
      <c r="AZ93" s="141"/>
    </row>
    <row r="94" spans="1:52" s="138" customFormat="1" ht="20.100000000000001" hidden="1" customHeight="1" x14ac:dyDescent="0.25">
      <c r="A94" s="142"/>
      <c r="B94" s="4"/>
      <c r="D94" s="142"/>
      <c r="E94" s="142"/>
      <c r="F94" s="691" t="str">
        <f>Administration!J6</f>
        <v>Abans Finance PLC</v>
      </c>
      <c r="G94" s="142"/>
      <c r="H94" s="142"/>
      <c r="I94" s="142"/>
      <c r="J94" s="142"/>
      <c r="K94" s="142"/>
      <c r="L94" s="218"/>
      <c r="M94" s="536" t="s">
        <v>233</v>
      </c>
      <c r="N94" s="518" t="s">
        <v>267</v>
      </c>
      <c r="O94" s="518"/>
      <c r="P94" s="518"/>
      <c r="Q94" s="518"/>
      <c r="R94" s="884" t="str">
        <f>IF(X43&gt;0,MAX(H30*Rates!K68%,Rates!L68),"")</f>
        <v/>
      </c>
      <c r="S94" s="884"/>
      <c r="T94" s="884"/>
      <c r="U94" s="142"/>
      <c r="V94" s="142"/>
      <c r="W94" s="142"/>
      <c r="X94" s="142"/>
      <c r="Y94" s="142"/>
      <c r="Z94" s="142"/>
      <c r="AA94" s="142"/>
      <c r="AB94" s="142"/>
      <c r="AC94" s="142"/>
      <c r="AD94" s="141"/>
      <c r="AE94" s="141"/>
      <c r="AF94" s="141"/>
      <c r="AG94" s="141"/>
      <c r="AH94" s="141"/>
      <c r="AI94" s="141"/>
      <c r="AJ94" s="142"/>
      <c r="AK94" s="141"/>
      <c r="AL94" s="141"/>
      <c r="AM94" s="218"/>
      <c r="AN94" s="141"/>
      <c r="AO94" s="141"/>
      <c r="AP94" s="141"/>
      <c r="AQ94" s="141"/>
      <c r="AR94" s="141"/>
      <c r="AS94" s="141"/>
      <c r="AT94" s="141"/>
      <c r="AU94" s="142" t="e">
        <f t="shared" ca="1" si="5"/>
        <v>#VALUE!</v>
      </c>
      <c r="AV94" s="141"/>
      <c r="AW94" s="141"/>
      <c r="AX94" s="484"/>
      <c r="AY94" s="141"/>
      <c r="AZ94" s="141"/>
    </row>
    <row r="95" spans="1:52" s="138" customFormat="1" ht="20.100000000000001" hidden="1" customHeight="1" x14ac:dyDescent="0.25">
      <c r="A95" s="142"/>
      <c r="B95" s="4"/>
      <c r="D95" s="142"/>
      <c r="E95" s="142"/>
      <c r="F95" s="691" t="str">
        <f>Administration!J7</f>
        <v>Alliance Finance Co. PLC</v>
      </c>
      <c r="G95" s="142"/>
      <c r="H95" s="142"/>
      <c r="I95" s="142"/>
      <c r="J95" s="142"/>
      <c r="K95" s="142"/>
      <c r="L95" s="218"/>
      <c r="M95" s="535"/>
      <c r="N95" s="518"/>
      <c r="O95" s="518" t="s">
        <v>226</v>
      </c>
      <c r="P95" s="518"/>
      <c r="Q95" s="518"/>
      <c r="R95" s="540">
        <f>I22</f>
        <v>0</v>
      </c>
      <c r="S95" s="518"/>
      <c r="T95" s="518"/>
      <c r="U95" s="142"/>
      <c r="V95" s="142"/>
      <c r="W95" s="142"/>
      <c r="X95" s="142"/>
      <c r="Y95" s="142"/>
      <c r="Z95" s="142"/>
      <c r="AA95" s="142"/>
      <c r="AB95" s="142"/>
      <c r="AC95" s="142"/>
      <c r="AD95" s="141"/>
      <c r="AE95" s="141"/>
      <c r="AF95" s="141"/>
      <c r="AG95" s="141"/>
      <c r="AH95" s="141"/>
      <c r="AI95" s="141"/>
      <c r="AJ95" s="142"/>
      <c r="AK95" s="141"/>
      <c r="AL95" s="141"/>
      <c r="AM95" s="218"/>
      <c r="AN95" s="141"/>
      <c r="AO95" s="141"/>
      <c r="AP95" s="141"/>
      <c r="AQ95" s="141"/>
      <c r="AR95" s="141"/>
      <c r="AS95" s="141"/>
      <c r="AT95" s="141"/>
      <c r="AU95" s="142" t="e">
        <f t="shared" ca="1" si="5"/>
        <v>#VALUE!</v>
      </c>
      <c r="AV95" s="141"/>
      <c r="AW95" s="141"/>
      <c r="AX95" s="484"/>
      <c r="AY95" s="141"/>
      <c r="AZ95" s="141"/>
    </row>
    <row r="96" spans="1:52" s="138" customFormat="1" ht="20.100000000000001" hidden="1" customHeight="1" x14ac:dyDescent="0.25">
      <c r="A96" s="142"/>
      <c r="B96" s="4"/>
      <c r="D96" s="142"/>
      <c r="E96" s="142"/>
      <c r="F96" s="691" t="str">
        <f>Administration!J8</f>
        <v>Asia Asset Finance Ltd</v>
      </c>
      <c r="G96" s="142"/>
      <c r="H96" s="142"/>
      <c r="I96" s="142"/>
      <c r="J96" s="142"/>
      <c r="K96" s="142"/>
      <c r="L96" s="142"/>
      <c r="M96" s="142"/>
      <c r="N96" s="142"/>
      <c r="O96" s="142" t="s">
        <v>224</v>
      </c>
      <c r="P96" s="218"/>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8"/>
      <c r="AN96" s="141"/>
      <c r="AO96" s="141"/>
      <c r="AP96" s="141"/>
      <c r="AQ96" s="141"/>
      <c r="AR96" s="141"/>
      <c r="AS96" s="141"/>
      <c r="AT96" s="141"/>
      <c r="AU96" s="142" t="e">
        <f t="shared" ca="1" si="5"/>
        <v>#VALUE!</v>
      </c>
      <c r="AV96" s="141"/>
      <c r="AW96" s="141"/>
      <c r="AX96" s="484"/>
      <c r="AY96" s="141"/>
      <c r="AZ96" s="141"/>
    </row>
    <row r="97" spans="1:52" s="138" customFormat="1" ht="20.100000000000001" hidden="1" customHeight="1" x14ac:dyDescent="0.25">
      <c r="A97" s="142"/>
      <c r="B97" s="4"/>
      <c r="D97" s="142"/>
      <c r="E97" s="142"/>
      <c r="F97" s="691" t="str">
        <f>Administration!J9</f>
        <v>Assetline Leasing Co Ltd</v>
      </c>
      <c r="G97" s="142"/>
      <c r="H97" s="142"/>
      <c r="I97" s="142"/>
      <c r="J97" s="142"/>
      <c r="K97" s="142"/>
      <c r="L97" s="142"/>
      <c r="M97" s="142"/>
      <c r="N97" s="142"/>
      <c r="O97" s="142" t="s">
        <v>225</v>
      </c>
      <c r="P97" s="218"/>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8"/>
      <c r="AN97" s="141"/>
      <c r="AO97" s="141"/>
      <c r="AP97" s="141"/>
      <c r="AQ97" s="141"/>
      <c r="AR97" s="141"/>
      <c r="AS97" s="141"/>
      <c r="AT97" s="141"/>
      <c r="AU97" s="142" t="e">
        <f t="shared" ca="1" si="5"/>
        <v>#VALUE!</v>
      </c>
      <c r="AV97" s="141"/>
      <c r="AW97" s="141"/>
      <c r="AX97" s="484"/>
      <c r="AY97" s="141"/>
      <c r="AZ97" s="141"/>
    </row>
    <row r="98" spans="1:52" s="138" customFormat="1" ht="20.100000000000001" hidden="1" customHeight="1" x14ac:dyDescent="0.25">
      <c r="A98" s="142"/>
      <c r="B98" s="4"/>
      <c r="D98" s="142"/>
      <c r="E98" s="142"/>
      <c r="F98" s="691" t="str">
        <f>Administration!J10</f>
        <v>Arpico Finance PLC</v>
      </c>
      <c r="G98" s="142"/>
      <c r="H98" s="142"/>
      <c r="I98" s="142"/>
      <c r="J98" s="142"/>
      <c r="K98" s="142"/>
      <c r="L98" s="142"/>
      <c r="M98" s="142"/>
      <c r="N98" s="142"/>
      <c r="O98" s="142" t="s">
        <v>227</v>
      </c>
      <c r="P98" s="218"/>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8"/>
      <c r="AN98" s="141"/>
      <c r="AO98" s="141"/>
      <c r="AP98" s="141"/>
      <c r="AQ98" s="141"/>
      <c r="AR98" s="141"/>
      <c r="AS98" s="141"/>
      <c r="AT98" s="141"/>
      <c r="AU98" s="142" t="e">
        <f t="shared" ca="1" si="5"/>
        <v>#VALUE!</v>
      </c>
      <c r="AV98" s="141"/>
      <c r="AW98" s="141"/>
      <c r="AX98" s="484"/>
      <c r="AY98" s="141"/>
      <c r="AZ98" s="141"/>
    </row>
    <row r="99" spans="1:52" s="138" customFormat="1" ht="20.100000000000001" hidden="1" customHeight="1" x14ac:dyDescent="0.25">
      <c r="A99" s="142"/>
      <c r="B99" s="4"/>
      <c r="D99" s="142"/>
      <c r="E99" s="142"/>
      <c r="F99" s="691" t="str">
        <f>Administration!J11</f>
        <v>Bank of Ceylon</v>
      </c>
      <c r="G99" s="142"/>
      <c r="H99" s="142"/>
      <c r="I99" s="142"/>
      <c r="J99" s="142"/>
      <c r="K99" s="142"/>
      <c r="L99" s="142"/>
      <c r="M99" s="142"/>
      <c r="N99" s="142"/>
      <c r="O99" s="142"/>
      <c r="P99" s="218"/>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8"/>
      <c r="AN99" s="141"/>
      <c r="AO99" s="141"/>
      <c r="AP99" s="141"/>
      <c r="AQ99" s="141"/>
      <c r="AR99" s="141"/>
      <c r="AS99" s="141"/>
      <c r="AT99" s="141"/>
      <c r="AU99" s="142" t="e">
        <f t="shared" ca="1" si="5"/>
        <v>#VALUE!</v>
      </c>
      <c r="AV99" s="141"/>
      <c r="AW99" s="141"/>
      <c r="AX99" s="484"/>
      <c r="AY99" s="141"/>
      <c r="AZ99" s="141"/>
    </row>
    <row r="100" spans="1:52" s="138" customFormat="1" ht="20.100000000000001" hidden="1" customHeight="1" x14ac:dyDescent="0.25">
      <c r="A100" s="142"/>
      <c r="B100" s="4"/>
      <c r="D100" s="142"/>
      <c r="E100" s="142"/>
      <c r="F100" s="691" t="str">
        <f>Administration!J12</f>
        <v>Citizens Development Business Finance PLC</v>
      </c>
      <c r="G100" s="142"/>
      <c r="H100" s="142"/>
      <c r="I100" s="142"/>
      <c r="J100" s="142"/>
      <c r="K100" s="142"/>
      <c r="L100" s="142"/>
      <c r="M100" s="142"/>
      <c r="N100" s="142"/>
      <c r="O100" s="142"/>
      <c r="P100" s="218"/>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8"/>
      <c r="AN100" s="141"/>
      <c r="AO100" s="141"/>
      <c r="AP100" s="141"/>
      <c r="AQ100" s="141"/>
      <c r="AR100" s="141"/>
      <c r="AS100" s="141"/>
      <c r="AT100" s="141"/>
      <c r="AU100" s="142" t="e">
        <f t="shared" ca="1" si="5"/>
        <v>#VALUE!</v>
      </c>
      <c r="AV100" s="141"/>
      <c r="AW100" s="141"/>
      <c r="AX100" s="484"/>
      <c r="AY100" s="141"/>
      <c r="AZ100" s="141"/>
    </row>
    <row r="101" spans="1:52" s="138" customFormat="1" ht="20.100000000000001" hidden="1" customHeight="1" x14ac:dyDescent="0.25">
      <c r="A101" s="142"/>
      <c r="B101" s="4"/>
      <c r="D101" s="139"/>
      <c r="E101" s="139"/>
      <c r="F101" s="691" t="str">
        <f>Administration!J13</f>
        <v>Commercial Credit PLC</v>
      </c>
      <c r="G101" s="139"/>
      <c r="H101" s="139"/>
      <c r="I101" s="139"/>
      <c r="J101" s="139"/>
      <c r="K101" s="142"/>
      <c r="L101" s="142"/>
      <c r="M101" s="142"/>
      <c r="N101" s="142"/>
      <c r="O101" s="142"/>
      <c r="P101" s="218"/>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8"/>
      <c r="AN101" s="141"/>
      <c r="AO101" s="141"/>
      <c r="AP101" s="141"/>
      <c r="AQ101" s="141"/>
      <c r="AR101" s="141"/>
      <c r="AS101" s="141"/>
      <c r="AT101" s="141"/>
      <c r="AU101" s="142" t="e">
        <f t="shared" ca="1" si="5"/>
        <v>#VALUE!</v>
      </c>
      <c r="AV101" s="141"/>
      <c r="AW101" s="141"/>
      <c r="AX101" s="484"/>
      <c r="AY101" s="141"/>
      <c r="AZ101" s="141"/>
    </row>
    <row r="102" spans="1:52" s="138" customFormat="1" ht="20.100000000000001" hidden="1" customHeight="1" x14ac:dyDescent="0.25">
      <c r="A102" s="142"/>
      <c r="B102" s="4"/>
      <c r="D102" s="139"/>
      <c r="E102" s="139"/>
      <c r="F102" s="691" t="str">
        <f>Administration!J14</f>
        <v>Commercial Trust Investment (Pvt) Ltd.</v>
      </c>
      <c r="G102" s="139"/>
      <c r="H102" s="139"/>
      <c r="I102" s="139"/>
      <c r="J102" s="139"/>
      <c r="K102" s="139"/>
      <c r="L102" s="139"/>
      <c r="M102" s="218"/>
      <c r="N102" s="142"/>
      <c r="O102" s="142"/>
      <c r="P102" s="218"/>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8"/>
      <c r="AN102" s="141"/>
      <c r="AO102" s="141"/>
      <c r="AP102" s="141"/>
      <c r="AQ102" s="141"/>
      <c r="AR102" s="141"/>
      <c r="AS102" s="141"/>
      <c r="AT102" s="141"/>
      <c r="AU102" s="142" t="e">
        <f t="shared" ca="1" si="5"/>
        <v>#VALUE!</v>
      </c>
      <c r="AV102" s="141"/>
      <c r="AW102" s="141"/>
      <c r="AX102" s="484"/>
      <c r="AY102" s="141"/>
      <c r="AZ102" s="141"/>
    </row>
    <row r="103" spans="1:52" s="138" customFormat="1" ht="20.100000000000001" hidden="1" customHeight="1" x14ac:dyDescent="0.25">
      <c r="A103" s="142"/>
      <c r="B103" s="4"/>
      <c r="D103" s="139"/>
      <c r="E103" s="139"/>
      <c r="F103" s="691" t="str">
        <f>Administration!J15</f>
        <v>David Pieris Leasing</v>
      </c>
      <c r="G103" s="139"/>
      <c r="H103" s="139"/>
      <c r="I103" s="139"/>
      <c r="J103" s="139"/>
      <c r="K103" s="139"/>
      <c r="L103" s="139"/>
      <c r="M103" s="218"/>
      <c r="N103" s="218"/>
      <c r="O103" s="262"/>
      <c r="P103" s="218"/>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8"/>
      <c r="AU103" s="142" t="e">
        <f t="shared" ca="1" si="5"/>
        <v>#VALUE!</v>
      </c>
      <c r="AX103" s="486"/>
    </row>
    <row r="104" spans="1:52" s="138" customFormat="1" ht="20.100000000000001" hidden="1" customHeight="1" x14ac:dyDescent="0.25">
      <c r="A104" s="142"/>
      <c r="B104" s="4"/>
      <c r="D104" s="139"/>
      <c r="E104" s="139"/>
      <c r="F104" s="691" t="str">
        <f>Administration!J16</f>
        <v>Dharmasiri Investments (Pvt) Ltd.</v>
      </c>
      <c r="G104" s="139"/>
      <c r="H104" s="139"/>
      <c r="I104" s="139"/>
      <c r="J104" s="139"/>
      <c r="K104" s="139"/>
      <c r="L104" s="139"/>
      <c r="M104" s="218"/>
      <c r="N104" s="218"/>
      <c r="O104" s="218"/>
      <c r="P104" s="218"/>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8"/>
      <c r="AU104" s="142" t="e">
        <f t="shared" ca="1" si="5"/>
        <v>#VALUE!</v>
      </c>
      <c r="AX104" s="486"/>
    </row>
    <row r="105" spans="1:52" s="138" customFormat="1" ht="20.100000000000001" hidden="1" customHeight="1" x14ac:dyDescent="0.25">
      <c r="A105" s="142"/>
      <c r="B105" s="4"/>
      <c r="D105" s="139"/>
      <c r="E105" s="139"/>
      <c r="F105" s="691" t="str">
        <f>Administration!J17</f>
        <v>Indra Finance Ltd.</v>
      </c>
      <c r="G105" s="139"/>
      <c r="H105" s="139"/>
      <c r="I105" s="139"/>
      <c r="J105" s="139"/>
      <c r="K105" s="139"/>
      <c r="L105" s="139"/>
      <c r="M105" s="218"/>
      <c r="N105" s="218"/>
      <c r="O105" s="218"/>
      <c r="P105" s="218"/>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8"/>
      <c r="AU105" s="142" t="e">
        <f t="shared" ca="1" si="5"/>
        <v>#VALUE!</v>
      </c>
      <c r="AX105" s="486"/>
    </row>
    <row r="106" spans="1:52" s="138" customFormat="1" ht="20.100000000000001" hidden="1" customHeight="1" x14ac:dyDescent="0.25">
      <c r="A106" s="142"/>
      <c r="B106" s="4"/>
      <c r="D106" s="139"/>
      <c r="E106" s="139"/>
      <c r="F106" s="691"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8"/>
      <c r="AU106" s="142"/>
      <c r="AX106" s="486"/>
    </row>
    <row r="107" spans="1:52" s="138" customFormat="1" ht="20.100000000000001" hidden="1" customHeight="1" x14ac:dyDescent="0.25">
      <c r="A107" s="142"/>
      <c r="B107" s="4"/>
      <c r="D107" s="139"/>
      <c r="E107" s="139"/>
      <c r="F107" s="691"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8"/>
      <c r="AU107" s="142" t="e">
        <f ca="1">AU105+1</f>
        <v>#VALUE!</v>
      </c>
      <c r="AX107" s="486"/>
    </row>
    <row r="108" spans="1:52" s="138" customFormat="1" ht="27.6" hidden="1" x14ac:dyDescent="0.25">
      <c r="A108" s="142"/>
      <c r="B108" s="4"/>
      <c r="D108" s="139"/>
      <c r="E108" s="139"/>
      <c r="F108" s="691"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8"/>
      <c r="AU108" s="142" t="e">
        <f t="shared" ref="AU108:AU152" ca="1" si="6">AU107+1</f>
        <v>#VALUE!</v>
      </c>
      <c r="AX108" s="486"/>
    </row>
    <row r="109" spans="1:52" s="138" customFormat="1" ht="27.6" hidden="1" x14ac:dyDescent="0.25">
      <c r="A109" s="142"/>
      <c r="B109" s="4"/>
      <c r="D109" s="139"/>
      <c r="E109" s="139"/>
      <c r="F109" s="691"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8"/>
      <c r="AU109" s="142" t="e">
        <f t="shared" ca="1" si="6"/>
        <v>#VALUE!</v>
      </c>
      <c r="AX109" s="486"/>
    </row>
    <row r="110" spans="1:52" s="138" customFormat="1" hidden="1" x14ac:dyDescent="0.25">
      <c r="A110" s="142"/>
      <c r="B110" s="4"/>
      <c r="D110" s="139"/>
      <c r="E110" s="139"/>
      <c r="F110" s="691"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8"/>
      <c r="AU110" s="142" t="e">
        <f t="shared" ca="1" si="6"/>
        <v>#VALUE!</v>
      </c>
      <c r="AX110" s="486"/>
    </row>
    <row r="111" spans="1:52" s="138" customFormat="1" hidden="1" x14ac:dyDescent="0.25">
      <c r="A111" s="142"/>
      <c r="B111" s="4"/>
      <c r="D111" s="139"/>
      <c r="E111" s="139"/>
      <c r="F111" s="691"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8"/>
      <c r="AU111" s="142" t="e">
        <f t="shared" ca="1" si="6"/>
        <v>#VALUE!</v>
      </c>
      <c r="AX111" s="486"/>
    </row>
    <row r="112" spans="1:52" s="138" customFormat="1" hidden="1" x14ac:dyDescent="0.25">
      <c r="A112" s="142"/>
      <c r="B112" s="4"/>
      <c r="D112" s="139"/>
      <c r="E112" s="139"/>
      <c r="F112" s="691"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8"/>
      <c r="AU112" s="142" t="e">
        <f t="shared" ca="1" si="6"/>
        <v>#VALUE!</v>
      </c>
      <c r="AX112" s="486"/>
    </row>
    <row r="113" spans="1:50" s="138" customFormat="1" hidden="1" x14ac:dyDescent="0.25">
      <c r="A113" s="142"/>
      <c r="B113" s="4"/>
      <c r="D113" s="139"/>
      <c r="E113" s="139"/>
      <c r="F113" s="691" t="str">
        <f>Administration!J25</f>
        <v>Omek Investments</v>
      </c>
      <c r="G113" s="139"/>
      <c r="H113" s="139"/>
      <c r="I113" s="139"/>
      <c r="J113" s="139"/>
      <c r="K113" s="139"/>
      <c r="L113" s="139"/>
      <c r="M113" s="139"/>
      <c r="O113" s="139"/>
      <c r="Q113" s="218"/>
      <c r="AJ113" s="142"/>
      <c r="AM113" s="218"/>
      <c r="AU113" s="142" t="e">
        <f t="shared" ca="1" si="6"/>
        <v>#VALUE!</v>
      </c>
      <c r="AX113" s="486"/>
    </row>
    <row r="114" spans="1:50" s="138" customFormat="1" hidden="1" x14ac:dyDescent="0.25">
      <c r="A114" s="142"/>
      <c r="B114" s="4"/>
      <c r="D114" s="139"/>
      <c r="E114" s="139"/>
      <c r="F114" s="691" t="str">
        <f>Administration!J26</f>
        <v>People's Leasing Company PLC</v>
      </c>
      <c r="G114" s="139"/>
      <c r="H114" s="139"/>
      <c r="I114" s="139"/>
      <c r="J114" s="139"/>
      <c r="K114" s="139"/>
      <c r="L114" s="139"/>
      <c r="M114" s="139"/>
      <c r="O114" s="139"/>
      <c r="Q114" s="218"/>
      <c r="AJ114" s="142"/>
      <c r="AM114" s="218"/>
      <c r="AU114" s="142" t="e">
        <f t="shared" ca="1" si="6"/>
        <v>#VALUE!</v>
      </c>
      <c r="AX114" s="486"/>
    </row>
    <row r="115" spans="1:50" s="138" customFormat="1" hidden="1" x14ac:dyDescent="0.25">
      <c r="A115" s="142"/>
      <c r="B115" s="4"/>
      <c r="D115" s="139"/>
      <c r="E115" s="139"/>
      <c r="F115" s="691" t="str">
        <f>Administration!J27</f>
        <v>Singer Finance (Lanka) PLC</v>
      </c>
      <c r="G115" s="139"/>
      <c r="H115" s="139"/>
      <c r="I115" s="139"/>
      <c r="J115" s="139"/>
      <c r="K115" s="139"/>
      <c r="L115" s="139"/>
      <c r="M115" s="139"/>
      <c r="O115" s="139"/>
      <c r="Q115" s="218"/>
      <c r="AJ115" s="142"/>
      <c r="AM115" s="218"/>
      <c r="AU115" s="142" t="e">
        <f t="shared" ca="1" si="6"/>
        <v>#VALUE!</v>
      </c>
      <c r="AX115" s="486"/>
    </row>
    <row r="116" spans="1:50" s="138" customFormat="1" hidden="1" x14ac:dyDescent="0.25">
      <c r="A116" s="142"/>
      <c r="B116" s="4"/>
      <c r="D116" s="139"/>
      <c r="E116" s="139"/>
      <c r="F116" s="691" t="str">
        <f>Administration!J28</f>
        <v>SN Finance</v>
      </c>
      <c r="G116" s="139"/>
      <c r="H116" s="139"/>
      <c r="I116" s="139"/>
      <c r="J116" s="139"/>
      <c r="K116" s="139"/>
      <c r="L116" s="139"/>
      <c r="M116" s="139"/>
      <c r="O116" s="139"/>
      <c r="Q116" s="218"/>
      <c r="AJ116" s="142"/>
      <c r="AM116" s="218"/>
      <c r="AU116" s="142" t="e">
        <f t="shared" ca="1" si="6"/>
        <v>#VALUE!</v>
      </c>
      <c r="AX116" s="486"/>
    </row>
    <row r="117" spans="1:50" s="138" customFormat="1" hidden="1" x14ac:dyDescent="0.25">
      <c r="A117" s="142"/>
      <c r="B117" s="4"/>
      <c r="F117" s="691" t="str">
        <f>Administration!J29</f>
        <v>Softlogic Finance PLC</v>
      </c>
      <c r="O117" s="139"/>
      <c r="Q117" s="218"/>
      <c r="AJ117" s="142"/>
      <c r="AM117" s="218"/>
      <c r="AU117" s="142" t="e">
        <f t="shared" ca="1" si="6"/>
        <v>#VALUE!</v>
      </c>
      <c r="AX117" s="486"/>
    </row>
    <row r="118" spans="1:50" s="138" customFormat="1" hidden="1" x14ac:dyDescent="0.25">
      <c r="A118" s="142"/>
      <c r="B118" s="4"/>
      <c r="F118" s="691" t="str">
        <f>Administration!J30</f>
        <v>Thamalu Enterprises</v>
      </c>
      <c r="O118" s="139"/>
      <c r="Q118" s="218"/>
      <c r="AJ118" s="142"/>
      <c r="AM118" s="218"/>
      <c r="AU118" s="142" t="e">
        <f t="shared" ca="1" si="6"/>
        <v>#VALUE!</v>
      </c>
      <c r="AX118" s="486"/>
    </row>
    <row r="119" spans="1:50" s="138" customFormat="1" hidden="1" x14ac:dyDescent="0.25">
      <c r="A119" s="142"/>
      <c r="B119" s="4"/>
      <c r="F119" s="691" t="str">
        <f>Administration!J31</f>
        <v>Trade Finance</v>
      </c>
      <c r="O119" s="139"/>
      <c r="Q119" s="218"/>
      <c r="AJ119" s="142"/>
      <c r="AM119" s="218"/>
      <c r="AU119" s="142" t="e">
        <f t="shared" ca="1" si="6"/>
        <v>#VALUE!</v>
      </c>
      <c r="AX119" s="486"/>
    </row>
    <row r="120" spans="1:50" s="138" customFormat="1" hidden="1" x14ac:dyDescent="0.25">
      <c r="A120" s="142"/>
      <c r="B120" s="4"/>
      <c r="F120" s="691" t="str">
        <f>Administration!J32</f>
        <v>UB Finance</v>
      </c>
      <c r="O120" s="139"/>
      <c r="Q120" s="218"/>
      <c r="AJ120" s="142"/>
      <c r="AM120" s="218"/>
      <c r="AU120" s="142" t="e">
        <f t="shared" ca="1" si="6"/>
        <v>#VALUE!</v>
      </c>
      <c r="AX120" s="486"/>
    </row>
    <row r="121" spans="1:50" s="138" customFormat="1" hidden="1" x14ac:dyDescent="0.25">
      <c r="A121" s="142"/>
      <c r="B121" s="4"/>
      <c r="F121" s="691" t="str">
        <f>Administration!J33</f>
        <v>Vallibel Finance PLC</v>
      </c>
      <c r="O121" s="139"/>
      <c r="Q121" s="218"/>
      <c r="AJ121" s="142"/>
      <c r="AM121" s="218"/>
      <c r="AU121" s="142" t="e">
        <f t="shared" ca="1" si="6"/>
        <v>#VALUE!</v>
      </c>
      <c r="AX121" s="486"/>
    </row>
    <row r="122" spans="1:50" s="138" customFormat="1" hidden="1" x14ac:dyDescent="0.25">
      <c r="A122" s="142"/>
      <c r="B122" s="4"/>
      <c r="F122" s="691">
        <f>Administration!J34</f>
        <v>0</v>
      </c>
      <c r="O122" s="139"/>
      <c r="Q122" s="218"/>
      <c r="AJ122" s="142"/>
      <c r="AM122" s="218"/>
      <c r="AU122" s="142" t="e">
        <f t="shared" ca="1" si="6"/>
        <v>#VALUE!</v>
      </c>
      <c r="AX122" s="486"/>
    </row>
    <row r="123" spans="1:50" s="138" customFormat="1" hidden="1" x14ac:dyDescent="0.25">
      <c r="A123" s="142"/>
      <c r="B123" s="4"/>
      <c r="F123" s="691">
        <f>Administration!J35</f>
        <v>0</v>
      </c>
      <c r="O123" s="139"/>
      <c r="Q123" s="218"/>
      <c r="AJ123" s="142"/>
      <c r="AM123" s="218"/>
      <c r="AU123" s="142" t="e">
        <f t="shared" ca="1" si="6"/>
        <v>#VALUE!</v>
      </c>
      <c r="AX123" s="486"/>
    </row>
    <row r="124" spans="1:50" s="138" customFormat="1" hidden="1" x14ac:dyDescent="0.25">
      <c r="A124" s="142"/>
      <c r="B124" s="4"/>
      <c r="F124" s="691">
        <f>Administration!J36</f>
        <v>0</v>
      </c>
      <c r="O124" s="139"/>
      <c r="Q124" s="218"/>
      <c r="AJ124" s="142"/>
      <c r="AM124" s="218"/>
      <c r="AU124" s="142" t="e">
        <f t="shared" ca="1" si="6"/>
        <v>#VALUE!</v>
      </c>
      <c r="AX124" s="486"/>
    </row>
    <row r="125" spans="1:50" s="138" customFormat="1" hidden="1" x14ac:dyDescent="0.25">
      <c r="A125" s="142"/>
      <c r="B125" s="4"/>
      <c r="F125" s="691">
        <f>Administration!J37</f>
        <v>0</v>
      </c>
      <c r="O125" s="139"/>
      <c r="Q125" s="218"/>
      <c r="AJ125" s="142"/>
      <c r="AM125" s="218"/>
      <c r="AU125" s="142" t="e">
        <f t="shared" ca="1" si="6"/>
        <v>#VALUE!</v>
      </c>
      <c r="AX125" s="486"/>
    </row>
    <row r="126" spans="1:50" s="138" customFormat="1" hidden="1" x14ac:dyDescent="0.25">
      <c r="A126" s="142"/>
      <c r="B126" s="4"/>
      <c r="F126" s="691">
        <f>Administration!J38</f>
        <v>0</v>
      </c>
      <c r="O126" s="139"/>
      <c r="Q126" s="218"/>
      <c r="AJ126" s="142"/>
      <c r="AM126" s="218"/>
      <c r="AU126" s="142" t="e">
        <f t="shared" ca="1" si="6"/>
        <v>#VALUE!</v>
      </c>
      <c r="AX126" s="486"/>
    </row>
    <row r="127" spans="1:50" s="138" customFormat="1" hidden="1" x14ac:dyDescent="0.25">
      <c r="A127" s="142"/>
      <c r="B127" s="4"/>
      <c r="F127" s="691">
        <f>Administration!J39</f>
        <v>0</v>
      </c>
      <c r="O127" s="139"/>
      <c r="Q127" s="218"/>
      <c r="AJ127" s="142"/>
      <c r="AM127" s="218"/>
      <c r="AU127" s="142" t="e">
        <f t="shared" ca="1" si="6"/>
        <v>#VALUE!</v>
      </c>
      <c r="AX127" s="486"/>
    </row>
    <row r="128" spans="1:50" s="138" customFormat="1" hidden="1" x14ac:dyDescent="0.25">
      <c r="A128" s="142"/>
      <c r="B128" s="4"/>
      <c r="F128" s="691">
        <f>Administration!J40</f>
        <v>0</v>
      </c>
      <c r="O128" s="139"/>
      <c r="Q128" s="218"/>
      <c r="AJ128" s="142"/>
      <c r="AM128" s="218"/>
      <c r="AU128" s="142" t="e">
        <f t="shared" ca="1" si="6"/>
        <v>#VALUE!</v>
      </c>
      <c r="AX128" s="486"/>
    </row>
    <row r="129" spans="1:50" s="138" customFormat="1" hidden="1" x14ac:dyDescent="0.25">
      <c r="A129" s="142"/>
      <c r="B129" s="4"/>
      <c r="F129" s="691">
        <f>Administration!J41</f>
        <v>0</v>
      </c>
      <c r="O129" s="139"/>
      <c r="Q129" s="218"/>
      <c r="AJ129" s="142"/>
      <c r="AM129" s="218"/>
      <c r="AU129" s="142" t="e">
        <f t="shared" ca="1" si="6"/>
        <v>#VALUE!</v>
      </c>
      <c r="AX129" s="486"/>
    </row>
    <row r="130" spans="1:50" s="138" customFormat="1" hidden="1" x14ac:dyDescent="0.25">
      <c r="A130" s="142"/>
      <c r="B130" s="4"/>
      <c r="F130" s="691">
        <f>Administration!J42</f>
        <v>0</v>
      </c>
      <c r="O130" s="139"/>
      <c r="Q130" s="218"/>
      <c r="AJ130" s="142"/>
      <c r="AM130" s="218"/>
      <c r="AU130" s="142" t="e">
        <f t="shared" ca="1" si="6"/>
        <v>#VALUE!</v>
      </c>
      <c r="AX130" s="486"/>
    </row>
    <row r="131" spans="1:50" s="138" customFormat="1" hidden="1" x14ac:dyDescent="0.25">
      <c r="A131" s="142"/>
      <c r="B131" s="4"/>
      <c r="F131" s="691">
        <f>Administration!J43</f>
        <v>0</v>
      </c>
      <c r="O131" s="139"/>
      <c r="Q131" s="218"/>
      <c r="AJ131" s="142"/>
      <c r="AM131" s="218"/>
      <c r="AU131" s="142" t="e">
        <f t="shared" ca="1" si="6"/>
        <v>#VALUE!</v>
      </c>
      <c r="AX131" s="486"/>
    </row>
    <row r="132" spans="1:50" s="138" customFormat="1" hidden="1" x14ac:dyDescent="0.25">
      <c r="A132" s="142"/>
      <c r="B132" s="4"/>
      <c r="F132" s="691">
        <f>Administration!J44</f>
        <v>0</v>
      </c>
      <c r="O132" s="139"/>
      <c r="Q132" s="218"/>
      <c r="AJ132" s="142"/>
      <c r="AM132" s="218"/>
      <c r="AU132" s="142" t="e">
        <f t="shared" ca="1" si="6"/>
        <v>#VALUE!</v>
      </c>
      <c r="AX132" s="486"/>
    </row>
    <row r="133" spans="1:50" s="138" customFormat="1" hidden="1" x14ac:dyDescent="0.25">
      <c r="A133" s="142"/>
      <c r="B133" s="4"/>
      <c r="F133" s="691">
        <f>Administration!J45</f>
        <v>0</v>
      </c>
      <c r="O133" s="139"/>
      <c r="Q133" s="218"/>
      <c r="AJ133" s="142"/>
      <c r="AM133" s="218"/>
      <c r="AU133" s="142" t="e">
        <f t="shared" ca="1" si="6"/>
        <v>#VALUE!</v>
      </c>
      <c r="AX133" s="486"/>
    </row>
    <row r="134" spans="1:50" s="138" customFormat="1" hidden="1" x14ac:dyDescent="0.25">
      <c r="A134" s="142"/>
      <c r="B134" s="4"/>
      <c r="F134" s="691">
        <f>Administration!J46</f>
        <v>0</v>
      </c>
      <c r="O134" s="139"/>
      <c r="Q134" s="218"/>
      <c r="AJ134" s="142"/>
      <c r="AM134" s="218"/>
      <c r="AU134" s="142" t="e">
        <f t="shared" ca="1" si="6"/>
        <v>#VALUE!</v>
      </c>
      <c r="AX134" s="486"/>
    </row>
    <row r="135" spans="1:50" s="138" customFormat="1" hidden="1" x14ac:dyDescent="0.25">
      <c r="A135" s="142"/>
      <c r="B135" s="4"/>
      <c r="F135" s="691">
        <f>Administration!J47</f>
        <v>0</v>
      </c>
      <c r="O135" s="139"/>
      <c r="Q135" s="218"/>
      <c r="AJ135" s="142"/>
      <c r="AM135" s="218"/>
      <c r="AU135" s="142" t="e">
        <f t="shared" ca="1" si="6"/>
        <v>#VALUE!</v>
      </c>
      <c r="AX135" s="486"/>
    </row>
    <row r="136" spans="1:50" s="138" customFormat="1" hidden="1" x14ac:dyDescent="0.25">
      <c r="A136" s="142"/>
      <c r="B136" s="4"/>
      <c r="F136" s="691">
        <f>Administration!J48</f>
        <v>0</v>
      </c>
      <c r="O136" s="139"/>
      <c r="Q136" s="218"/>
      <c r="AJ136" s="142"/>
      <c r="AM136" s="218"/>
      <c r="AU136" s="142" t="e">
        <f t="shared" ca="1" si="6"/>
        <v>#VALUE!</v>
      </c>
      <c r="AX136" s="486"/>
    </row>
    <row r="137" spans="1:50" s="138" customFormat="1" hidden="1" x14ac:dyDescent="0.25">
      <c r="A137" s="142"/>
      <c r="B137" s="4"/>
      <c r="F137" s="691">
        <f>Administration!J49</f>
        <v>0</v>
      </c>
      <c r="O137" s="139"/>
      <c r="Q137" s="218"/>
      <c r="AJ137" s="142"/>
      <c r="AM137" s="218"/>
      <c r="AU137" s="142" t="e">
        <f t="shared" ca="1" si="6"/>
        <v>#VALUE!</v>
      </c>
      <c r="AX137" s="486"/>
    </row>
    <row r="138" spans="1:50" s="138" customFormat="1" hidden="1" x14ac:dyDescent="0.25">
      <c r="A138" s="142"/>
      <c r="B138" s="4"/>
      <c r="F138" s="691">
        <f>Administration!J50</f>
        <v>0</v>
      </c>
      <c r="O138" s="139"/>
      <c r="Q138" s="218"/>
      <c r="AJ138" s="142"/>
      <c r="AM138" s="218"/>
      <c r="AU138" s="142" t="e">
        <f t="shared" ca="1" si="6"/>
        <v>#VALUE!</v>
      </c>
      <c r="AX138" s="486"/>
    </row>
    <row r="139" spans="1:50" s="138" customFormat="1" hidden="1" x14ac:dyDescent="0.25">
      <c r="A139" s="142"/>
      <c r="B139" s="4"/>
      <c r="F139" s="691">
        <f>Administration!J51</f>
        <v>0</v>
      </c>
      <c r="O139" s="139"/>
      <c r="Q139" s="218"/>
      <c r="AJ139" s="142"/>
      <c r="AM139" s="218"/>
      <c r="AU139" s="142" t="e">
        <f t="shared" ca="1" si="6"/>
        <v>#VALUE!</v>
      </c>
      <c r="AX139" s="486"/>
    </row>
    <row r="140" spans="1:50" s="138" customFormat="1" hidden="1" x14ac:dyDescent="0.25">
      <c r="A140" s="142"/>
      <c r="B140" s="4"/>
      <c r="F140" s="691">
        <f>Administration!J52</f>
        <v>0</v>
      </c>
      <c r="O140" s="139"/>
      <c r="Q140" s="218"/>
      <c r="AJ140" s="142"/>
      <c r="AM140" s="218"/>
      <c r="AU140" s="142" t="e">
        <f t="shared" ca="1" si="6"/>
        <v>#VALUE!</v>
      </c>
      <c r="AX140" s="486"/>
    </row>
    <row r="141" spans="1:50" s="138" customFormat="1" hidden="1" x14ac:dyDescent="0.25">
      <c r="A141" s="142"/>
      <c r="B141" s="4"/>
      <c r="F141" s="691">
        <f>Administration!J53</f>
        <v>0</v>
      </c>
      <c r="O141" s="139"/>
      <c r="Q141" s="218"/>
      <c r="AJ141" s="142"/>
      <c r="AM141" s="218"/>
      <c r="AU141" s="142" t="e">
        <f t="shared" ca="1" si="6"/>
        <v>#VALUE!</v>
      </c>
      <c r="AX141" s="486"/>
    </row>
    <row r="142" spans="1:50" s="138" customFormat="1" hidden="1" x14ac:dyDescent="0.25">
      <c r="A142" s="142"/>
      <c r="B142" s="4"/>
      <c r="F142" s="691">
        <f>Administration!J54</f>
        <v>0</v>
      </c>
      <c r="O142" s="139"/>
      <c r="Q142" s="218"/>
      <c r="AJ142" s="142"/>
      <c r="AM142" s="218"/>
      <c r="AU142" s="142" t="e">
        <f t="shared" ca="1" si="6"/>
        <v>#VALUE!</v>
      </c>
      <c r="AX142" s="486"/>
    </row>
    <row r="143" spans="1:50" s="138" customFormat="1" hidden="1" x14ac:dyDescent="0.25">
      <c r="A143" s="142"/>
      <c r="B143" s="4"/>
      <c r="F143" s="691">
        <f>Administration!J55</f>
        <v>0</v>
      </c>
      <c r="O143" s="139"/>
      <c r="Q143" s="218"/>
      <c r="AJ143" s="142"/>
      <c r="AM143" s="218"/>
      <c r="AU143" s="142" t="e">
        <f t="shared" ca="1" si="6"/>
        <v>#VALUE!</v>
      </c>
      <c r="AX143" s="486"/>
    </row>
    <row r="144" spans="1:50" s="138" customFormat="1" hidden="1" x14ac:dyDescent="0.25">
      <c r="A144" s="142"/>
      <c r="B144" s="4"/>
      <c r="F144" s="691">
        <f>Administration!J56</f>
        <v>0</v>
      </c>
      <c r="O144" s="139"/>
      <c r="Q144" s="218"/>
      <c r="AJ144" s="142"/>
      <c r="AM144" s="218"/>
      <c r="AU144" s="142" t="e">
        <f t="shared" ca="1" si="6"/>
        <v>#VALUE!</v>
      </c>
      <c r="AX144" s="486"/>
    </row>
    <row r="145" spans="1:50" s="138" customFormat="1" hidden="1" x14ac:dyDescent="0.25">
      <c r="A145" s="142"/>
      <c r="B145" s="4"/>
      <c r="F145" s="691">
        <f>Administration!J57</f>
        <v>0</v>
      </c>
      <c r="O145" s="139"/>
      <c r="Q145" s="218"/>
      <c r="AJ145" s="142"/>
      <c r="AM145" s="218"/>
      <c r="AU145" s="142" t="e">
        <f t="shared" ca="1" si="6"/>
        <v>#VALUE!</v>
      </c>
      <c r="AX145" s="486"/>
    </row>
    <row r="146" spans="1:50" s="138" customFormat="1" hidden="1" x14ac:dyDescent="0.25">
      <c r="A146" s="142"/>
      <c r="B146" s="4"/>
      <c r="F146" s="691">
        <f>Administration!J58</f>
        <v>0</v>
      </c>
      <c r="O146" s="139"/>
      <c r="Q146" s="218"/>
      <c r="AJ146" s="142"/>
      <c r="AM146" s="218"/>
      <c r="AU146" s="142" t="e">
        <f t="shared" ca="1" si="6"/>
        <v>#VALUE!</v>
      </c>
      <c r="AX146" s="486"/>
    </row>
    <row r="147" spans="1:50" s="138" customFormat="1" hidden="1" x14ac:dyDescent="0.25">
      <c r="A147" s="142"/>
      <c r="B147" s="4"/>
      <c r="F147" s="691">
        <f>Administration!J59</f>
        <v>0</v>
      </c>
      <c r="O147" s="139"/>
      <c r="Q147" s="218"/>
      <c r="AJ147" s="142"/>
      <c r="AM147" s="218"/>
      <c r="AU147" s="142" t="e">
        <f t="shared" ca="1" si="6"/>
        <v>#VALUE!</v>
      </c>
      <c r="AX147" s="486"/>
    </row>
    <row r="148" spans="1:50" s="138" customFormat="1" hidden="1" x14ac:dyDescent="0.25">
      <c r="A148" s="142"/>
      <c r="B148" s="4"/>
      <c r="F148" s="691">
        <f>Administration!J60</f>
        <v>0</v>
      </c>
      <c r="O148" s="139"/>
      <c r="Q148" s="218"/>
      <c r="AJ148" s="142"/>
      <c r="AM148" s="218"/>
      <c r="AU148" s="142" t="e">
        <f t="shared" ca="1" si="6"/>
        <v>#VALUE!</v>
      </c>
      <c r="AX148" s="486"/>
    </row>
    <row r="149" spans="1:50" s="138" customFormat="1" hidden="1" x14ac:dyDescent="0.25">
      <c r="A149" s="142"/>
      <c r="B149" s="4"/>
      <c r="F149" s="691">
        <f>Administration!J61</f>
        <v>0</v>
      </c>
      <c r="O149" s="139"/>
      <c r="Q149" s="218"/>
      <c r="AJ149" s="142"/>
      <c r="AM149" s="218"/>
      <c r="AU149" s="142" t="e">
        <f t="shared" ca="1" si="6"/>
        <v>#VALUE!</v>
      </c>
      <c r="AX149" s="486"/>
    </row>
    <row r="150" spans="1:50" s="138" customFormat="1" hidden="1" x14ac:dyDescent="0.25">
      <c r="A150" s="142"/>
      <c r="B150" s="4"/>
      <c r="F150" s="691">
        <f>Administration!J62</f>
        <v>0</v>
      </c>
      <c r="O150" s="139"/>
      <c r="Q150" s="218"/>
      <c r="AJ150" s="142"/>
      <c r="AM150" s="218"/>
      <c r="AU150" s="142" t="e">
        <f t="shared" ca="1" si="6"/>
        <v>#VALUE!</v>
      </c>
      <c r="AX150" s="486"/>
    </row>
    <row r="151" spans="1:50" s="138" customFormat="1" hidden="1" x14ac:dyDescent="0.25">
      <c r="A151" s="142"/>
      <c r="B151" s="4"/>
      <c r="F151" s="691">
        <f>Administration!J63</f>
        <v>0</v>
      </c>
      <c r="O151" s="139"/>
      <c r="Q151" s="218"/>
      <c r="AJ151" s="142"/>
      <c r="AM151" s="218"/>
      <c r="AU151" s="142" t="e">
        <f t="shared" ca="1" si="6"/>
        <v>#VALUE!</v>
      </c>
      <c r="AX151" s="486"/>
    </row>
    <row r="152" spans="1:50" s="138" customFormat="1" hidden="1" x14ac:dyDescent="0.25">
      <c r="A152" s="142"/>
      <c r="B152" s="4"/>
      <c r="O152" s="139"/>
      <c r="Q152" s="218"/>
      <c r="AJ152" s="142"/>
      <c r="AM152" s="218"/>
      <c r="AU152" s="142" t="e">
        <f t="shared" ca="1" si="6"/>
        <v>#VALUE!</v>
      </c>
      <c r="AX152" s="486"/>
    </row>
  </sheetData>
  <sheetProtection selectLockedCells="1" selectUnlockedCell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R94:T94"/>
    <mergeCell ref="O40:V41"/>
    <mergeCell ref="H46:K46"/>
    <mergeCell ref="M69:M70"/>
    <mergeCell ref="I49:K49"/>
    <mergeCell ref="I52:K52"/>
    <mergeCell ref="N66:O66"/>
    <mergeCell ref="I37:K37"/>
    <mergeCell ref="I36:K36"/>
    <mergeCell ref="I28:K28"/>
    <mergeCell ref="E61:F66"/>
    <mergeCell ref="F70:H71"/>
    <mergeCell ref="F58:G58"/>
    <mergeCell ref="F59:G59"/>
    <mergeCell ref="I30:J30"/>
  </mergeCells>
  <phoneticPr fontId="0" type="noConversion"/>
  <conditionalFormatting sqref="E54 E50">
    <cfRule type="expression" dxfId="111" priority="13" stopIfTrue="1">
      <formula>H50&gt;0</formula>
    </cfRule>
  </conditionalFormatting>
  <conditionalFormatting sqref="E56 E45">
    <cfRule type="expression" dxfId="110" priority="14" stopIfTrue="1">
      <formula>O45=1</formula>
    </cfRule>
  </conditionalFormatting>
  <conditionalFormatting sqref="E55">
    <cfRule type="expression" dxfId="109" priority="16" stopIfTrue="1">
      <formula>Q55=1</formula>
    </cfRule>
  </conditionalFormatting>
  <conditionalFormatting sqref="F56:G56">
    <cfRule type="expression" dxfId="108" priority="17" stopIfTrue="1">
      <formula>O56=1</formula>
    </cfRule>
  </conditionalFormatting>
  <conditionalFormatting sqref="F55:G55 G40">
    <cfRule type="expression" dxfId="107" priority="18" stopIfTrue="1">
      <formula>Q40=1</formula>
    </cfRule>
  </conditionalFormatting>
  <conditionalFormatting sqref="E44">
    <cfRule type="expression" dxfId="106" priority="19" stopIfTrue="1">
      <formula>M44&gt;1</formula>
    </cfRule>
  </conditionalFormatting>
  <conditionalFormatting sqref="E46">
    <cfRule type="expression" dxfId="105" priority="20" stopIfTrue="1">
      <formula>OR(T46=1,Q48=0)</formula>
    </cfRule>
  </conditionalFormatting>
  <conditionalFormatting sqref="F46:G46">
    <cfRule type="expression" dxfId="104" priority="21" stopIfTrue="1">
      <formula>OR(T46=1,Q48=0)</formula>
    </cfRule>
  </conditionalFormatting>
  <conditionalFormatting sqref="F39:G39">
    <cfRule type="expression" dxfId="103" priority="24" stopIfTrue="1">
      <formula>B39="Yes"</formula>
    </cfRule>
  </conditionalFormatting>
  <conditionalFormatting sqref="E39">
    <cfRule type="expression" dxfId="102" priority="25" stopIfTrue="1">
      <formula>B39="Yes"</formula>
    </cfRule>
  </conditionalFormatting>
  <conditionalFormatting sqref="F23">
    <cfRule type="expression" dxfId="101" priority="26" stopIfTrue="1">
      <formula>M23&lt;0</formula>
    </cfRule>
  </conditionalFormatting>
  <conditionalFormatting sqref="E23">
    <cfRule type="expression" dxfId="100" priority="27" stopIfTrue="1">
      <formula>M23&lt;0</formula>
    </cfRule>
  </conditionalFormatting>
  <conditionalFormatting sqref="F48:G48">
    <cfRule type="expression" dxfId="99" priority="28" stopIfTrue="1">
      <formula>T48=1</formula>
    </cfRule>
  </conditionalFormatting>
  <conditionalFormatting sqref="E48">
    <cfRule type="expression" dxfId="98" priority="29" stopIfTrue="1">
      <formula>T48=1</formula>
    </cfRule>
  </conditionalFormatting>
  <conditionalFormatting sqref="F44:G44">
    <cfRule type="expression" dxfId="97" priority="31" stopIfTrue="1">
      <formula>AND(O45=1,R45=1)</formula>
    </cfRule>
  </conditionalFormatting>
  <conditionalFormatting sqref="F45:G45">
    <cfRule type="expression" dxfId="96" priority="32" stopIfTrue="1">
      <formula>AND(O45=1,R45=1)</formula>
    </cfRule>
  </conditionalFormatting>
  <conditionalFormatting sqref="E20">
    <cfRule type="expression" dxfId="95" priority="33" stopIfTrue="1">
      <formula>H20&gt;0</formula>
    </cfRule>
  </conditionalFormatting>
  <conditionalFormatting sqref="F20:G20">
    <cfRule type="expression" dxfId="94" priority="34" stopIfTrue="1">
      <formula>H20&gt;0</formula>
    </cfRule>
  </conditionalFormatting>
  <conditionalFormatting sqref="F36:F37">
    <cfRule type="expression" dxfId="93" priority="35" stopIfTrue="1">
      <formula>AND(H36&gt;0%,M36&lt;0)</formula>
    </cfRule>
  </conditionalFormatting>
  <conditionalFormatting sqref="E36:E37">
    <cfRule type="expression" dxfId="92" priority="36" stopIfTrue="1">
      <formula>AND(H36&gt;0%,M36&lt;0)</formula>
    </cfRule>
  </conditionalFormatting>
  <conditionalFormatting sqref="E47">
    <cfRule type="expression" dxfId="91" priority="37" stopIfTrue="1">
      <formula>R64=1</formula>
    </cfRule>
  </conditionalFormatting>
  <conditionalFormatting sqref="F51:G51">
    <cfRule type="expression" dxfId="90" priority="39" stopIfTrue="1">
      <formula>AND($H$51&gt;0,Z49=1,Y49=1)</formula>
    </cfRule>
  </conditionalFormatting>
  <conditionalFormatting sqref="E51">
    <cfRule type="expression" dxfId="89" priority="40" stopIfTrue="1">
      <formula>AND($H$51&gt;0,Z49=1,Y49=1)</formula>
    </cfRule>
  </conditionalFormatting>
  <conditionalFormatting sqref="E60">
    <cfRule type="expression" dxfId="88" priority="41" stopIfTrue="1">
      <formula>C60=1</formula>
    </cfRule>
  </conditionalFormatting>
  <conditionalFormatting sqref="M19:M20 M22 M30 M36:M37 M39:M57">
    <cfRule type="expression" dxfId="87" priority="42" stopIfTrue="1">
      <formula>L19=1</formula>
    </cfRule>
  </conditionalFormatting>
  <conditionalFormatting sqref="M29 M23 M25">
    <cfRule type="expression" dxfId="86" priority="43" stopIfTrue="1">
      <formula>O23=1</formula>
    </cfRule>
  </conditionalFormatting>
  <conditionalFormatting sqref="E58:E59">
    <cfRule type="expression" dxfId="85" priority="45" stopIfTrue="1">
      <formula>O58=1</formula>
    </cfRule>
  </conditionalFormatting>
  <conditionalFormatting sqref="E21">
    <cfRule type="expression" dxfId="84" priority="48" stopIfTrue="1">
      <formula>OR(B21="Free",Q21=1)</formula>
    </cfRule>
  </conditionalFormatting>
  <conditionalFormatting sqref="E25">
    <cfRule type="expression" dxfId="83" priority="50" stopIfTrue="1">
      <formula>OR($R$25&gt;1,AA25=1)</formula>
    </cfRule>
  </conditionalFormatting>
  <conditionalFormatting sqref="I36">
    <cfRule type="expression" dxfId="82" priority="51" stopIfTrue="1">
      <formula>OR(H36&gt;R36,I36="NCB Not Allowed")</formula>
    </cfRule>
  </conditionalFormatting>
  <conditionalFormatting sqref="E57">
    <cfRule type="expression" dxfId="81" priority="54" stopIfTrue="1">
      <formula>M57&gt;1</formula>
    </cfRule>
  </conditionalFormatting>
  <conditionalFormatting sqref="H53">
    <cfRule type="expression" dxfId="80" priority="55" stopIfTrue="1">
      <formula>T48=0</formula>
    </cfRule>
  </conditionalFormatting>
  <conditionalFormatting sqref="F25">
    <cfRule type="expression" dxfId="79" priority="56" stopIfTrue="1">
      <formula>OR($R$25&gt;1,AA25=1)</formula>
    </cfRule>
  </conditionalFormatting>
  <conditionalFormatting sqref="F26">
    <cfRule type="expression" dxfId="78" priority="57" stopIfTrue="1">
      <formula>H25&gt;0</formula>
    </cfRule>
  </conditionalFormatting>
  <conditionalFormatting sqref="H26">
    <cfRule type="expression" dxfId="77" priority="58" stopIfTrue="1">
      <formula>H25&gt;0</formula>
    </cfRule>
  </conditionalFormatting>
  <conditionalFormatting sqref="K26">
    <cfRule type="expression" dxfId="76" priority="59" stopIfTrue="1">
      <formula>H25&gt;0</formula>
    </cfRule>
  </conditionalFormatting>
  <conditionalFormatting sqref="I29:J29">
    <cfRule type="expression" dxfId="75" priority="60" stopIfTrue="1">
      <formula>M29=0</formula>
    </cfRule>
  </conditionalFormatting>
  <conditionalFormatting sqref="I27">
    <cfRule type="expression" dxfId="74" priority="62" stopIfTrue="1">
      <formula>OR($R$25&gt;1,AA25=1)</formula>
    </cfRule>
  </conditionalFormatting>
  <conditionalFormatting sqref="L25">
    <cfRule type="expression" dxfId="73" priority="63" stopIfTrue="1">
      <formula>OR($R$25&gt;1,AA25=1)</formula>
    </cfRule>
  </conditionalFormatting>
  <conditionalFormatting sqref="G42">
    <cfRule type="expression" dxfId="72" priority="64" stopIfTrue="1">
      <formula>AND(R41=1,R40=1)</formula>
    </cfRule>
  </conditionalFormatting>
  <conditionalFormatting sqref="E40">
    <cfRule type="expression" dxfId="71" priority="65" stopIfTrue="1">
      <formula>Q38=1</formula>
    </cfRule>
  </conditionalFormatting>
  <conditionalFormatting sqref="F40">
    <cfRule type="expression" dxfId="70" priority="66" stopIfTrue="1">
      <formula>Q38=1</formula>
    </cfRule>
  </conditionalFormatting>
  <conditionalFormatting sqref="E42">
    <cfRule type="expression" dxfId="69" priority="67" stopIfTrue="1">
      <formula>AND(Q39=1,Q38=1)</formula>
    </cfRule>
  </conditionalFormatting>
  <conditionalFormatting sqref="F42">
    <cfRule type="expression" dxfId="68" priority="68" stopIfTrue="1">
      <formula>AND(Q39=1,Q38=1)</formula>
    </cfRule>
  </conditionalFormatting>
  <conditionalFormatting sqref="E53">
    <cfRule type="expression" dxfId="67" priority="79" stopIfTrue="1">
      <formula>AND(H53&gt;1000,T48=1,Z50=1,O53=1)</formula>
    </cfRule>
  </conditionalFormatting>
  <conditionalFormatting sqref="G4">
    <cfRule type="expression" dxfId="66" priority="86" stopIfTrue="1">
      <formula>D3=1</formula>
    </cfRule>
  </conditionalFormatting>
  <conditionalFormatting sqref="H4">
    <cfRule type="expression" dxfId="65" priority="87" stopIfTrue="1">
      <formula>D3=1</formula>
    </cfRule>
  </conditionalFormatting>
  <conditionalFormatting sqref="I4:J4">
    <cfRule type="expression" dxfId="64" priority="88" stopIfTrue="1">
      <formula>D3=1</formula>
    </cfRule>
  </conditionalFormatting>
  <conditionalFormatting sqref="G5">
    <cfRule type="expression" dxfId="63" priority="89" stopIfTrue="1">
      <formula>D3=1</formula>
    </cfRule>
  </conditionalFormatting>
  <conditionalFormatting sqref="I5:J5">
    <cfRule type="expression" dxfId="62" priority="90" stopIfTrue="1">
      <formula>D3=1</formula>
    </cfRule>
  </conditionalFormatting>
  <conditionalFormatting sqref="H5">
    <cfRule type="expression" dxfId="61" priority="91" stopIfTrue="1">
      <formula>D3=1</formula>
    </cfRule>
  </conditionalFormatting>
  <conditionalFormatting sqref="M5">
    <cfRule type="expression" dxfId="60" priority="92" stopIfTrue="1">
      <formula>D3=1</formula>
    </cfRule>
  </conditionalFormatting>
  <conditionalFormatting sqref="I3:J3">
    <cfRule type="expression" dxfId="59" priority="93" stopIfTrue="1">
      <formula>D3=1</formula>
    </cfRule>
  </conditionalFormatting>
  <conditionalFormatting sqref="E22">
    <cfRule type="expression" dxfId="58" priority="94" stopIfTrue="1">
      <formula>I22&gt;1000</formula>
    </cfRule>
  </conditionalFormatting>
  <conditionalFormatting sqref="F22">
    <cfRule type="expression" dxfId="57" priority="96" stopIfTrue="1">
      <formula>I22&gt;1</formula>
    </cfRule>
  </conditionalFormatting>
  <conditionalFormatting sqref="K8">
    <cfRule type="expression" dxfId="56" priority="85" stopIfTrue="1">
      <formula>M8=L8</formula>
    </cfRule>
  </conditionalFormatting>
  <conditionalFormatting sqref="I24:J24">
    <cfRule type="expression" dxfId="55" priority="178" stopIfTrue="1">
      <formula>AND(C24=1,U23=0)</formula>
    </cfRule>
  </conditionalFormatting>
  <conditionalFormatting sqref="F49:G49">
    <cfRule type="expression" dxfId="54" priority="22" stopIfTrue="1">
      <formula>OR(Q49&gt;0,H49&gt;0)</formula>
    </cfRule>
  </conditionalFormatting>
  <conditionalFormatting sqref="F47:G47">
    <cfRule type="expression" dxfId="53" priority="38" stopIfTrue="1">
      <formula>AND(H47&gt;1,T47=1,Z49=1)</formula>
    </cfRule>
  </conditionalFormatting>
  <conditionalFormatting sqref="F21:G21">
    <cfRule type="expression" dxfId="52" priority="49" stopIfTrue="1">
      <formula>OR(B21="Free",Q21=1)</formula>
    </cfRule>
  </conditionalFormatting>
  <conditionalFormatting sqref="E29">
    <cfRule type="expression" dxfId="51" priority="52" stopIfTrue="1">
      <formula>AND(R29&gt;1,Z49=1,Y49=1)</formula>
    </cfRule>
  </conditionalFormatting>
  <conditionalFormatting sqref="F29:G29">
    <cfRule type="expression" dxfId="50" priority="53" stopIfTrue="1">
      <formula>AND(R29&gt;1,Z49=1,Y49=1)</formula>
    </cfRule>
  </conditionalFormatting>
  <conditionalFormatting sqref="E41">
    <cfRule type="expression" dxfId="49" priority="184" stopIfTrue="1">
      <formula>AND($C$40=1,D41=1)</formula>
    </cfRule>
  </conditionalFormatting>
  <conditionalFormatting sqref="G41">
    <cfRule type="expression" dxfId="48" priority="185" stopIfTrue="1">
      <formula>AND($C$40=1,M30&gt;0)</formula>
    </cfRule>
  </conditionalFormatting>
  <conditionalFormatting sqref="F41">
    <cfRule type="expression" dxfId="47" priority="186" stopIfTrue="1">
      <formula>E41=1</formula>
    </cfRule>
  </conditionalFormatting>
  <conditionalFormatting sqref="K41">
    <cfRule type="expression" dxfId="46" priority="187" stopIfTrue="1">
      <formula>AND(Z42&gt;0,J41=1)</formula>
    </cfRule>
  </conditionalFormatting>
  <conditionalFormatting sqref="J41">
    <cfRule type="expression" dxfId="45" priority="188" stopIfTrue="1">
      <formula>AND($C$40=1,OR(H50&gt;0,H51&gt;0))</formula>
    </cfRule>
  </conditionalFormatting>
  <conditionalFormatting sqref="F43 K43">
    <cfRule type="expression" dxfId="44" priority="189" stopIfTrue="1">
      <formula>AND(E43=1,E41=1)</formula>
    </cfRule>
  </conditionalFormatting>
  <conditionalFormatting sqref="G43">
    <cfRule type="expression" dxfId="43" priority="190" stopIfTrue="1">
      <formula>AND($C$40=1,$C$42=1,M30&gt;0)</formula>
    </cfRule>
  </conditionalFormatting>
  <conditionalFormatting sqref="E43">
    <cfRule type="expression" dxfId="42" priority="191" stopIfTrue="1">
      <formula>AND($C$40=1,$C$42=1,D41=1)</formula>
    </cfRule>
  </conditionalFormatting>
  <conditionalFormatting sqref="J43">
    <cfRule type="expression" dxfId="41" priority="192" stopIfTrue="1">
      <formula>AND($C$40=1,$C$42=1,OR(H50&gt;0,H51&gt;0))</formula>
    </cfRule>
  </conditionalFormatting>
  <conditionalFormatting sqref="H58:H59">
    <cfRule type="expression" dxfId="40" priority="195" stopIfTrue="1">
      <formula>AND(C58=1,F58="")</formula>
    </cfRule>
  </conditionalFormatting>
  <conditionalFormatting sqref="H24">
    <cfRule type="expression" dxfId="39" priority="196" stopIfTrue="1">
      <formula>U23=0</formula>
    </cfRule>
  </conditionalFormatting>
  <conditionalFormatting sqref="I16:M17">
    <cfRule type="expression" dxfId="38" priority="200" stopIfTrue="1">
      <formula>R15=0</formula>
    </cfRule>
  </conditionalFormatting>
  <conditionalFormatting sqref="H41">
    <cfRule type="expression" dxfId="37" priority="209" stopIfTrue="1">
      <formula>AND($C$40=1,M30&gt;0,G41=1)</formula>
    </cfRule>
  </conditionalFormatting>
  <conditionalFormatting sqref="H43">
    <cfRule type="expression" dxfId="36" priority="210" stopIfTrue="1">
      <formula>AND($C$40=1,M30&gt;0,G43=1,G41=1)</formula>
    </cfRule>
  </conditionalFormatting>
  <conditionalFormatting sqref="O25 L22 L36:L37 L30 O23 L19:L20 O29 L39:L59">
    <cfRule type="expression" dxfId="35" priority="101" stopIfTrue="1">
      <formula>$C$2="Yes"</formula>
    </cfRule>
  </conditionalFormatting>
  <conditionalFormatting sqref="I41">
    <cfRule type="expression" dxfId="34" priority="82" stopIfTrue="1">
      <formula>AND(B40="Yes",T42="Yes",H25&gt;0,L27&gt;0)</formula>
    </cfRule>
  </conditionalFormatting>
  <conditionalFormatting sqref="I43">
    <cfRule type="expression" dxfId="33" priority="83" stopIfTrue="1">
      <formula>AND(B40="Yes",T42="Yes",H25&gt;0,L27&gt;0,B41="Yes",T43="Yes")</formula>
    </cfRule>
  </conditionalFormatting>
  <conditionalFormatting sqref="E30">
    <cfRule type="expression" dxfId="32" priority="98" stopIfTrue="1">
      <formula>AND(H30&gt;1,C30="Yes",AA2=1,Z49=1,Y49=1)</formula>
    </cfRule>
  </conditionalFormatting>
  <conditionalFormatting sqref="H42 I49:J49 H44 K42 K44">
    <cfRule type="cellIs" dxfId="31" priority="105" stopIfTrue="1" operator="equal">
      <formula>0</formula>
    </cfRule>
  </conditionalFormatting>
  <conditionalFormatting sqref="K47">
    <cfRule type="cellIs" dxfId="30" priority="100" stopIfTrue="1" operator="equal">
      <formula>0</formula>
    </cfRule>
  </conditionalFormatting>
  <conditionalFormatting sqref="F54:G54">
    <cfRule type="expression" dxfId="29" priority="103" stopIfTrue="1">
      <formula>$H$54&gt;0</formula>
    </cfRule>
  </conditionalFormatting>
  <conditionalFormatting sqref="F50:G50">
    <cfRule type="expression" dxfId="28" priority="104" stopIfTrue="1">
      <formula>$H$50&gt;0</formula>
    </cfRule>
  </conditionalFormatting>
  <conditionalFormatting sqref="F57:G60">
    <cfRule type="cellIs" dxfId="27" priority="106" stopIfTrue="1" operator="equal">
      <formula>"."</formula>
    </cfRule>
  </conditionalFormatting>
  <conditionalFormatting sqref="K48">
    <cfRule type="cellIs" dxfId="26" priority="107" stopIfTrue="1" operator="equal">
      <formula>0</formula>
    </cfRule>
  </conditionalFormatting>
  <conditionalFormatting sqref="I52:K53">
    <cfRule type="cellIs" dxfId="25" priority="116" stopIfTrue="1" operator="equal">
      <formula>"Enter Number of Air Bags"</formula>
    </cfRule>
  </conditionalFormatting>
  <conditionalFormatting sqref="K15">
    <cfRule type="cellIs" dxfId="24" priority="222" stopIfTrue="1" operator="equal">
      <formula>"Chinese Vehicles Covered"</formula>
    </cfRule>
  </conditionalFormatting>
  <conditionalFormatting sqref="K9:M9">
    <cfRule type="expression" dxfId="23" priority="114" stopIfTrue="1">
      <formula>OR($T$2=3,$W$2=0)</formula>
    </cfRule>
  </conditionalFormatting>
  <conditionalFormatting sqref="G22:G23">
    <cfRule type="expression" dxfId="22" priority="95" stopIfTrue="1">
      <formula>#REF!&gt;1</formula>
    </cfRule>
  </conditionalFormatting>
  <conditionalFormatting sqref="N25 N19:N20 N22:N23 N29:N30 N36:N37 N39:N57">
    <cfRule type="expression" dxfId="21" priority="102" stopIfTrue="1">
      <formula>$C$2="Yes"</formula>
    </cfRule>
  </conditionalFormatting>
  <conditionalFormatting sqref="H19">
    <cfRule type="cellIs" dxfId="20" priority="108" stopIfTrue="1" operator="equal">
      <formula>"This Quotation system is not valid anymore"</formula>
    </cfRule>
  </conditionalFormatting>
  <conditionalFormatting sqref="E26 G26 L26">
    <cfRule type="expression" dxfId="19" priority="109" stopIfTrue="1">
      <formula>$H$25&gt;0</formula>
    </cfRule>
  </conditionalFormatting>
  <conditionalFormatting sqref="I31:I34">
    <cfRule type="expression" dxfId="18" priority="112" stopIfTrue="1">
      <formula>$H$30=0</formula>
    </cfRule>
  </conditionalFormatting>
  <conditionalFormatting sqref="E32:E34">
    <cfRule type="expression" dxfId="17" priority="113" stopIfTrue="1">
      <formula>AND($H$30&gt;0,$O$31=1)</formula>
    </cfRule>
  </conditionalFormatting>
  <conditionalFormatting sqref="K22">
    <cfRule type="expression" dxfId="16" priority="117" stopIfTrue="1">
      <formula>$C$2="Yes"</formula>
    </cfRule>
  </conditionalFormatting>
  <conditionalFormatting sqref="K14:M14">
    <cfRule type="expression" dxfId="15" priority="233" stopIfTrue="1">
      <formula>$H$14="Yes"</formula>
    </cfRule>
  </conditionalFormatting>
  <conditionalFormatting sqref="K30">
    <cfRule type="expression" dxfId="14" priority="234" stopIfTrue="1">
      <formula>AND($H$30&gt;0,$O$31&gt;0)</formula>
    </cfRule>
  </conditionalFormatting>
  <conditionalFormatting sqref="F30">
    <cfRule type="expression" dxfId="13" priority="235" stopIfTrue="1">
      <formula>AND(H30&gt;1,C30="Yes",AA2=1,Z49=1,Y49=1)</formula>
    </cfRule>
  </conditionalFormatting>
  <conditionalFormatting sqref="I30:J30">
    <cfRule type="expression" dxfId="12" priority="236" stopIfTrue="1">
      <formula>AND($H$30&gt;0,$O$31&gt;0)</formula>
    </cfRule>
  </conditionalFormatting>
  <conditionalFormatting sqref="I25:K25">
    <cfRule type="expression" dxfId="11" priority="12" stopIfTrue="1">
      <formula>$H$25=0</formula>
    </cfRule>
  </conditionalFormatting>
  <conditionalFormatting sqref="E16:H17">
    <cfRule type="notContainsBlanks" dxfId="10" priority="238" stopIfTrue="1">
      <formula>LEN(TRIM(E16))&gt;0</formula>
    </cfRule>
  </conditionalFormatting>
  <conditionalFormatting sqref="E15:F15">
    <cfRule type="cellIs" dxfId="9" priority="10" stopIfTrue="1" operator="equal">
      <formula>"SUM COVERED - Above Retention"</formula>
    </cfRule>
  </conditionalFormatting>
  <conditionalFormatting sqref="M13">
    <cfRule type="expression" dxfId="8" priority="239" stopIfTrue="1">
      <formula>OR(L13="",L13=0)</formula>
    </cfRule>
  </conditionalFormatting>
  <conditionalFormatting sqref="AA1">
    <cfRule type="expression" dxfId="7" priority="7" stopIfTrue="1">
      <formula>AND($H$12="HYBRID",$H$14="No")</formula>
    </cfRule>
  </conditionalFormatting>
  <conditionalFormatting sqref="M12">
    <cfRule type="expression" dxfId="6" priority="3" stopIfTrue="1">
      <formula>AND(H12="Hybrid",H14="No")</formula>
    </cfRule>
  </conditionalFormatting>
  <conditionalFormatting sqref="M12">
    <cfRule type="expression" dxfId="5" priority="2" stopIfTrue="1">
      <formula>AND(H12="Hybrid",H14="No")</formula>
    </cfRule>
  </conditionalFormatting>
  <conditionalFormatting sqref="M12">
    <cfRule type="expression" dxfId="4" priority="1" stopIfTrue="1">
      <formula>H8="Motor Cycle"</formula>
    </cfRule>
  </conditionalFormatting>
  <conditionalFormatting sqref="K50">
    <cfRule type="expression" dxfId="3" priority="250" stopIfTrue="1">
      <formula>T47=0</formula>
    </cfRule>
  </conditionalFormatting>
  <conditionalFormatting sqref="F52:F53">
    <cfRule type="expression" dxfId="2" priority="251" stopIfTrue="1">
      <formula>AND($K$50&gt;0,T47=1,Z49=1,O52=1)</formula>
    </cfRule>
  </conditionalFormatting>
  <conditionalFormatting sqref="E52">
    <cfRule type="expression" dxfId="1"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400-000000000000}">
      <formula1>Q49</formula1>
    </dataValidation>
    <dataValidation type="whole" operator="lessThanOrEqual" allowBlank="1" showInputMessage="1" showErrorMessage="1" error="Limit Exceeded._x000a_M/R Not Allowed" sqref="H20" xr:uid="{00000000-0002-0000-0400-000001000000}">
      <formula1>T20</formula1>
    </dataValidation>
    <dataValidation type="whole" showInputMessage="1" showErrorMessage="1" sqref="H30" xr:uid="{00000000-0002-0000-0400-000002000000}">
      <formula1>0</formula1>
      <formula2>U30</formula2>
    </dataValidation>
    <dataValidation type="decimal" operator="lessThanOrEqual" showErrorMessage="1" promptTitle="MAXIMUM NCB ALLOWED" prompt="for Private Cars  - 75%_x000a_for Commercial    - 65%_x000a_for Motor Cycles - 35%" sqref="H36" xr:uid="{00000000-0002-0000-0400-000003000000}">
      <formula1>R36</formula1>
    </dataValidation>
    <dataValidation type="whole" operator="lessThan" showInputMessage="1" showErrorMessage="1" sqref="H18" xr:uid="{00000000-0002-0000-0400-000004000000}">
      <formula1>O16+1</formula1>
    </dataValidation>
    <dataValidation type="decimal" allowBlank="1" showInputMessage="1" showErrorMessage="1" error="MAXIMUM  60%" sqref="I24:J24" xr:uid="{00000000-0002-0000-0400-000005000000}">
      <formula1>0</formula1>
      <formula2>Q23</formula2>
    </dataValidation>
    <dataValidation type="whole" operator="lessThan" showInputMessage="1" showErrorMessage="1" sqref="I18:J18" xr:uid="{00000000-0002-0000-0400-000006000000}">
      <formula1>H15/2</formula1>
    </dataValidation>
    <dataValidation type="whole" operator="lessThan" showInputMessage="1" showErrorMessage="1" sqref="H15" xr:uid="{00000000-0002-0000-0400-000007000000}">
      <formula1>O15+1</formula1>
    </dataValidation>
    <dataValidation type="whole" allowBlank="1" showInputMessage="1" showErrorMessage="1" sqref="K50" xr:uid="{00000000-0002-0000-0400-000008000000}">
      <formula1>-1</formula1>
      <formula2>H15/4</formula2>
    </dataValidation>
    <dataValidation type="whole" errorStyle="warning" allowBlank="1" showInputMessage="1" showErrorMessage="1" error="Enter Value between Rs.2000/- and 50% of vehicle value" sqref="K22" xr:uid="{00000000-0002-0000-0400-000009000000}">
      <formula1>10000</formula1>
      <formula2>H15/2</formula2>
    </dataValidation>
    <dataValidation type="list" operator="lessThan" showInputMessage="1" showErrorMessage="1" sqref="H13" xr:uid="{00000000-0002-0000-0400-00000A000000}">
      <formula1>AU45:AU54</formula1>
    </dataValidation>
    <dataValidation type="decimal" showErrorMessage="1" promptTitle="MAXIMUM NCB ALLOWED" prompt="for Private Cars  - 75%_x000a_for Commercial    - 65%_x000a_for Motor Cycles - 35%" sqref="H37" xr:uid="{00000000-0002-0000-0400-00000B000000}">
      <formula1>0</formula1>
      <formula2>R36</formula2>
    </dataValidation>
    <dataValidation type="whole" allowBlank="1" showInputMessage="1" showErrorMessage="1" sqref="H53" xr:uid="{00000000-0002-0000-0400-00000C000000}">
      <formula1>-1</formula1>
      <formula2>H15/4</formula2>
    </dataValidation>
    <dataValidation type="whole" operator="lessThanOrEqual" allowBlank="1" showInputMessage="1" showErrorMessage="1" error="Should Net Exceed Number of Persons PAB cover required._x000a_" sqref="I27" xr:uid="{00000000-0002-0000-0400-00000D000000}">
      <formula1>L25</formula1>
    </dataValidation>
    <dataValidation type="list" showInputMessage="1" showErrorMessage="1" sqref="H29" xr:uid="{00000000-0002-0000-0400-00000E000000}">
      <formula1>"0,2000,10000,20000,50000,100000,200000,500000"</formula1>
    </dataValidation>
    <dataValidation type="list" showInputMessage="1" showErrorMessage="1" sqref="L13" xr:uid="{00000000-0002-0000-0400-00000F000000}">
      <formula1>"1,2,3,4,5"</formula1>
    </dataValidation>
    <dataValidation type="list" allowBlank="1" showInputMessage="1" showErrorMessage="1" sqref="AA1" xr:uid="{00000000-0002-0000-0400-000010000000}">
      <formula1>"Born Hybrid,non-born Hybrid"</formula1>
    </dataValidation>
    <dataValidation type="list" allowBlank="1" showInputMessage="1" showErrorMessage="1" sqref="O25 C58:C60 C55:C56 G43 E43 J43 E41 C39:C40 G41 L30 L22 O23 L36:L37 O29 E32:E34 L19:L20 L39:L59 J41 C45:C46 C42" xr:uid="{00000000-0002-0000-0400-000011000000}">
      <formula1>"0,1"</formula1>
    </dataValidation>
    <dataValidation type="whole" showInputMessage="1" showErrorMessage="1" error="Should Not Exceed Number of Seats" sqref="G53" xr:uid="{00000000-0002-0000-0400-000012000000}">
      <formula1>0</formula1>
      <formula2>25</formula2>
    </dataValidation>
    <dataValidation type="whole" showInputMessage="1" showErrorMessage="1" error="Should Not Exceed Number of Seats" sqref="G52" xr:uid="{00000000-0002-0000-0400-000013000000}">
      <formula1>0</formula1>
      <formula2>2</formula2>
    </dataValidation>
    <dataValidation type="list" allowBlank="1" showInputMessage="1" showErrorMessage="1" sqref="J11" xr:uid="{00000000-0002-0000-0400-000014000000}">
      <formula1>"BRAND NEW,RECONDITIONED,REGISTERED"</formula1>
    </dataValidation>
    <dataValidation type="whole" allowBlank="1" showInputMessage="1" showErrorMessage="1" sqref="E42 E44:E60 I43 E20:E23 E25 E39:E40 I41 E29:E30 E36:E37 T28:V28 G31:G34" xr:uid="{00000000-0002-0000-0400-000015000000}">
      <formula1>0</formula1>
      <formula2>1</formula2>
    </dataValidation>
    <dataValidation type="list" allowBlank="1" showInputMessage="1" showErrorMessage="1" sqref="B55:B56 Q42:Q43 B46 T42:T43 W42:W43 M5 C30 B39:B41 C2:C5 H14" xr:uid="{00000000-0002-0000-0400-000016000000}">
      <formula1>"Yes,No"</formula1>
    </dataValidation>
    <dataValidation type="decimal" allowBlank="1" showInputMessage="1" showErrorMessage="1" sqref="N58:N60" xr:uid="{00000000-0002-0000-0400-000017000000}">
      <formula1>-100000</formula1>
      <formula2>100000</formula2>
    </dataValidation>
    <dataValidation type="decimal" operator="greaterThanOrEqual" allowBlank="1" showInputMessage="1" showErrorMessage="1" sqref="M49" xr:uid="{00000000-0002-0000-0400-000018000000}">
      <formula1>0</formula1>
    </dataValidation>
    <dataValidation type="whole" showInputMessage="1" showErrorMessage="1" sqref="H54" xr:uid="{00000000-0002-0000-0400-000019000000}">
      <formula1>-1</formula1>
      <formula2>10</formula2>
    </dataValidation>
    <dataValidation type="whole" operator="greaterThan" allowBlank="1" showInputMessage="1" showErrorMessage="1" sqref="H47 H51" xr:uid="{00000000-0002-0000-0400-00001A000000}">
      <formula1>-1</formula1>
    </dataValidation>
    <dataValidation type="list" operator="notBetween" allowBlank="1" showInputMessage="1" showErrorMessage="1" sqref="H48" xr:uid="{00000000-0002-0000-0400-00001B000000}">
      <formula1>"15000,100000,300000,500000,1000000"</formula1>
    </dataValidation>
    <dataValidation type="whole" allowBlank="1" showInputMessage="1" showErrorMessage="1" sqref="H50" xr:uid="{00000000-0002-0000-0400-00001C000000}">
      <formula1>-1</formula1>
      <formula2>10</formula2>
    </dataValidation>
    <dataValidation type="textLength" allowBlank="1" showInputMessage="1" showErrorMessage="1" sqref="F59:G59" xr:uid="{00000000-0002-0000-0400-00001D000000}">
      <formula1>0</formula1>
      <formula2>21</formula2>
    </dataValidation>
    <dataValidation type="textLength" allowBlank="1" showInputMessage="1" showErrorMessage="1" error="Should Enter Between _x000a_2 to 14 Digits only_x000a__x000a_" sqref="L10:M10" xr:uid="{00000000-0002-0000-0400-00001E000000}">
      <formula1>2</formula1>
      <formula2>14</formula2>
    </dataValidation>
    <dataValidation type="textLength" showInputMessage="1" showErrorMessage="1" sqref="L6 E12" xr:uid="{00000000-0002-0000-0400-00001F000000}">
      <formula1>0</formula1>
      <formula2>25</formula2>
    </dataValidation>
    <dataValidation type="list" allowBlank="1" showInputMessage="1" showErrorMessage="1" sqref="H6" xr:uid="{00000000-0002-0000-0400-000020000000}">
      <formula1>"Mr.,Mrs.,Miss,Madam,Sir,Sir/Madam"</formula1>
    </dataValidation>
    <dataValidation type="list" allowBlank="1" showInputMessage="1" showErrorMessage="1" sqref="K8" xr:uid="{00000000-0002-0000-0400-000021000000}">
      <formula1>"1.25%,2%"</formula1>
    </dataValidation>
    <dataValidation type="list" showInputMessage="1" showErrorMessage="1" sqref="H9:I9" xr:uid="{00000000-0002-0000-0400-000022000000}">
      <formula1>$AP$6:$AP$7</formula1>
    </dataValidation>
    <dataValidation type="list" showInputMessage="1" showErrorMessage="1" sqref="H12" xr:uid="{00000000-0002-0000-0400-000023000000}">
      <formula1>"PETROL (non hybrid),DIESEL (non hybrid),HYBRID,ELECTRIC"</formula1>
    </dataValidation>
    <dataValidation type="list" operator="equal" showInputMessage="1" showErrorMessage="1" sqref="H22" xr:uid="{00000000-0002-0000-0400-000024000000}">
      <formula1>"0,2000,5000,10000"</formula1>
    </dataValidation>
    <dataValidation type="list" allowBlank="1" showInputMessage="1" showErrorMessage="1" sqref="I38:J38" xr:uid="{00000000-0002-0000-0400-000025000000}">
      <formula1>"Conceal,Reveal"</formula1>
    </dataValidation>
    <dataValidation type="decimal" allowBlank="1" showInputMessage="1" showErrorMessage="1" sqref="N25 N46:N57 N39:N43 N19:N20 N29:N30" xr:uid="{00000000-0002-0000-0400-000026000000}">
      <formula1>0</formula1>
      <formula2>1000000</formula2>
    </dataValidation>
    <dataValidation allowBlank="1" showInputMessage="1" showErrorMessage="1" error="Should not exceed number of seats _x000a_(excluding driver's seat)_x000a_" sqref="I29:J29" xr:uid="{00000000-0002-0000-0400-000027000000}"/>
    <dataValidation type="list" allowBlank="1" showInputMessage="1" showErrorMessage="1" sqref="B31:C31" xr:uid="{00000000-0002-0000-0400-000028000000}">
      <formula1>"1"</formula1>
    </dataValidation>
    <dataValidation type="list" showInputMessage="1" showErrorMessage="1" sqref="H25" xr:uid="{00000000-0002-0000-0400-000029000000}">
      <formula1>"25000,50000,75000,100000,125000,150000,175000,200000,225000,250000,275000,300000,350000,400000,450000,500000,1000000"</formula1>
    </dataValidation>
    <dataValidation type="list" allowBlank="1" showInputMessage="1" showErrorMessage="1" sqref="B21" xr:uid="{00000000-0002-0000-0400-00002A000000}">
      <formula1>"Yes,No,Free"</formula1>
    </dataValidation>
    <dataValidation type="list" allowBlank="1" showInputMessage="1" showErrorMessage="1" sqref="C21" xr:uid="{00000000-0002-0000-0400-00002B000000}">
      <formula1>"0,1,2"</formula1>
    </dataValidation>
    <dataValidation type="decimal" allowBlank="1" showInputMessage="1" showErrorMessage="1" sqref="N22:N23 N36:N37" xr:uid="{00000000-0002-0000-0400-00002C000000}">
      <formula1>-10000000</formula1>
      <formula2>0</formula2>
    </dataValidation>
    <dataValidation type="list" allowBlank="1" showInputMessage="1" showErrorMessage="1" sqref="E26 L26 G26" xr:uid="{00000000-0002-0000-0400-00002D000000}">
      <formula1>"1,0"</formula1>
    </dataValidation>
    <dataValidation type="list" allowBlank="1" showInputMessage="1" showErrorMessage="1" sqref="H38" xr:uid="{00000000-0002-0000-0400-00002E000000}">
      <formula1>"Earned NCB,Upfront NCB"</formula1>
    </dataValidation>
    <dataValidation type="list" allowBlank="1" showInputMessage="1" showErrorMessage="1" sqref="I4:I5" xr:uid="{00000000-0002-0000-0400-00002F000000}">
      <formula1>"2010,2011,2012,2013,2014,2015"</formula1>
    </dataValidation>
    <dataValidation type="list" allowBlank="1" showInputMessage="1" showErrorMessage="1" sqref="H4:H5" xr:uid="{00000000-0002-0000-0400-000030000000}">
      <formula1>"January,February,March,April,May,June,July,August,September,October,November,December"</formula1>
    </dataValidation>
    <dataValidation type="list" allowBlank="1" showInputMessage="1" showErrorMessage="1" sqref="G4:G5" xr:uid="{00000000-0002-0000-0400-000031000000}">
      <formula1>"1,2,3,4,5,6,7,8,9,10,11,12,13,14,15,16,17,18,19,20,21,22,23,24,25,26,27,28,29,30,31"</formula1>
    </dataValidation>
    <dataValidation type="list" allowBlank="1" showInputMessage="1" showErrorMessage="1" sqref="H3" xr:uid="{00000000-0002-0000-0400-000032000000}">
      <formula1>"One Year,Pro Rata, Short Period"</formula1>
    </dataValidation>
    <dataValidation type="textLength" allowBlank="1" showInputMessage="1" showErrorMessage="1" error="Enter Above 5 letters_x000a_" sqref="F58:G58" xr:uid="{00000000-0002-0000-0400-000033000000}">
      <formula1>5</formula1>
      <formula2>21</formula2>
    </dataValidation>
    <dataValidation type="list" allowBlank="1" showInputMessage="1" showErrorMessage="1" sqref="H11:I11" xr:uid="{00000000-0002-0000-0400-000034000000}">
      <formula1>"NON chinese/korean,CHINESE,KOREAN,JAPAN,INDIA,MALAYSIAN,GERMAN,SRI LANKAN"</formula1>
    </dataValidation>
    <dataValidation type="decimal" allowBlank="1" showInputMessage="1" showErrorMessage="1" sqref="N44:N45" xr:uid="{00000000-0002-0000-0400-000035000000}">
      <formula1>0</formula1>
      <formula2>100</formula2>
    </dataValidation>
    <dataValidation type="list" showInputMessage="1" showErrorMessage="1" sqref="I25" xr:uid="{00000000-0002-0000-0400-000036000000}">
      <formula1>"Full Seating Capacity,Participant Only,Driver Only,Participant &amp; Driver Only"</formula1>
    </dataValidation>
    <dataValidation type="list" showInputMessage="1" showErrorMessage="1" sqref="I30" xr:uid="{00000000-0002-0000-0400-000037000000}">
      <formula1>"Non-Hazardous,Hazardous,Extra Hazardous"</formula1>
    </dataValidation>
    <dataValidation type="list" allowBlank="1" showInputMessage="1" showErrorMessage="1" sqref="K30" xr:uid="{00000000-0002-0000-0400-000038000000}">
      <formula1>"With Fire,Without Fire"</formula1>
    </dataValidation>
    <dataValidation type="list" allowBlank="1" showInputMessage="1" showErrorMessage="1" sqref="H8:I8" xr:uid="{00000000-0002-0000-0400-000039000000}">
      <formula1>"Motor Cycle,Three Wheeler"</formula1>
    </dataValidation>
    <dataValidation type="list" allowBlank="1" showInputMessage="1" showErrorMessage="1" sqref="M12" xr:uid="{00000000-0002-0000-0400-00003A000000}">
      <formula1>"Above 250cc,Below 250cc"</formula1>
    </dataValidation>
    <dataValidation type="list" allowBlank="1" showInputMessage="1" showErrorMessage="1" sqref="K14:M14" xr:uid="{00000000-0002-0000-0400-00003B000000}">
      <formula1>$F$94:$F$121</formula1>
    </dataValidation>
  </dataValidations>
  <hyperlinks>
    <hyperlink ref="AZ78" r:id="rId1" display="mailto:info@amanabank.lk" xr:uid="{00000000-0004-0000-0400-000000000000}"/>
    <hyperlink ref="AZ81" r:id="rId2" display="mailto:boc@boc.lk" xr:uid="{00000000-0004-0000-0400-000001000000}"/>
    <hyperlink ref="AZ84" r:id="rId3" display="mailto:email@combank.net" xr:uid="{00000000-0004-0000-0400-000002000000}"/>
    <hyperlink ref="AZ88" r:id="rId4" display="mailto:info@dfccvardhanabank.com" xr:uid="{00000000-0004-0000-0400-000003000000}"/>
    <hyperlink ref="AZ89" r:id="rId5" display="http://www.dfccvardhanabank.com/" xr:uid="{00000000-0004-0000-0400-000004000000}"/>
    <hyperlink ref="AZ91" r:id="rId6" display="mailto:moreinfo@hnb.net" xr:uid="{00000000-0004-0000-0400-000005000000}"/>
    <hyperlink ref="AZ92" r:id="rId7" display="http://www.hnb.net/" xr:uid="{00000000-0004-0000-0400-000006000000}"/>
    <hyperlink ref="AZ94" r:id="rId8" display="mailto:azfar.nomani@mcb.com.lk" xr:uid="{00000000-0004-0000-0400-000007000000}"/>
    <hyperlink ref="AZ97" r:id="rId9" display="mailto:contact@ndbbank.com" xr:uid="{00000000-0004-0000-0400-000008000000}"/>
    <hyperlink ref="AZ98" r:id="rId10" display="http://www.ndbbank.com/" xr:uid="{00000000-0004-0000-0400-000009000000}"/>
    <hyperlink ref="AZ100" r:id="rId11" display="mailto:info@nationstrust.com" xr:uid="{00000000-0004-0000-0400-00000A000000}"/>
    <hyperlink ref="AZ103" r:id="rId12" display="mailto:pabc@pabcbank.com" xr:uid="{00000000-0004-0000-0400-00000B000000}"/>
    <hyperlink ref="AZ104" r:id="rId13" display="http://www.pabcbank.com/" xr:uid="{00000000-0004-0000-0400-00000C000000}"/>
    <hyperlink ref="AZ106" r:id="rId14" display="mailto:info@peoplesbank.lk" xr:uid="{00000000-0004-0000-0400-00000D000000}"/>
    <hyperlink ref="AZ109" r:id="rId15" display="mailto:oper.mgr@sampath.lk" xr:uid="{00000000-0004-0000-0400-00000E000000}"/>
    <hyperlink ref="AZ112" r:id="rId16" display="mailto:info@seylan.lk" xr:uid="{00000000-0004-0000-0400-00000F000000}"/>
    <hyperlink ref="AZ113" r:id="rId17" display="http://www.eseylan.com/" xr:uid="{00000000-0004-0000-0400-000010000000}"/>
    <hyperlink ref="AZ115" r:id="rId18" display="mailto:ubc@unionb.com" xr:uid="{00000000-0004-0000-0400-000011000000}"/>
    <hyperlink ref="AZ118" r:id="rId19" display="mailto:info@dfccbank.com" xr:uid="{00000000-0004-0000-0400-000012000000}"/>
    <hyperlink ref="AZ121" r:id="rId20" display="mailto:info@lankaputhra.lk" xr:uid="{00000000-0004-0000-0400-000013000000}"/>
    <hyperlink ref="AZ122" r:id="rId21" display="http://www.lankaputhra.lk/" xr:uid="{00000000-0004-0000-0400-000014000000}"/>
    <hyperlink ref="AZ124" r:id="rId22" display="mailto:savingsbank@mbslsavingsbank.com" xr:uid="{00000000-0004-0000-0400-000015000000}"/>
    <hyperlink ref="AZ125" r:id="rId23" display="http://www.mbslsavingsbank.com/" xr:uid="{00000000-0004-0000-0400-000016000000}"/>
    <hyperlink ref="AZ127" r:id="rId24" display="mailto:siriwardener@rdb.lk" xr:uid="{00000000-0004-0000-0400-000017000000}"/>
    <hyperlink ref="AZ128" r:id="rId25" display="http://www.rdb.lk/" xr:uid="{00000000-0004-0000-0400-000018000000}"/>
    <hyperlink ref="AZ130" r:id="rId26" display="mailto:info@sdb.lk" xr:uid="{00000000-0004-0000-0400-000019000000}"/>
    <hyperlink ref="AZ131" r:id="rId27" display="http://www.sdb.lk/" xr:uid="{00000000-0004-0000-0400-00001A000000}"/>
    <hyperlink ref="AZ133" r:id="rId28" display="mailto:slsbl@sltnet.lk" xr:uid="{00000000-0004-0000-0400-00001B000000}"/>
    <hyperlink ref="AZ134" r:id="rId29" display="http://www.sdb.lk/" xr:uid="{00000000-0004-0000-0400-00001C000000}"/>
    <hyperlink ref="AZ136" r:id="rId30" display="mailto:aban@abansgroup.com" xr:uid="{00000000-0004-0000-0400-00001D000000}"/>
    <hyperlink ref="AZ137" r:id="rId31" display="http://www.abansgroup.com/" xr:uid="{00000000-0004-0000-0400-00001E000000}"/>
    <hyperlink ref="AZ139" r:id="rId32" display="mailto:info@alliancefinance.lk" xr:uid="{00000000-0004-0000-0400-00001F000000}"/>
    <hyperlink ref="AZ140" r:id="rId33" display="http://www.alliancefinance.lk/" xr:uid="{00000000-0004-0000-0400-000020000000}"/>
    <hyperlink ref="AZ143" r:id="rId34" display="http://www.amwltd.lk/" xr:uid="{00000000-0004-0000-0400-000021000000}"/>
    <hyperlink ref="AZ145" r:id="rId35" display="mailto:bedej@arpicofinance.com" xr:uid="{00000000-0004-0000-0400-000022000000}"/>
    <hyperlink ref="AZ146" r:id="rId36" display="http://www.arpicofinance.lk/" xr:uid="{00000000-0004-0000-0400-000023000000}"/>
    <hyperlink ref="AZ148" r:id="rId37" display="mailto:info@asiaassetfinance.lk" xr:uid="{00000000-0004-0000-0400-000024000000}"/>
    <hyperlink ref="AZ151" r:id="rId38" display="mailto:afl@asianfinance.lk" xr:uid="{00000000-0004-0000-0400-000025000000}"/>
    <hyperlink ref="AZ154" r:id="rId39" display="mailto:amfcoltd@sltnet.lk" xr:uid="{00000000-0004-0000-0400-000026000000}"/>
    <hyperlink ref="AZ157" r:id="rId40" display="mailto:bartfsl@bartleet.com" xr:uid="{00000000-0004-0000-0400-000027000000}"/>
    <hyperlink ref="AZ158" r:id="rId41" display="http://www.batrleetgroup.com/" xr:uid="{00000000-0004-0000-0400-000028000000}"/>
    <hyperlink ref="AZ160" r:id="rId42" display="mailto:bimputhlanka@daya-group.com" xr:uid="{00000000-0004-0000-0400-000029000000}"/>
    <hyperlink ref="AZ161" r:id="rId43" display="http://www.dayagroupofcompanies.com/" xr:uid="{00000000-0004-0000-0400-00002A000000}"/>
    <hyperlink ref="AZ163" r:id="rId44" display="mailto:silvereenkandy@sltnet.lk" xr:uid="{00000000-0004-0000-0400-00002B000000}"/>
    <hyperlink ref="AZ164" r:id="rId45" display="http://www.cbsl.gov.lk/htm/english/05_fss/popup/" xr:uid="{00000000-0004-0000-0400-00002C000000}"/>
    <hyperlink ref="AZ166" r:id="rId46" display="mailto:cenfin@cf.lk" xr:uid="{00000000-0004-0000-0400-00002D000000}"/>
    <hyperlink ref="AZ167" r:id="rId47" display="http://www.cf.lk/" xr:uid="{00000000-0004-0000-0400-00002E000000}"/>
    <hyperlink ref="AZ169" r:id="rId48" display="mailto:cifl@cifl.lk" xr:uid="{00000000-0004-0000-0400-00002F000000}"/>
    <hyperlink ref="AZ170" r:id="rId49" display="http://www.cifl.lk/" xr:uid="{00000000-0004-0000-0400-000030000000}"/>
    <hyperlink ref="AZ172" r:id="rId50" display="mailto:chifinco@gmail.com" xr:uid="{00000000-0004-0000-0400-000031000000}"/>
    <hyperlink ref="AZ175" r:id="rId51" display="mailto:cdb@cdb.lk" xr:uid="{00000000-0004-0000-0400-000032000000}"/>
    <hyperlink ref="AZ176" r:id="rId52" display="http://www.cdb.lk/" xr:uid="{00000000-0004-0000-0400-000033000000}"/>
    <hyperlink ref="AZ178" r:id="rId53" display="mailto:infoifl@infinltd.lk" xr:uid="{00000000-0004-0000-0400-000034000000}"/>
    <hyperlink ref="AZ179" r:id="rId54" display="http://www.ifl.lk/" xr:uid="{00000000-0004-0000-0400-000035000000}"/>
    <hyperlink ref="AZ181" r:id="rId55" display="mailto:ccl@cclk.lk" xr:uid="{00000000-0004-0000-0400-000036000000}"/>
    <hyperlink ref="AZ182" r:id="rId56" display="http://www.cclk.lk/" xr:uid="{00000000-0004-0000-0400-000037000000}"/>
    <hyperlink ref="AZ184" r:id="rId57" display="mailto:clc@.lk" xr:uid="{00000000-0004-0000-0400-000038000000}"/>
    <hyperlink ref="AZ185" r:id="rId58" display="http://www.clc.lk/" xr:uid="{00000000-0004-0000-0400-000039000000}"/>
    <hyperlink ref="AZ187" r:id="rId59" display="mailto:info@divasafinance.lk" xr:uid="{00000000-0004-0000-0400-00003A000000}"/>
    <hyperlink ref="AZ188" r:id="rId60" display="http://www.divasafinance.lk/" xr:uid="{00000000-0004-0000-0400-00003B000000}"/>
    <hyperlink ref="AZ190" r:id="rId61" display="mailto:info@eti.lk" xr:uid="{00000000-0004-0000-0400-00003C000000}"/>
    <hyperlink ref="AZ191" r:id="rId62" display="http://www.eti.lk/" xr:uid="{00000000-0004-0000-0400-00003D000000}"/>
    <hyperlink ref="AZ193" r:id="rId63" display="mailto:chandrin@kanrich.lk" xr:uid="{00000000-0004-0000-0400-00003E000000}"/>
    <hyperlink ref="AZ194" r:id="rId64" display="http://www.kanrich.lk/" xr:uid="{00000000-0004-0000-0400-00003F000000}"/>
    <hyperlink ref="AZ196" r:id="rId65" display="mailto:mail@lbfinance.lk" xr:uid="{00000000-0004-0000-0400-000040000000}"/>
    <hyperlink ref="AZ197" r:id="rId66" display="http://www.lbfinance.com/" xr:uid="{00000000-0004-0000-0400-000041000000}"/>
    <hyperlink ref="AZ199" r:id="rId67" display="mailto:lofin@lankaorix.com" xr:uid="{00000000-0004-0000-0400-000042000000}"/>
    <hyperlink ref="AZ200" r:id="rId68" display="http://www.lankaorix.com/" xr:uid="{00000000-0004-0000-0400-000043000000}"/>
    <hyperlink ref="AZ202" r:id="rId69" display="mailto:mercantile@mi.com.lk" xr:uid="{00000000-0004-0000-0400-000044000000}"/>
    <hyperlink ref="AZ203" r:id="rId70" display="http://www.mi.com.lk/" xr:uid="{00000000-0004-0000-0400-000045000000}"/>
    <hyperlink ref="AZ205" r:id="rId71" display="mailto:mcsl@mbslbank.com" xr:uid="{00000000-0004-0000-0400-000046000000}"/>
    <hyperlink ref="AZ206" r:id="rId72" display="http://www.mcsl.lk/" xr:uid="{00000000-0004-0000-0400-000047000000}"/>
    <hyperlink ref="AZ208" r:id="rId73" display="mailto:info@themultifinance.com" xr:uid="{00000000-0004-0000-0400-000048000000}"/>
    <hyperlink ref="AZ209" r:id="rId74" display="http://www.mcsl.lk/" xr:uid="{00000000-0004-0000-0400-000049000000}"/>
    <hyperlink ref="AZ211" r:id="rId75" display="mailto:info@nifl.lk" xr:uid="{00000000-0004-0000-0400-00004A000000}"/>
    <hyperlink ref="AZ214" r:id="rId76" display="mailto:bede@nflplc.com" xr:uid="{00000000-0004-0000-0400-00004B000000}"/>
    <hyperlink ref="AZ215" r:id="rId77" display="http://www.cbsl.gov.lk/htm/english/05_fss/popup/www.nflplc.lk/" xr:uid="{00000000-0004-0000-0400-00004C000000}"/>
    <hyperlink ref="AZ217" r:id="rId78" display="mailto:dinindus@plc.lk" xr:uid="{00000000-0004-0000-0400-00004D000000}"/>
    <hyperlink ref="AZ220" r:id="rId79" display="mailto:senk@senfin.com" xr:uid="{00000000-0004-0000-0400-00004E000000}"/>
    <hyperlink ref="AZ221" r:id="rId80" display="http://www.senfin.com/" xr:uid="{00000000-0004-0000-0400-00004F000000}"/>
    <hyperlink ref="AZ223" r:id="rId81" display="mailto:financecompany@singersl.com" xr:uid="{00000000-0004-0000-0400-000050000000}"/>
    <hyperlink ref="AZ224" r:id="rId82" display="http://www.singersl.com/" xr:uid="{00000000-0004-0000-0400-000051000000}"/>
    <hyperlink ref="AZ226" r:id="rId83" display="mailto:info@sinhaputhra.lk" xr:uid="{00000000-0004-0000-0400-000052000000}"/>
    <hyperlink ref="AZ227" r:id="rId84" display="http://www.sinhaputhra.lk/" xr:uid="{00000000-0004-0000-0400-000053000000}"/>
    <hyperlink ref="AZ229" r:id="rId85" display="mailto:info@softlogicfinance.lk" xr:uid="{00000000-0004-0000-0400-000054000000}"/>
    <hyperlink ref="AZ230" r:id="rId86" display="http://www.softlogicfinance.lk/" xr:uid="{00000000-0004-0000-0400-000055000000}"/>
    <hyperlink ref="AZ232" r:id="rId87" display="mailto:info@sfs.lk" xr:uid="{00000000-0004-0000-0400-000056000000}"/>
    <hyperlink ref="AZ233" r:id="rId88" display="http://www.sfs.lk/" xr:uid="{00000000-0004-0000-0400-000057000000}"/>
    <hyperlink ref="AZ235" r:id="rId89" display="mailto:info@fglk.com" xr:uid="{00000000-0004-0000-0400-000058000000}"/>
    <hyperlink ref="AZ236" r:id="rId90" display="http://www.fglk.com/" xr:uid="{00000000-0004-0000-0400-000059000000}"/>
    <hyperlink ref="AZ238" r:id="rId91" display="mailto:smi@thefinance.lk" xr:uid="{00000000-0004-0000-0400-00005A000000}"/>
    <hyperlink ref="AZ239" r:id="rId92" display="http://www.thefinance.lk/" xr:uid="{00000000-0004-0000-0400-00005B000000}"/>
    <hyperlink ref="AZ242" r:id="rId93" display="mailto:infomail@cir.lk" xr:uid="{00000000-0004-0000-0400-00005C000000}"/>
    <hyperlink ref="AZ245" r:id="rId94" display="mailto:tradefi@lankabiz.net" xr:uid="{00000000-0004-0000-0400-00005D000000}"/>
    <hyperlink ref="AZ248" r:id="rId95" display="mailto:info@vallibelfinance.com" xr:uid="{00000000-0004-0000-0400-00005E000000}"/>
    <hyperlink ref="AZ251" r:id="rId96" display="mailto:kushantha@dpmco.com" xr:uid="{00000000-0004-0000-0400-00005F000000}"/>
    <hyperlink ref="AZ252" r:id="rId97" display="http://www.assetline.lk/" xr:uid="{00000000-0004-0000-0400-000060000000}"/>
    <hyperlink ref="AZ254" r:id="rId98" display="mailto:%20ceylease@ceylease.lk" xr:uid="{00000000-0004-0000-0400-000061000000}"/>
    <hyperlink ref="AZ257" r:id="rId99" display="mailto:info@cooplease.com" xr:uid="{00000000-0004-0000-0400-000062000000}"/>
    <hyperlink ref="AZ258" r:id="rId100" display="http://www.cooplease.com./" xr:uid="{00000000-0004-0000-0400-000063000000}"/>
    <hyperlink ref="AZ260" r:id="rId101" display="mailto:indrafinance@sltnet.lk" xr:uid="{00000000-0004-0000-0400-000064000000}"/>
    <hyperlink ref="AZ263" r:id="rId102" display="mailto:lmewijesuriya@gmail.lk" xr:uid="{00000000-0004-0000-0400-000065000000}"/>
    <hyperlink ref="AZ266" r:id="rId103" display="mailto:koshilea@sltnet.lk" xr:uid="{00000000-0004-0000-0400-000066000000}"/>
    <hyperlink ref="AZ269" r:id="rId104" display="mailto:lisvin@lisvin.com" xr:uid="{00000000-0004-0000-0400-000067000000}"/>
    <hyperlink ref="AZ272" r:id="rId105" display="mailto:chrishathi@lankaorix.com" xr:uid="{00000000-0004-0000-0400-000068000000}"/>
    <hyperlink ref="AZ275" r:id="rId106" display="mailto:mbslbank@mbslbank.com" xr:uid="{00000000-0004-0000-0400-000069000000}"/>
    <hyperlink ref="AZ278" r:id="rId107" display="mailto:orientleasing@sltnet.lk" xr:uid="{00000000-0004-0000-0400-00006A000000}"/>
    <hyperlink ref="AZ281" r:id="rId108" display="mailto:dpkumarage@plc.lk" xr:uid="{00000000-0004-0000-0400-00006B000000}"/>
    <hyperlink ref="AZ284" r:id="rId109" display="mailto:info@pmb.lk" xr:uid="{00000000-0004-0000-0400-00006C000000}"/>
    <hyperlink ref="AZ285" r:id="rId110" display="http://www.peoplesmerchantbank.lk/" xr:uid="{00000000-0004-0000-0400-00006D000000}"/>
    <hyperlink ref="AZ287" r:id="rId111" display="mailto:roshan@sampath-slfl.lk" xr:uid="{00000000-0004-0000-0400-00006E000000}"/>
    <hyperlink ref="AZ290" r:id="rId112" display="mailto:smbhed@sltnet.lk" xr:uid="{00000000-0004-0000-0400-00006F000000}"/>
    <hyperlink ref="AZ291" r:id="rId113" display="http://www.smblk.com/" xr:uid="{00000000-0004-0000-0400-000070000000}"/>
    <hyperlink ref="AZ293" r:id="rId114" display="mailto:credit@softlogicfinance.lk" xr:uid="{00000000-0004-0000-04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22"/>
  <sheetViews>
    <sheetView showGridLines="0" workbookViewId="0">
      <selection activeCell="H17" sqref="H17"/>
    </sheetView>
  </sheetViews>
  <sheetFormatPr defaultColWidth="0" defaultRowHeight="13.2" zeroHeight="1" x14ac:dyDescent="0.25"/>
  <cols>
    <col min="1" max="1" width="9.109375" customWidth="1"/>
    <col min="2" max="2" width="15.33203125" customWidth="1"/>
    <col min="3" max="3" width="16.6640625" customWidth="1"/>
    <col min="4" max="6" width="9.109375" customWidth="1"/>
    <col min="7" max="7" width="17.5546875" customWidth="1"/>
    <col min="8" max="8" width="10.88671875" bestFit="1" customWidth="1"/>
    <col min="9" max="9" width="32.88671875" customWidth="1"/>
    <col min="10" max="10" width="15.6640625" customWidth="1"/>
    <col min="11" max="17" width="9.109375" customWidth="1"/>
    <col min="18" max="18" width="13.5546875" customWidth="1"/>
    <col min="19" max="19" width="13.109375" customWidth="1"/>
    <col min="20" max="16384" width="9.109375" hidden="1"/>
  </cols>
  <sheetData>
    <row r="1" spans="1:31" x14ac:dyDescent="0.25">
      <c r="A1" s="741"/>
      <c r="B1" s="741"/>
      <c r="C1" s="741"/>
      <c r="D1" s="741"/>
      <c r="E1" s="741"/>
      <c r="F1" s="741"/>
      <c r="G1" s="741"/>
      <c r="H1" s="741"/>
      <c r="I1" s="741"/>
      <c r="J1" s="741"/>
      <c r="K1" s="741"/>
      <c r="L1" s="741"/>
      <c r="M1" s="741"/>
      <c r="N1" s="741"/>
      <c r="O1" s="741"/>
      <c r="P1" s="741"/>
      <c r="Q1" s="741"/>
      <c r="R1" s="741"/>
      <c r="S1" s="741"/>
      <c r="T1" s="741"/>
      <c r="U1" s="741"/>
      <c r="V1" s="741"/>
      <c r="W1" s="741"/>
      <c r="X1" s="741"/>
      <c r="Y1" s="741"/>
      <c r="Z1" s="741"/>
      <c r="AA1" s="741"/>
      <c r="AB1" s="741"/>
      <c r="AC1" s="741"/>
      <c r="AD1" s="741"/>
      <c r="AE1" s="741"/>
    </row>
    <row r="2" spans="1:31" x14ac:dyDescent="0.25">
      <c r="A2" s="741"/>
      <c r="B2" s="741"/>
      <c r="C2" s="741"/>
      <c r="D2" s="741"/>
      <c r="E2" s="741"/>
      <c r="F2" s="741"/>
      <c r="G2" s="742" t="s">
        <v>536</v>
      </c>
      <c r="H2" s="743">
        <f>C4*1.75%</f>
        <v>12250.000000000002</v>
      </c>
      <c r="I2" s="741"/>
      <c r="J2" s="741"/>
      <c r="K2" s="741"/>
      <c r="L2" s="741"/>
      <c r="M2" s="741"/>
      <c r="N2" s="741"/>
      <c r="O2" s="741"/>
      <c r="P2" s="741"/>
      <c r="Q2" s="741"/>
      <c r="R2" s="741"/>
      <c r="S2" s="741"/>
      <c r="T2" s="741"/>
      <c r="U2" s="741"/>
      <c r="V2" s="741"/>
      <c r="W2" s="741"/>
      <c r="X2" s="741"/>
      <c r="Y2" s="741"/>
      <c r="Z2" s="741"/>
      <c r="AA2" s="741"/>
      <c r="AB2" s="741"/>
      <c r="AC2" s="741"/>
      <c r="AD2" s="741"/>
      <c r="AE2" s="741"/>
    </row>
    <row r="3" spans="1:31" ht="13.8" x14ac:dyDescent="0.25">
      <c r="A3" s="741"/>
      <c r="B3" s="741"/>
      <c r="C3" s="741"/>
      <c r="D3" s="741"/>
      <c r="E3" s="741"/>
      <c r="F3" s="744">
        <f>H3/H2</f>
        <v>-0.20804664723032074</v>
      </c>
      <c r="G3" s="742" t="s">
        <v>29</v>
      </c>
      <c r="H3" s="743">
        <f>H4-H2</f>
        <v>-2548.5714285714294</v>
      </c>
      <c r="I3" s="741"/>
      <c r="J3" s="741"/>
      <c r="K3" s="741"/>
      <c r="L3" s="741"/>
      <c r="M3" s="741"/>
      <c r="N3" s="741"/>
      <c r="O3" s="741"/>
      <c r="P3" s="741"/>
      <c r="Q3" s="741"/>
      <c r="R3" s="957" t="s">
        <v>546</v>
      </c>
      <c r="S3" s="957"/>
      <c r="T3" s="741"/>
      <c r="U3" s="741"/>
      <c r="V3" s="741"/>
      <c r="W3" s="741"/>
      <c r="X3" s="741"/>
      <c r="Y3" s="741"/>
      <c r="Z3" s="741"/>
      <c r="AA3" s="741"/>
      <c r="AB3" s="741"/>
      <c r="AC3" s="741"/>
      <c r="AD3" s="741"/>
      <c r="AE3" s="741"/>
    </row>
    <row r="4" spans="1:31" ht="15.6" x14ac:dyDescent="0.25">
      <c r="A4" s="741"/>
      <c r="B4" s="745" t="s">
        <v>537</v>
      </c>
      <c r="C4" s="764">
        <f>Quote!Q16</f>
        <v>700000</v>
      </c>
      <c r="D4" s="741"/>
      <c r="E4" s="741"/>
      <c r="F4" s="741"/>
      <c r="G4" s="742"/>
      <c r="H4" s="746">
        <f>H8-H7-H5-H6</f>
        <v>9701.4285714285725</v>
      </c>
      <c r="I4" s="741"/>
      <c r="J4" s="741"/>
      <c r="K4" s="741">
        <v>100</v>
      </c>
      <c r="L4" s="741"/>
      <c r="M4" s="741"/>
      <c r="N4" s="741"/>
      <c r="O4" s="741"/>
      <c r="P4" s="741"/>
      <c r="Q4" s="741"/>
      <c r="R4" s="747">
        <v>700000</v>
      </c>
      <c r="S4" s="759">
        <v>1.1347131445170661E-2</v>
      </c>
      <c r="T4" s="741"/>
      <c r="U4" s="741"/>
      <c r="V4" s="741"/>
      <c r="W4" s="741"/>
      <c r="X4" s="741"/>
      <c r="Y4" s="741"/>
      <c r="Z4" s="741"/>
      <c r="AA4" s="741"/>
      <c r="AB4" s="741"/>
      <c r="AC4" s="741"/>
      <c r="AD4" s="741"/>
      <c r="AE4" s="741"/>
    </row>
    <row r="5" spans="1:31" ht="15.6" x14ac:dyDescent="0.25">
      <c r="A5" s="741"/>
      <c r="B5" s="745"/>
      <c r="C5" s="745"/>
      <c r="D5" s="741"/>
      <c r="E5" s="741"/>
      <c r="G5" s="742" t="s">
        <v>37</v>
      </c>
      <c r="H5" s="758">
        <f>Working!M29</f>
        <v>0</v>
      </c>
      <c r="I5" s="748"/>
      <c r="J5" s="741"/>
      <c r="K5" s="741">
        <v>25</v>
      </c>
      <c r="L5" s="741"/>
      <c r="M5" s="741"/>
      <c r="N5" s="741"/>
      <c r="O5" s="741"/>
      <c r="P5" s="741"/>
      <c r="Q5" s="741"/>
      <c r="R5" s="747">
        <v>750000</v>
      </c>
      <c r="S5" s="759">
        <v>1.1347131445170661E-2</v>
      </c>
      <c r="T5" s="741"/>
      <c r="U5" s="741"/>
      <c r="V5" s="741"/>
      <c r="W5" s="741"/>
      <c r="X5" s="741"/>
      <c r="Y5" s="741"/>
      <c r="Z5" s="741"/>
      <c r="AA5" s="741"/>
      <c r="AB5" s="741"/>
      <c r="AC5" s="741"/>
      <c r="AD5" s="741"/>
      <c r="AE5" s="741"/>
    </row>
    <row r="6" spans="1:31" ht="15.6" x14ac:dyDescent="0.25">
      <c r="A6" s="741"/>
      <c r="B6" s="745" t="s">
        <v>538</v>
      </c>
      <c r="C6" s="749">
        <f ca="1">H17*Administration!IR9</f>
        <v>7508</v>
      </c>
      <c r="D6" s="773">
        <f ca="1">C6/C4</f>
        <v>1.0725714285714286E-2</v>
      </c>
      <c r="E6" s="741"/>
      <c r="G6" s="742" t="s">
        <v>16</v>
      </c>
      <c r="H6" s="758">
        <f>Working!M25</f>
        <v>0</v>
      </c>
      <c r="J6" s="741"/>
      <c r="K6" s="741">
        <v>75</v>
      </c>
      <c r="L6" s="741"/>
      <c r="M6" s="741"/>
      <c r="N6" s="741"/>
      <c r="O6" s="741"/>
      <c r="P6" s="741"/>
      <c r="Q6" s="741"/>
      <c r="R6" s="747">
        <v>850000</v>
      </c>
      <c r="S6" s="759">
        <v>1.1347131445170661E-2</v>
      </c>
      <c r="T6" s="741"/>
      <c r="U6" s="741"/>
      <c r="V6" s="741"/>
      <c r="W6" s="741"/>
      <c r="X6" s="741"/>
      <c r="Y6" s="741"/>
      <c r="Z6" s="741"/>
      <c r="AA6" s="741"/>
      <c r="AB6" s="741"/>
      <c r="AC6" s="741"/>
      <c r="AD6" s="741"/>
      <c r="AE6" s="741"/>
    </row>
    <row r="7" spans="1:31" ht="15.6" x14ac:dyDescent="0.25">
      <c r="A7" s="741"/>
      <c r="B7" s="745" t="s">
        <v>539</v>
      </c>
      <c r="C7" s="750">
        <f ca="1">(MAX(750,C6*2.5%)+250)</f>
        <v>1000</v>
      </c>
      <c r="D7" s="741"/>
      <c r="E7" s="741"/>
      <c r="F7" s="744">
        <f>H7/(H4+H5+H6)</f>
        <v>-0.64999999999999991</v>
      </c>
      <c r="G7" s="742" t="s">
        <v>0</v>
      </c>
      <c r="H7" s="743">
        <f>-H8/35*65</f>
        <v>-6305.9285714285716</v>
      </c>
      <c r="I7" s="741"/>
      <c r="J7" s="741"/>
      <c r="K7" s="741"/>
      <c r="L7" s="741"/>
      <c r="M7" s="741"/>
      <c r="N7" s="741"/>
      <c r="O7" s="741"/>
      <c r="P7" s="741"/>
      <c r="Q7" s="741"/>
      <c r="R7" s="747">
        <v>900000</v>
      </c>
      <c r="S7" s="759">
        <v>1.1347131445170661E-2</v>
      </c>
      <c r="T7" s="741"/>
      <c r="U7" s="741"/>
      <c r="V7" s="741"/>
      <c r="W7" s="741"/>
      <c r="X7" s="741"/>
      <c r="Y7" s="741"/>
      <c r="Z7" s="741"/>
      <c r="AA7" s="741"/>
      <c r="AB7" s="741"/>
      <c r="AC7" s="741"/>
      <c r="AD7" s="741"/>
      <c r="AE7" s="741"/>
    </row>
    <row r="8" spans="1:31" ht="15.6" x14ac:dyDescent="0.25">
      <c r="A8" s="766">
        <f ca="1">C8/C6</f>
        <v>0.13319126265316994</v>
      </c>
      <c r="B8" s="765" t="s">
        <v>545</v>
      </c>
      <c r="C8" s="750">
        <v>1000</v>
      </c>
      <c r="D8" s="741"/>
      <c r="E8" s="741"/>
      <c r="F8" s="741"/>
      <c r="G8" s="742"/>
      <c r="H8" s="746">
        <f>H17-SUM(H10:H16)</f>
        <v>3395.5</v>
      </c>
      <c r="I8" s="741"/>
      <c r="J8" s="741"/>
      <c r="K8" s="741"/>
      <c r="L8" s="741"/>
      <c r="M8" s="741"/>
      <c r="N8" s="741"/>
      <c r="O8" s="741"/>
      <c r="P8" s="741"/>
      <c r="Q8" s="741"/>
      <c r="R8" s="747">
        <v>960000</v>
      </c>
      <c r="S8" s="759">
        <v>1.1347131445170661E-2</v>
      </c>
      <c r="T8" s="741"/>
      <c r="U8" s="741"/>
      <c r="V8" s="741"/>
      <c r="W8" s="741"/>
      <c r="X8" s="741"/>
      <c r="Y8" s="741"/>
      <c r="Z8" s="741"/>
      <c r="AA8" s="741"/>
      <c r="AB8" s="741"/>
      <c r="AC8" s="741"/>
      <c r="AD8" s="741"/>
      <c r="AE8" s="741"/>
    </row>
    <row r="9" spans="1:31" ht="15.6" x14ac:dyDescent="0.25">
      <c r="A9" s="766"/>
      <c r="B9" s="765" t="s">
        <v>552</v>
      </c>
      <c r="C9" s="750">
        <f ca="1">SUM(C6:C8)*2.5%</f>
        <v>237.70000000000002</v>
      </c>
      <c r="D9" s="741"/>
      <c r="E9" s="741"/>
      <c r="F9" s="741"/>
      <c r="G9" s="742"/>
      <c r="H9" s="746"/>
      <c r="I9" s="741"/>
      <c r="J9" s="741"/>
      <c r="K9" s="741"/>
      <c r="L9" s="741"/>
      <c r="M9" s="741"/>
      <c r="N9" s="741"/>
      <c r="O9" s="741"/>
      <c r="P9" s="741"/>
      <c r="Q9" s="741"/>
      <c r="R9" s="747"/>
      <c r="S9" s="759"/>
      <c r="T9" s="741"/>
      <c r="U9" s="741"/>
      <c r="V9" s="741"/>
      <c r="W9" s="741"/>
      <c r="X9" s="741"/>
      <c r="Y9" s="741"/>
      <c r="Z9" s="741"/>
      <c r="AA9" s="741"/>
      <c r="AB9" s="741"/>
      <c r="AC9" s="741"/>
      <c r="AD9" s="741"/>
      <c r="AE9" s="741"/>
    </row>
    <row r="10" spans="1:31" ht="15.6" x14ac:dyDescent="0.25">
      <c r="A10" s="775">
        <v>0.18</v>
      </c>
      <c r="B10" s="745" t="s">
        <v>1</v>
      </c>
      <c r="C10" s="749">
        <f ca="1">(C6+C7+C9+C8)*18%</f>
        <v>1754.2260000000001</v>
      </c>
      <c r="D10" s="741"/>
      <c r="E10" s="741"/>
      <c r="F10" s="776">
        <f>C4*0.25%</f>
        <v>1750</v>
      </c>
      <c r="G10" s="742" t="s">
        <v>540</v>
      </c>
      <c r="H10" s="743"/>
      <c r="I10" s="741"/>
      <c r="J10" s="741"/>
      <c r="K10" s="741"/>
      <c r="L10" s="741"/>
      <c r="M10" s="741"/>
      <c r="N10" s="741"/>
      <c r="O10" s="741"/>
      <c r="P10" s="741"/>
      <c r="Q10" s="741"/>
      <c r="R10" s="747">
        <v>1000000</v>
      </c>
      <c r="S10" s="759">
        <v>1.1347131445170661E-2</v>
      </c>
      <c r="T10" s="741"/>
      <c r="U10" s="741"/>
      <c r="V10" s="741"/>
      <c r="W10" s="741"/>
      <c r="X10" s="741"/>
      <c r="Y10" s="741"/>
      <c r="Z10" s="741"/>
      <c r="AA10" s="741"/>
      <c r="AB10" s="741"/>
      <c r="AC10" s="741"/>
      <c r="AD10" s="741"/>
      <c r="AE10" s="741"/>
    </row>
    <row r="11" spans="1:31" ht="13.8" x14ac:dyDescent="0.25">
      <c r="A11" s="741"/>
      <c r="B11" s="745" t="s">
        <v>542</v>
      </c>
      <c r="C11" s="751">
        <f ca="1">SUM(C6:C10)*Administration!IR9</f>
        <v>11499.926000000001</v>
      </c>
      <c r="D11" s="741"/>
      <c r="E11" s="741"/>
      <c r="F11" s="776">
        <f>C4*0.0625%</f>
        <v>437.5</v>
      </c>
      <c r="G11" s="742" t="s">
        <v>541</v>
      </c>
      <c r="H11" s="743"/>
      <c r="I11" s="741"/>
      <c r="J11" s="741"/>
      <c r="K11" s="741"/>
      <c r="L11" s="741"/>
      <c r="M11" s="741"/>
      <c r="N11" s="741"/>
      <c r="O11" s="741"/>
      <c r="P11" s="741"/>
      <c r="Q11" s="741"/>
      <c r="R11" s="741"/>
      <c r="S11" s="741"/>
      <c r="T11" s="741"/>
      <c r="U11" s="741"/>
      <c r="V11" s="741"/>
      <c r="W11" s="741"/>
      <c r="X11" s="741"/>
      <c r="Y11" s="741"/>
      <c r="Z11" s="741"/>
      <c r="AA11" s="741"/>
      <c r="AB11" s="741"/>
      <c r="AC11" s="741"/>
      <c r="AD11" s="741"/>
      <c r="AE11" s="741"/>
    </row>
    <row r="12" spans="1:31" x14ac:dyDescent="0.25">
      <c r="A12" s="741"/>
      <c r="B12" s="745"/>
      <c r="C12" s="745"/>
      <c r="D12" s="741"/>
      <c r="E12" s="741"/>
      <c r="F12" s="741"/>
      <c r="G12" s="742" t="s">
        <v>549</v>
      </c>
      <c r="H12" s="743">
        <f>IF(Quote!L35="Yes",600,0)</f>
        <v>0</v>
      </c>
      <c r="J12" s="741"/>
      <c r="K12" s="741"/>
      <c r="L12" s="741">
        <v>300000</v>
      </c>
      <c r="M12" s="741">
        <v>700</v>
      </c>
      <c r="N12" s="741"/>
      <c r="O12" s="741"/>
      <c r="P12" s="741"/>
      <c r="Q12" s="741"/>
      <c r="R12" s="760">
        <f>IF(Quote!C13="ABANS FINANCE",1.13471314451707%,1.212%)</f>
        <v>1.2119999999999999E-2</v>
      </c>
      <c r="S12" s="741"/>
      <c r="T12" s="741"/>
      <c r="U12" s="741"/>
      <c r="V12" s="741"/>
      <c r="W12" s="741"/>
      <c r="X12" s="741"/>
      <c r="Y12" s="741"/>
      <c r="Z12" s="741"/>
      <c r="AA12" s="741"/>
      <c r="AB12" s="741"/>
      <c r="AC12" s="741"/>
      <c r="AD12" s="741"/>
      <c r="AE12" s="741"/>
    </row>
    <row r="13" spans="1:31" x14ac:dyDescent="0.25">
      <c r="A13" s="741"/>
      <c r="B13" s="753"/>
      <c r="C13" s="753"/>
      <c r="D13" s="741"/>
      <c r="E13" s="741"/>
      <c r="F13" s="741"/>
      <c r="G13" s="742" t="s">
        <v>543</v>
      </c>
      <c r="H13" s="743">
        <f>H2*10%</f>
        <v>1225.0000000000002</v>
      </c>
      <c r="I13" s="741"/>
      <c r="J13" s="756" t="s">
        <v>548</v>
      </c>
      <c r="K13" s="741"/>
      <c r="L13" s="741">
        <v>500000</v>
      </c>
      <c r="M13" s="741">
        <v>1100</v>
      </c>
      <c r="N13" s="741"/>
      <c r="O13" s="741"/>
      <c r="P13" s="741"/>
      <c r="Q13" s="741"/>
      <c r="R13" s="744"/>
      <c r="S13" s="741"/>
      <c r="T13" s="741"/>
      <c r="U13" s="741"/>
      <c r="V13" s="741"/>
      <c r="W13" s="741"/>
      <c r="X13" s="741"/>
      <c r="Y13" s="741"/>
      <c r="Z13" s="741"/>
      <c r="AA13" s="741"/>
      <c r="AB13" s="741"/>
      <c r="AC13" s="741"/>
      <c r="AD13" s="741"/>
      <c r="AE13" s="741"/>
    </row>
    <row r="14" spans="1:31" x14ac:dyDescent="0.25">
      <c r="A14" s="741"/>
      <c r="B14" s="741"/>
      <c r="C14" s="741"/>
      <c r="D14" s="741"/>
      <c r="E14" s="741"/>
      <c r="G14" s="742" t="s">
        <v>544</v>
      </c>
      <c r="H14" s="743"/>
      <c r="I14" s="761" t="s">
        <v>547</v>
      </c>
      <c r="J14" s="749">
        <f>(C4*R12)</f>
        <v>8484</v>
      </c>
      <c r="K14" s="741"/>
      <c r="L14" s="741">
        <v>1000000</v>
      </c>
      <c r="M14" s="741">
        <v>2200</v>
      </c>
      <c r="N14" s="741"/>
      <c r="O14" s="741"/>
      <c r="P14" s="741"/>
      <c r="Q14" s="741"/>
      <c r="R14" s="741"/>
      <c r="S14" s="741"/>
      <c r="T14" s="741"/>
      <c r="U14" s="741"/>
      <c r="V14" s="741"/>
      <c r="W14" s="741"/>
      <c r="X14" s="741"/>
      <c r="Y14" s="741"/>
      <c r="Z14" s="741"/>
      <c r="AA14" s="741"/>
      <c r="AB14" s="741"/>
      <c r="AC14" s="741"/>
      <c r="AD14" s="741"/>
      <c r="AE14" s="741"/>
    </row>
    <row r="15" spans="1:31" ht="13.8" thickBot="1" x14ac:dyDescent="0.3">
      <c r="A15" s="741"/>
      <c r="B15" s="741"/>
      <c r="C15" s="741"/>
      <c r="D15" s="741"/>
      <c r="E15" s="741"/>
      <c r="F15" s="741"/>
      <c r="G15" s="742" t="s">
        <v>36</v>
      </c>
      <c r="H15" s="752">
        <f>VLOOKUP(Quote!R33,'Pre-Working'!L12:M14,2,FALSE)</f>
        <v>700</v>
      </c>
      <c r="I15" s="741"/>
      <c r="J15" s="741"/>
      <c r="K15" s="741"/>
      <c r="L15" s="741"/>
      <c r="M15" s="741"/>
      <c r="N15" s="741"/>
      <c r="O15" s="741"/>
      <c r="P15" s="741"/>
      <c r="Q15" s="741"/>
      <c r="R15" s="741"/>
      <c r="S15" s="741"/>
      <c r="T15" s="741"/>
      <c r="U15" s="741"/>
      <c r="V15" s="741"/>
      <c r="W15" s="741"/>
      <c r="X15" s="741"/>
      <c r="Y15" s="741"/>
      <c r="Z15" s="741"/>
      <c r="AA15" s="741"/>
      <c r="AB15" s="741"/>
      <c r="AC15" s="741"/>
      <c r="AD15" s="741"/>
      <c r="AE15" s="741"/>
    </row>
    <row r="16" spans="1:31" ht="14.4" thickBot="1" x14ac:dyDescent="0.3">
      <c r="A16" s="741"/>
      <c r="B16" s="741"/>
      <c r="C16" s="741"/>
      <c r="D16" s="774" t="s">
        <v>452</v>
      </c>
      <c r="E16" s="772">
        <f ca="1">IF(YEAR(F16)&gt;2023,0.25%*C4,IF(MONTH(F16)=8,0.04%*C4,IF(MONTH(F16)=9,0.08%*C4,IF(MONTH(F16)=10,0.12%*C4,IF(MONTH(F16)=11,0.16%*C4,IF(MONTH(F16)=12,0.25%*C4,0))))))</f>
        <v>1750</v>
      </c>
      <c r="F16" s="770">
        <f ca="1">TODAY()</f>
        <v>45348</v>
      </c>
      <c r="G16" s="771" t="s">
        <v>553</v>
      </c>
      <c r="H16" s="777">
        <f>F10+F11</f>
        <v>2187.5</v>
      </c>
      <c r="I16" s="741"/>
      <c r="J16" s="748"/>
      <c r="K16" s="741"/>
      <c r="L16" s="741"/>
      <c r="M16" s="741"/>
      <c r="N16" s="741"/>
      <c r="O16" s="741"/>
      <c r="P16" s="741"/>
      <c r="Q16" s="741"/>
      <c r="R16" s="741"/>
      <c r="S16" s="741"/>
      <c r="T16" s="741"/>
      <c r="U16" s="741"/>
      <c r="V16" s="741"/>
      <c r="W16" s="741"/>
      <c r="X16" s="741"/>
      <c r="Y16" s="741"/>
      <c r="Z16" s="741"/>
      <c r="AA16" s="741"/>
      <c r="AB16" s="741"/>
      <c r="AC16" s="741"/>
      <c r="AD16" s="741"/>
      <c r="AE16" s="741"/>
    </row>
    <row r="17" spans="1:31" x14ac:dyDescent="0.25">
      <c r="A17" s="741"/>
      <c r="B17" s="741"/>
      <c r="C17" s="741"/>
      <c r="D17" s="741"/>
      <c r="E17" s="741"/>
      <c r="F17" s="741"/>
      <c r="G17" s="742"/>
      <c r="H17" s="754">
        <f>J14+(H15-700)+H6+H5+H12-976</f>
        <v>7508</v>
      </c>
      <c r="I17" s="741"/>
      <c r="J17" s="741"/>
      <c r="K17" s="741"/>
      <c r="L17" s="741"/>
      <c r="M17" s="741"/>
      <c r="N17" s="741"/>
      <c r="O17" s="741"/>
      <c r="P17" s="741"/>
      <c r="Q17" s="741"/>
      <c r="R17" s="741"/>
      <c r="S17" s="741"/>
      <c r="T17" s="741"/>
      <c r="U17" s="741"/>
      <c r="V17" s="741"/>
      <c r="W17" s="741"/>
      <c r="X17" s="741"/>
      <c r="Y17" s="741"/>
      <c r="Z17" s="741"/>
      <c r="AA17" s="741"/>
      <c r="AB17" s="741"/>
      <c r="AC17" s="741"/>
      <c r="AD17" s="741"/>
      <c r="AE17" s="741"/>
    </row>
    <row r="18" spans="1:31" x14ac:dyDescent="0.25">
      <c r="A18" s="741"/>
      <c r="B18" s="741"/>
      <c r="C18" s="741"/>
      <c r="D18" s="741"/>
      <c r="E18" s="741"/>
      <c r="F18" s="741"/>
      <c r="G18" s="745" t="s">
        <v>542</v>
      </c>
      <c r="H18" s="755">
        <f ca="1">C11</f>
        <v>11499.926000000001</v>
      </c>
      <c r="I18" s="741"/>
      <c r="J18" s="741"/>
      <c r="K18" s="741"/>
      <c r="L18" s="741"/>
      <c r="M18" s="741"/>
      <c r="N18" s="741"/>
      <c r="O18" s="741"/>
      <c r="P18" s="741"/>
      <c r="Q18" s="741"/>
      <c r="R18" s="741"/>
      <c r="S18" s="741"/>
      <c r="T18" s="741"/>
      <c r="U18" s="741"/>
      <c r="V18" s="741"/>
      <c r="W18" s="741"/>
      <c r="X18" s="741"/>
      <c r="Y18" s="741"/>
      <c r="Z18" s="741"/>
      <c r="AA18" s="741"/>
      <c r="AB18" s="741"/>
      <c r="AC18" s="741"/>
      <c r="AD18" s="741"/>
      <c r="AE18" s="741"/>
    </row>
    <row r="19" spans="1:31" x14ac:dyDescent="0.25">
      <c r="A19" s="741"/>
      <c r="B19" s="741"/>
      <c r="C19" s="741"/>
      <c r="D19" s="741"/>
      <c r="E19" s="741"/>
      <c r="F19" s="741"/>
      <c r="G19" s="741"/>
      <c r="H19" s="741"/>
      <c r="I19" s="741"/>
      <c r="J19" s="741"/>
      <c r="K19" s="741"/>
      <c r="L19" s="741"/>
      <c r="M19" s="741"/>
      <c r="N19" s="741"/>
      <c r="O19" s="741"/>
      <c r="P19" s="741"/>
      <c r="Q19" s="741"/>
      <c r="R19" s="741"/>
      <c r="S19" s="741"/>
      <c r="T19" s="741"/>
      <c r="U19" s="741"/>
      <c r="V19" s="741"/>
      <c r="W19" s="741"/>
      <c r="X19" s="741"/>
      <c r="Y19" s="741"/>
      <c r="Z19" s="741"/>
      <c r="AA19" s="741"/>
      <c r="AB19" s="741"/>
      <c r="AC19" s="741"/>
      <c r="AD19" s="741"/>
      <c r="AE19" s="741"/>
    </row>
    <row r="20" spans="1:31" x14ac:dyDescent="0.25">
      <c r="A20" s="741"/>
      <c r="B20" s="741"/>
      <c r="C20" s="741"/>
      <c r="D20" s="741"/>
      <c r="E20" s="741"/>
      <c r="F20" s="741"/>
      <c r="G20" s="741"/>
      <c r="H20" s="741"/>
      <c r="I20" s="741"/>
      <c r="J20" s="741"/>
      <c r="K20" s="741"/>
      <c r="L20" s="741"/>
      <c r="M20" s="741"/>
      <c r="N20" s="741"/>
      <c r="O20" s="741"/>
      <c r="P20" s="741"/>
      <c r="Q20" s="741"/>
      <c r="R20" s="741"/>
      <c r="S20" s="741"/>
      <c r="T20" s="741"/>
      <c r="U20" s="741"/>
      <c r="V20" s="741"/>
      <c r="W20" s="741"/>
      <c r="X20" s="741"/>
      <c r="Y20" s="741"/>
      <c r="Z20" s="741"/>
      <c r="AA20" s="741"/>
      <c r="AB20" s="741"/>
      <c r="AC20" s="741"/>
      <c r="AD20" s="741"/>
      <c r="AE20" s="741"/>
    </row>
    <row r="21" spans="1:31" hidden="1" x14ac:dyDescent="0.25">
      <c r="A21" s="741"/>
      <c r="B21" s="741"/>
      <c r="C21" s="741"/>
      <c r="D21" s="741"/>
      <c r="E21" s="741"/>
      <c r="F21" s="741"/>
      <c r="G21" s="741"/>
      <c r="H21" s="741"/>
      <c r="I21" s="741"/>
      <c r="J21" s="741"/>
      <c r="K21" s="741"/>
      <c r="L21" s="741"/>
      <c r="M21" s="741"/>
      <c r="N21" s="741"/>
      <c r="O21" s="741"/>
      <c r="P21" s="741"/>
      <c r="Q21" s="741"/>
      <c r="R21" s="741"/>
      <c r="S21" s="741"/>
      <c r="T21" s="741"/>
      <c r="U21" s="741"/>
      <c r="V21" s="741"/>
      <c r="W21" s="741"/>
      <c r="X21" s="741"/>
      <c r="Y21" s="741"/>
      <c r="Z21" s="741"/>
      <c r="AA21" s="741"/>
      <c r="AB21" s="741"/>
      <c r="AC21" s="741"/>
      <c r="AD21" s="741"/>
      <c r="AE21" s="741"/>
    </row>
    <row r="22" spans="1:31" hidden="1" x14ac:dyDescent="0.25">
      <c r="A22" s="741"/>
      <c r="B22" s="741"/>
      <c r="C22" s="741"/>
      <c r="D22" s="741"/>
      <c r="E22" s="741"/>
      <c r="F22" s="741"/>
      <c r="G22" s="741"/>
      <c r="H22" s="741"/>
      <c r="I22" s="741"/>
      <c r="J22" s="741"/>
      <c r="K22" s="741"/>
      <c r="L22" s="741"/>
      <c r="M22" s="741"/>
      <c r="N22" s="741"/>
      <c r="O22" s="741"/>
      <c r="P22" s="741"/>
      <c r="Q22" s="741"/>
      <c r="R22" s="741"/>
      <c r="S22" s="741"/>
      <c r="T22" s="741"/>
      <c r="U22" s="741"/>
      <c r="V22" s="741"/>
      <c r="W22" s="741"/>
      <c r="X22" s="741"/>
      <c r="Y22" s="741"/>
      <c r="Z22" s="741"/>
      <c r="AA22" s="741"/>
      <c r="AB22" s="741"/>
      <c r="AC22" s="741"/>
      <c r="AD22" s="741"/>
      <c r="AE22" s="741"/>
    </row>
  </sheetData>
  <mergeCells count="1">
    <mergeCell ref="R3:S3"/>
  </mergeCells>
  <conditionalFormatting sqref="E16">
    <cfRule type="expression" dxfId="0" priority="1" stopIfTrue="1">
      <formula>G16=1</formula>
    </cfRule>
  </conditionalFormatting>
  <dataValidations disablePrompts="1" count="1">
    <dataValidation type="decimal" operator="greaterThanOrEqual" allowBlank="1" showInputMessage="1" showErrorMessage="1" sqref="C4" xr:uid="{00000000-0002-0000-0500-000000000000}">
      <formula1>500000</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Administration</vt:lpstr>
      <vt:lpstr>Rates</vt:lpstr>
      <vt:lpstr>Calculation</vt:lpstr>
      <vt:lpstr>Quote</vt:lpstr>
      <vt:lpstr>Working</vt:lpstr>
      <vt:lpstr>Pre-Working</vt:lpstr>
      <vt:lpstr>Branch</vt:lpstr>
      <vt:lpstr>BRANCHES</vt:lpstr>
      <vt:lpstr>Date</vt:lpstr>
      <vt:lpstr>Month</vt:lpstr>
      <vt:lpstr>PAB</vt:lpstr>
      <vt:lpstr>Administration!Print_Area</vt:lpstr>
      <vt:lpstr>Calculation!Print_Area</vt:lpstr>
      <vt:lpstr>Quote!Print_Area</vt:lpstr>
      <vt:lpstr>Rates!Print_Area</vt:lpstr>
      <vt:lpstr>Working!Print_Area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Mumtaz</cp:lastModifiedBy>
  <cp:lastPrinted>2021-03-08T04:14:04Z</cp:lastPrinted>
  <dcterms:created xsi:type="dcterms:W3CDTF">2002-11-28T09:30:00Z</dcterms:created>
  <dcterms:modified xsi:type="dcterms:W3CDTF">2024-02-26T13:29:32Z</dcterms:modified>
</cp:coreProperties>
</file>